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Request 7" sheetId="1" r:id="rId1"/>
    <sheet name="Session Details" sheetId="2" r:id="rId2"/>
  </sheets>
</workbook>
</file>

<file path=xl/styles.xml><?xml version="1.0" encoding="utf-8"?>
<styleSheet xmlns:mc="http://schemas.openxmlformats.org/markup-compatibility/2006" xmlns:x14ac="http://schemas.microsoft.com/office/spreadsheetml/2009/9/ac" xmlns="http://schemas.openxmlformats.org/spreadsheetml/2006/main" mc:Ignorable="x14ac">
  <numFmts count="0"/>
  <fonts count="5" x14ac:knownFonts="1">
    <font>
      <sz val="12"/>
      <name val="Calibri"/>
    </font>
    <font>
      <sz val="12"/>
      <name val="Calibri"/>
    </font>
    <font>
      <sz val="12"/>
      <name val="Calibri"/>
      <b/>
    </font>
    <font>
      <sz val="12"/>
      <name val="Calibri"/>
      <b/>
    </font>
    <font>
      <sz val="12"/>
      <name val="Calibri"/>
      <b/>
    </font>
  </fonts>
  <fills count="2">
    <fill>
      <patternFill patternType="none">
        <bgColor/>
      </patternFill>
    </fill>
    <fill>
      <patternFill patternType="gray125">
        <bgColor/>
      </patternFill>
    </fill>
  </fills>
  <borders count="2">
    <border>
      <left/>
      <right/>
      <top/>
      <bottom/>
      <diagonal/>
    </border>
    <border>
      <left/>
      <right/>
      <top/>
      <bottom/>
      <diagonal/>
    </border>
  </borders>
  <cellStyleXfs>
    <xf numFmtId="0" fontId="0" fillId="0" borderId="0"/>
  </cellStyleXfs>
  <cellXfs count="12">
    <xf numFmtId="0" fontId="0" fillId="0" borderId="0" xfId="0"/>
    <xf numFmtId="0" fontId="1" fillId="1" borderId="1" xfId="0" applyFont="1" applyFill="1" applyBorder="1"/>
    <xf numFmtId="0" fontId="0" fillId="0" borderId="0" xfId="0"/>
    <xf numFmtId="0" fontId="2" fillId="0" borderId="0" xfId="0" applyFont="1" applyAlignment="1">
      <alignment horizontal="left" vertical="top"/>
    </xf>
    <xf numFmtId="0" fontId="3" fillId="0" borderId="0" xfId="0" applyFont="1" applyAlignment="1">
      <alignment horizontal="left" vertical="top" wrapText="true"/>
    </xf>
    <xf numFmtId="0" fontId="4" fillId="0" borderId="0" xfId="0" applyFont="1" applyAlignment="1">
      <alignment horizontal="right" vertical="top" wrapText="true"/>
    </xf>
    <xf numFmtId="0" fontId="0" fillId="0" borderId="0" xfId="0" applyAlignment="1">
      <alignment horizontal="left" vertical="top" wrapText="true"/>
    </xf>
    <xf numFmtId="14" fontId="0" fillId="0" borderId="0" xfId="0" applyNumberFormat="1" applyAlignment="1">
      <alignment horizontal="right" vertical="top" wrapText="true"/>
    </xf>
    <xf numFmtId="4" fontId="0" fillId="0" borderId="0" xfId="0" applyNumberFormat="1" applyAlignment="1">
      <alignment horizontal="right" vertical="top" wrapText="true"/>
    </xf>
    <xf numFmtId="3" fontId="0" fillId="0" borderId="0" xfId="0" applyNumberFormat="1" applyAlignment="1">
      <alignment horizontal="left" vertical="top"/>
    </xf>
    <xf numFmtId="0" fontId="0" fillId="0" borderId="0" xfId="0" applyAlignment="1">
      <alignment horizontal="left" vertical="top"/>
    </xf>
    <xf numFmtId="3" fontId="0" fillId="0" borderId="0" xfId="0" applyNumberFormat="1" applyAlignment="1">
      <alignment horizontal="right" vertical="top"/>
    </xf>
  </cellXfs>
  <cellStyles>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AG728"/>
  <sheetViews>
    <sheetView workbookViewId="0"/>
  </sheetViews>
  <cols>
    <col min="1" max="1" width="18.33203125" customWidth="1"/>
    <col min="2" max="2" width="18.33203125" customWidth="1"/>
    <col min="3" max="3" width="18.33203125" customWidth="1"/>
    <col min="4" max="4" width="18.33203125" customWidth="1"/>
    <col min="5" max="5" width="18.33203125" customWidth="1"/>
    <col min="6" max="6" width="18.33203125" customWidth="1"/>
    <col min="7" max="7" width="18.33203125" customWidth="1"/>
    <col min="8" max="8" width="18.33203125" customWidth="1"/>
    <col min="9" max="9" width="18.33203125" customWidth="1"/>
    <col min="10" max="10" width="18.33203125" customWidth="1"/>
    <col min="11" max="11" width="18.33203125" customWidth="1"/>
    <col min="12" max="12" width="18.33203125" customWidth="1"/>
    <col min="13" max="13" width="18.33203125" customWidth="1"/>
    <col min="14" max="14" width="18.33203125" customWidth="1"/>
    <col min="15" max="15" width="18.33203125" customWidth="1"/>
    <col min="16" max="16" width="18.33203125" customWidth="1"/>
    <col min="17" max="17" width="18.33203125" customWidth="1"/>
    <col min="18" max="18" width="18.33203125" customWidth="1"/>
    <col min="19" max="19" width="18.33203125" customWidth="1"/>
    <col min="20" max="20" width="18.33203125" customWidth="1"/>
    <col min="21" max="21" width="18.33203125" customWidth="1"/>
    <col min="22" max="22" width="18.33203125" customWidth="1"/>
    <col min="23" max="23" width="18.33203125" customWidth="1"/>
    <col min="24" max="24" width="18.33203125" customWidth="1"/>
    <col min="25" max="25" width="18.33203125" customWidth="1"/>
    <col min="26" max="26" width="18.33203125" customWidth="1"/>
    <col min="27" max="27" width="18.33203125" customWidth="1"/>
    <col min="28" max="28" width="18.33203125" customWidth="1"/>
    <col min="29" max="29" width="18.33203125" customWidth="1"/>
    <col min="30" max="30" width="18.33203125" customWidth="1"/>
    <col min="31" max="31" width="18.33203125" customWidth="1"/>
    <col min="32" max="32" width="18.33203125" customWidth="1"/>
    <col min="33" max="33" width="18.33203125" customWidth="1"/>
  </cols>
  <sheetData>
    <row r="1">
      <c r="A1" s="3" t="str">
        <v>Source: LSEG   Date: 10/10/2024</v>
      </c>
    </row>
    <row r="3">
      <c r="A3" s="4" t="str">
        <v>Acquiror 6-digit CUSIP</v>
      </c>
      <c r="B3" s="4" t="str">
        <v>Acquiror Nation</v>
      </c>
      <c r="C3" s="4" t="str">
        <v>Acquiror Full Name</v>
      </c>
      <c r="D3" s="4" t="str">
        <v>Acquiror Ultimate Parent</v>
      </c>
      <c r="E3" s="4" t="str">
        <v>Related M&amp;A Deal Acquiror</v>
      </c>
      <c r="F3" s="4" t="str">
        <v>Target Nation</v>
      </c>
      <c r="G3" s="4" t="str">
        <v>Target Full Name</v>
      </c>
      <c r="H3" s="4" t="str">
        <v>Target Industry Sector</v>
      </c>
      <c r="I3" s="4" t="str">
        <v>Target 6-digit CUSIP</v>
      </c>
      <c r="J3" s="4" t="str">
        <v>Target Ultimate Parent</v>
      </c>
      <c r="K3" s="4" t="str">
        <v>Target Immediate Parent</v>
      </c>
      <c r="L3" s="5" t="str">
        <v>Date Announced</v>
      </c>
      <c r="M3" s="5" t="str">
        <v>Date Effective</v>
      </c>
      <c r="N3" s="5" t="str">
        <v>Deal Value at Effective Date (USD Millions)</v>
      </c>
      <c r="O3" s="5" t="str">
        <v>Deal Value (USD Millions)</v>
      </c>
      <c r="P3" s="5" t="str">
        <v>Firm Value (USD Millions)</v>
      </c>
      <c r="Q3" s="5" t="str">
        <v>Related M&amp;A Deal Value (USD Millions)</v>
      </c>
      <c r="R3" s="5" t="str">
        <v>Target Net Income Last 12 Months (USD Millions)</v>
      </c>
      <c r="S3" s="5" t="str">
        <v>Target Net Sales Last 12 Months (USD Millions)</v>
      </c>
      <c r="T3" s="5" t="str">
        <v>Target Net Cash from Financing Activities Last 12 Months (USD Millions)</v>
      </c>
      <c r="U3" s="5" t="str">
        <v>Target Net Cash from Investing Activities Last 12 Months (USD Millions)</v>
      </c>
      <c r="V3" s="5" t="str">
        <v>Target Net Cash from Operating Activities Last 12 Months (USD Millions)</v>
      </c>
      <c r="W3" s="4" t="str">
        <v>Acquiror High Tech Industry</v>
      </c>
      <c r="X3" s="4" t="str">
        <v>Target High Tech Industry</v>
      </c>
      <c r="Y3" s="4" t="str">
        <v>Target Immediate Parent High Tech Industry</v>
      </c>
      <c r="Z3" s="4" t="str">
        <v>Target Ultimate Parent High Tech Industry</v>
      </c>
      <c r="AA3" s="4" t="str">
        <v>Acquiror Immediate Parent High Tech Industry</v>
      </c>
      <c r="AB3" s="4" t="str">
        <v>Acquiror Ultimate Parent High Tech Industry</v>
      </c>
      <c r="AC3" s="5" t="str">
        <v>Deal Value (USD Millions)</v>
      </c>
      <c r="AD3" s="5" t="str">
        <v>Deal Value as-of Date</v>
      </c>
      <c r="AE3" s="5" t="str">
        <v>Implied Deal Value (USD Millions)</v>
      </c>
      <c r="AF3" s="5" t="str">
        <v>Enterprise Value at Announcement (USD Millions)</v>
      </c>
      <c r="AG3" s="5" t="str">
        <v>Enterprise Value at Effective Date (USD Millions)</v>
      </c>
    </row>
    <row r="4">
      <c r="A4" s="6" t="str">
        <v>594918</v>
      </c>
      <c r="B4" s="6" t="str">
        <v>United States</v>
      </c>
      <c r="C4" s="6" t="str">
        <v>Microsoft Corp</v>
      </c>
      <c r="D4" s="6" t="str">
        <v>Microsoft Corp</v>
      </c>
      <c r="F4" s="6" t="str">
        <v>United States</v>
      </c>
      <c r="G4" s="6" t="str">
        <v>Fox Software Inc</v>
      </c>
      <c r="H4" s="6" t="str">
        <v>Computer and Office Equipment</v>
      </c>
      <c r="I4" s="6" t="str">
        <v>35158A</v>
      </c>
      <c r="J4" s="6" t="str">
        <v>Fox Software Inc</v>
      </c>
      <c r="K4" s="6" t="str">
        <v>Fox Software Inc</v>
      </c>
      <c r="L4" s="7">
        <f>=DATE(1992,3,23)</f>
        <v>33685.99949074074</v>
      </c>
      <c r="M4" s="7">
        <f>=DATE(1992,6,29)</f>
        <v>33783.99949074074</v>
      </c>
      <c r="N4" s="8">
        <v>136.2</v>
      </c>
      <c r="O4" s="8">
        <v>174.8</v>
      </c>
      <c r="P4" s="8" t="str">
        <v>174.80</v>
      </c>
      <c r="S4" s="8">
        <v>75</v>
      </c>
      <c r="W4" s="6" t="str">
        <v>Internet Services &amp; Software;Applications Software(Business;Operating Systems;Computer Consulting Services;Monitors/Terminals;Other Peripherals</v>
      </c>
      <c r="X4" s="6" t="str">
        <v>Database Software/Programming;Other Software (inq. Games);Applications Software(Business;Other Peripherals</v>
      </c>
      <c r="Y4" s="6" t="str">
        <v>Other Peripherals;Database Software/Programming;Other Software (inq. Games);Applications Software(Business</v>
      </c>
      <c r="Z4" s="6" t="str">
        <v>Other Software (inq. Games);Other Peripherals;Applications Software(Business;Database Software/Programming</v>
      </c>
      <c r="AA4" s="6" t="str">
        <v>Other Peripherals;Applications Software(Business;Monitors/Terminals;Computer Consulting Services;Internet Services &amp; Software;Operating Systems</v>
      </c>
      <c r="AB4" s="6" t="str">
        <v>Computer Consulting Services;Operating Systems;Internet Services &amp; Software;Other Peripherals;Applications Software(Business;Monitors/Terminals</v>
      </c>
      <c r="AC4" s="8">
        <v>174.8</v>
      </c>
      <c r="AF4" s="8" t="str">
        <v>174.80</v>
      </c>
      <c r="AG4" s="8" t="str">
        <v>136.20</v>
      </c>
    </row>
    <row r="5">
      <c r="A5" s="6" t="str">
        <v>594918</v>
      </c>
      <c r="B5" s="6" t="str">
        <v>United States</v>
      </c>
      <c r="C5" s="6" t="str">
        <v>Microsoft Corp</v>
      </c>
      <c r="D5" s="6" t="str">
        <v>Microsoft Corp</v>
      </c>
      <c r="F5" s="6" t="str">
        <v>United States</v>
      </c>
      <c r="G5" s="6" t="str">
        <v>Stac Electronics Inc</v>
      </c>
      <c r="H5" s="6" t="str">
        <v>Prepackaged Software</v>
      </c>
      <c r="I5" s="6" t="str">
        <v>852323</v>
      </c>
      <c r="J5" s="6" t="str">
        <v>Stac Electronics Inc</v>
      </c>
      <c r="K5" s="6" t="str">
        <v>Stac Electronics Inc</v>
      </c>
      <c r="L5" s="7">
        <f>=DATE(1994,6,21)</f>
        <v>34505.99949074074</v>
      </c>
      <c r="M5" s="7">
        <f>=DATE(1994,6,21)</f>
        <v>34505.99949074074</v>
      </c>
      <c r="N5" s="8">
        <v>39.9</v>
      </c>
      <c r="O5" s="8">
        <v>39.9</v>
      </c>
      <c r="P5" s="8" t="str">
        <v>267.99</v>
      </c>
      <c r="R5" s="8">
        <v>0.415</v>
      </c>
      <c r="S5" s="8">
        <v>36.984</v>
      </c>
      <c r="T5" s="8">
        <v>0.441</v>
      </c>
      <c r="U5" s="8">
        <v>-24.954</v>
      </c>
      <c r="V5" s="8">
        <v>-4.242</v>
      </c>
      <c r="W5" s="6" t="str">
        <v>Operating Systems;Applications Software(Business;Other Peripherals;Internet Services &amp; Software;Monitors/Terminals;Computer Consulting Services</v>
      </c>
      <c r="X5" s="6" t="str">
        <v>Data Processing Services;Communication/Network Software</v>
      </c>
      <c r="Y5" s="6" t="str">
        <v>Communication/Network Software;Data Processing Services</v>
      </c>
      <c r="Z5" s="6" t="str">
        <v>Data Processing Services;Communication/Network Software</v>
      </c>
      <c r="AA5" s="6" t="str">
        <v>Computer Consulting Services;Other Peripherals;Monitors/Terminals;Applications Software(Business;Operating Systems;Internet Services &amp; Software</v>
      </c>
      <c r="AB5" s="6" t="str">
        <v>Internet Services &amp; Software;Operating Systems;Computer Consulting Services;Other Peripherals;Applications Software(Business;Monitors/Terminals</v>
      </c>
      <c r="AC5" s="8">
        <v>39.9</v>
      </c>
      <c r="AD5" s="7">
        <f>=DATE(1994,6,21)</f>
        <v>34505.99949074074</v>
      </c>
      <c r="AF5" s="8" t="str">
        <v>267.99</v>
      </c>
      <c r="AG5" s="8" t="str">
        <v>267.99</v>
      </c>
    </row>
    <row r="6">
      <c r="A6" s="6" t="str">
        <v>594918</v>
      </c>
      <c r="B6" s="6" t="str">
        <v>United States</v>
      </c>
      <c r="C6" s="6" t="str">
        <v>Microsoft Corp</v>
      </c>
      <c r="D6" s="6" t="str">
        <v>Microsoft Corp</v>
      </c>
      <c r="F6" s="6" t="str">
        <v>United States</v>
      </c>
      <c r="G6" s="6" t="str">
        <v>Microsoft Corp</v>
      </c>
      <c r="H6" s="6" t="str">
        <v>Prepackaged Software</v>
      </c>
      <c r="I6" s="6" t="str">
        <v>594918</v>
      </c>
      <c r="J6" s="6" t="str">
        <v>Microsoft Corp</v>
      </c>
      <c r="K6" s="6" t="str">
        <v>Microsoft Corp</v>
      </c>
      <c r="L6" s="7">
        <f>=DATE(1994,7,6)</f>
        <v>34520.99949074074</v>
      </c>
      <c r="M6" s="7">
        <f>=DATE(1994,7,6)</f>
        <v>34520.99949074074</v>
      </c>
      <c r="N6" s="8">
        <v>348</v>
      </c>
      <c r="O6" s="8">
        <v>348</v>
      </c>
      <c r="P6" s="8" t="str">
        <v>8,037.85</v>
      </c>
      <c r="R6" s="8">
        <v>1146</v>
      </c>
      <c r="S6" s="8">
        <v>4649</v>
      </c>
      <c r="T6" s="8">
        <v>83</v>
      </c>
      <c r="U6" s="8">
        <v>-1202</v>
      </c>
      <c r="V6" s="8">
        <v>1593</v>
      </c>
      <c r="W6" s="6" t="str">
        <v>Computer Consulting Services;Operating Systems;Monitors/Terminals;Applications Software(Business;Internet Services &amp; Software;Other Peripherals</v>
      </c>
      <c r="X6" s="6" t="str">
        <v>Applications Software(Business;Other Peripherals;Monitors/Terminals;Computer Consulting Services;Operating Systems;Internet Services &amp; Software</v>
      </c>
      <c r="Y6" s="6" t="str">
        <v>Other Peripherals;Operating Systems;Internet Services &amp; Software;Computer Consulting Services;Monitors/Terminals;Applications Software(Business</v>
      </c>
      <c r="Z6" s="6" t="str">
        <v>Applications Software(Business;Internet Services &amp; Software;Other Peripherals;Computer Consulting Services;Operating Systems;Monitors/Terminals</v>
      </c>
      <c r="AA6" s="6" t="str">
        <v>Operating Systems;Other Peripherals;Monitors/Terminals;Internet Services &amp; Software;Applications Software(Business;Computer Consulting Services</v>
      </c>
      <c r="AB6" s="6" t="str">
        <v>Monitors/Terminals;Computer Consulting Services;Applications Software(Business;Internet Services &amp; Software;Other Peripherals;Operating Systems</v>
      </c>
      <c r="AC6" s="8">
        <v>348</v>
      </c>
      <c r="AD6" s="7">
        <f>=DATE(1994,7,6)</f>
        <v>34520.99949074074</v>
      </c>
      <c r="AF6" s="8" t="str">
        <v>8,037.85</v>
      </c>
      <c r="AG6" s="8" t="str">
        <v>8,037.85</v>
      </c>
    </row>
    <row r="7">
      <c r="A7" s="6" t="str">
        <v>594918</v>
      </c>
      <c r="B7" s="6" t="str">
        <v>United States</v>
      </c>
      <c r="C7" s="6" t="str">
        <v>Microsoft Corp</v>
      </c>
      <c r="D7" s="6" t="str">
        <v>Microsoft Corp</v>
      </c>
      <c r="F7" s="6" t="str">
        <v>United States</v>
      </c>
      <c r="G7" s="6" t="str">
        <v>Altamira Software Corp</v>
      </c>
      <c r="H7" s="6" t="str">
        <v>Business Services</v>
      </c>
      <c r="I7" s="6" t="str">
        <v>02138C</v>
      </c>
      <c r="J7" s="6" t="str">
        <v>Altamira Software Corp</v>
      </c>
      <c r="K7" s="6" t="str">
        <v>Altamira Software Corp</v>
      </c>
      <c r="L7" s="7">
        <f>=DATE(1994,9,27)</f>
        <v>34603.99949074074</v>
      </c>
      <c r="M7" s="7">
        <f>=DATE(1994,9,27)</f>
        <v>34603.99949074074</v>
      </c>
      <c r="W7" s="6" t="str">
        <v>Internet Services &amp; Software;Other Peripherals;Operating Systems;Applications Software(Business;Computer Consulting Services;Monitors/Terminals</v>
      </c>
      <c r="X7" s="6" t="str">
        <v>Other Software (inq. Games);Applications Software(Business;Other Computer Related Svcs</v>
      </c>
      <c r="Y7" s="6" t="str">
        <v>Other Software (inq. Games);Applications Software(Business;Other Computer Related Svcs</v>
      </c>
      <c r="Z7" s="6" t="str">
        <v>Other Software (inq. Games);Other Computer Related Svcs;Applications Software(Business</v>
      </c>
      <c r="AA7" s="6" t="str">
        <v>Monitors/Terminals;Internet Services &amp; Software;Applications Software(Business;Other Peripherals;Computer Consulting Services;Operating Systems</v>
      </c>
      <c r="AB7" s="6" t="str">
        <v>Operating Systems;Applications Software(Business;Monitors/Terminals;Computer Consulting Services;Internet Services &amp; Software;Other Peripherals</v>
      </c>
    </row>
    <row r="8">
      <c r="A8" s="6" t="str">
        <v>127646</v>
      </c>
      <c r="B8" s="6" t="str">
        <v>United States</v>
      </c>
      <c r="C8" s="6" t="str">
        <v>Caere Corp</v>
      </c>
      <c r="D8" s="6" t="str">
        <v>Caere Corp</v>
      </c>
      <c r="F8" s="6" t="str">
        <v>United States</v>
      </c>
      <c r="G8" s="6" t="str">
        <v>Calera Recognition Systems Inc</v>
      </c>
      <c r="H8" s="6" t="str">
        <v>Measuring, Medical, Photo Equipment; Clocks</v>
      </c>
      <c r="I8" s="6" t="str">
        <v>12945R</v>
      </c>
      <c r="J8" s="6" t="str">
        <v>Calera Recognition Systems Inc</v>
      </c>
      <c r="K8" s="6" t="str">
        <v>Calera Recognition Systems Inc</v>
      </c>
      <c r="L8" s="7">
        <f>=DATE(1994,10,14)</f>
        <v>34620.99949074074</v>
      </c>
      <c r="M8" s="7">
        <f>=DATE(1994,12,20)</f>
        <v>34687.99949074074</v>
      </c>
      <c r="N8" s="8">
        <v>41.72</v>
      </c>
      <c r="O8" s="8">
        <v>32.5</v>
      </c>
      <c r="P8" s="8" t="str">
        <v>32.50</v>
      </c>
      <c r="R8" s="8">
        <v>1.04</v>
      </c>
      <c r="S8" s="8">
        <v>15.93</v>
      </c>
      <c r="T8" s="8">
        <v>0.005</v>
      </c>
      <c r="U8" s="8">
        <v>-0.21</v>
      </c>
      <c r="V8" s="8">
        <v>0.9</v>
      </c>
      <c r="W8" s="6" t="str">
        <v>Data Processing Services;Applications Software(Business</v>
      </c>
      <c r="X8" s="6" t="str">
        <v>Monitors/Terminals;Lab Equipment;Other Peripherals</v>
      </c>
      <c r="Y8" s="6" t="str">
        <v>Other Peripherals;Monitors/Terminals;Lab Equipment</v>
      </c>
      <c r="Z8" s="6" t="str">
        <v>Lab Equipment;Other Peripherals;Monitors/Terminals</v>
      </c>
      <c r="AA8" s="6" t="str">
        <v>Data Processing Services;Applications Software(Business</v>
      </c>
      <c r="AB8" s="6" t="str">
        <v>Applications Software(Business;Data Processing Services</v>
      </c>
      <c r="AC8" s="8">
        <v>32.5</v>
      </c>
      <c r="AD8" s="7">
        <f>=DATE(1994,10,17)</f>
        <v>34623.99949074074</v>
      </c>
      <c r="AF8" s="8" t="str">
        <v>32.50</v>
      </c>
      <c r="AG8" s="8" t="str">
        <v>41.72</v>
      </c>
    </row>
    <row r="9">
      <c r="A9" s="6" t="str">
        <v>594918</v>
      </c>
      <c r="B9" s="6" t="str">
        <v>United States</v>
      </c>
      <c r="C9" s="6" t="str">
        <v>Microsoft Corp</v>
      </c>
      <c r="D9" s="6" t="str">
        <v>Microsoft Corp</v>
      </c>
      <c r="F9" s="6" t="str">
        <v>United States</v>
      </c>
      <c r="G9" s="6" t="str">
        <v>One Tree Software</v>
      </c>
      <c r="H9" s="6" t="str">
        <v>Prepackaged Software</v>
      </c>
      <c r="I9" s="6" t="str">
        <v>68242R</v>
      </c>
      <c r="J9" s="6" t="str">
        <v>One Tree Software</v>
      </c>
      <c r="K9" s="6" t="str">
        <v>One Tree Software</v>
      </c>
      <c r="L9" s="7">
        <f>=DATE(1994,11,15)</f>
        <v>34652.99949074074</v>
      </c>
      <c r="M9" s="7">
        <f>=DATE(1994,11,15)</f>
        <v>34652.99949074074</v>
      </c>
      <c r="W9" s="6" t="str">
        <v>Internet Services &amp; Software;Computer Consulting Services;Monitors/Terminals;Applications Software(Business;Other Peripherals;Operating Systems</v>
      </c>
      <c r="X9" s="6" t="str">
        <v>Database Software/Programming</v>
      </c>
      <c r="Y9" s="6" t="str">
        <v>Database Software/Programming</v>
      </c>
      <c r="Z9" s="6" t="str">
        <v>Database Software/Programming</v>
      </c>
      <c r="AA9" s="6" t="str">
        <v>Applications Software(Business;Monitors/Terminals;Other Peripherals;Internet Services &amp; Software;Computer Consulting Services;Operating Systems</v>
      </c>
      <c r="AB9" s="6" t="str">
        <v>Internet Services &amp; Software;Computer Consulting Services;Operating Systems;Other Peripherals;Monitors/Terminals;Applications Software(Business</v>
      </c>
    </row>
    <row r="10">
      <c r="A10" s="6" t="str">
        <v>594918</v>
      </c>
      <c r="B10" s="6" t="str">
        <v>United States</v>
      </c>
      <c r="C10" s="6" t="str">
        <v>Microsoft Corp</v>
      </c>
      <c r="D10" s="6" t="str">
        <v>Microsoft Corp</v>
      </c>
      <c r="F10" s="6" t="str">
        <v>United States</v>
      </c>
      <c r="G10" s="6" t="str">
        <v>UUNet Technologies Inc</v>
      </c>
      <c r="H10" s="6" t="str">
        <v>Business Services</v>
      </c>
      <c r="I10" s="6" t="str">
        <v>918096</v>
      </c>
      <c r="J10" s="6" t="str">
        <v>UUNet Technologies Inc</v>
      </c>
      <c r="K10" s="6" t="str">
        <v>UUNet Technologies Inc</v>
      </c>
      <c r="L10" s="7">
        <f>=DATE(1995,1,12)</f>
        <v>34710.99949074074</v>
      </c>
      <c r="M10" s="7">
        <f>=DATE(1995,1,19)</f>
        <v>34717.99949074074</v>
      </c>
      <c r="W10" s="6" t="str">
        <v>Computer Consulting Services;Internet Services &amp; Software;Applications Software(Business;Operating Systems;Other Peripherals;Monitors/Terminals</v>
      </c>
      <c r="X10" s="6" t="str">
        <v>Communication/Network Software;Internet Services &amp; Software</v>
      </c>
      <c r="Y10" s="6" t="str">
        <v>Communication/Network Software;Internet Services &amp; Software</v>
      </c>
      <c r="Z10" s="6" t="str">
        <v>Internet Services &amp; Software;Communication/Network Software</v>
      </c>
      <c r="AA10" s="6" t="str">
        <v>Internet Services &amp; Software;Computer Consulting Services;Monitors/Terminals;Other Peripherals;Applications Software(Business;Operating Systems</v>
      </c>
      <c r="AB10" s="6" t="str">
        <v>Computer Consulting Services;Internet Services &amp; Software;Other Peripherals;Operating Systems;Applications Software(Business;Monitors/Terminals</v>
      </c>
    </row>
    <row r="11">
      <c r="A11" s="6" t="str">
        <v>594918</v>
      </c>
      <c r="B11" s="6" t="str">
        <v>United States</v>
      </c>
      <c r="C11" s="6" t="str">
        <v>Microsoft Corp</v>
      </c>
      <c r="D11" s="6" t="str">
        <v>Microsoft Corp</v>
      </c>
      <c r="F11" s="6" t="str">
        <v>United States</v>
      </c>
      <c r="G11" s="6" t="str">
        <v>Wang Laboratories Inc</v>
      </c>
      <c r="H11" s="6" t="str">
        <v>Prepackaged Software</v>
      </c>
      <c r="I11" s="6" t="str">
        <v>93369N</v>
      </c>
      <c r="J11" s="6" t="str">
        <v>Wang Laboratories Inc</v>
      </c>
      <c r="K11" s="6" t="str">
        <v>Wang Laboratories Inc</v>
      </c>
      <c r="L11" s="7">
        <f>=DATE(1995,4,12)</f>
        <v>34800.99949074074</v>
      </c>
      <c r="M11" s="7">
        <f>=DATE(1995,5,30)</f>
        <v>34848.99949074074</v>
      </c>
      <c r="N11" s="8">
        <v>90</v>
      </c>
      <c r="O11" s="8">
        <v>90</v>
      </c>
      <c r="P11" s="8" t="str">
        <v>866.20</v>
      </c>
      <c r="R11" s="8">
        <v>-12.4</v>
      </c>
      <c r="S11" s="8">
        <v>855.3</v>
      </c>
      <c r="T11" s="8">
        <v>58.9</v>
      </c>
      <c r="U11" s="8">
        <v>-15.3</v>
      </c>
      <c r="V11" s="8">
        <v>33.7</v>
      </c>
      <c r="W11" s="6" t="str">
        <v>Computer Consulting Services;Monitors/Terminals;Internet Services &amp; Software;Other Peripherals;Applications Software(Business;Operating Systems</v>
      </c>
      <c r="X11" s="6" t="str">
        <v>Workstations;Computer Consulting Services;Other Computer Related Svcs;Communication/Network Software;Networking Systems (LAN,WAN);Applications Software(Business;Other Software (inq. Games)</v>
      </c>
      <c r="Y11" s="6" t="str">
        <v>Networking Systems (LAN,WAN);Communication/Network Software;Applications Software(Business;Other Software (inq. Games);Workstations;Other Computer Related Svcs;Computer Consulting Services</v>
      </c>
      <c r="Z11" s="6" t="str">
        <v>Communication/Network Software;Other Computer Related Svcs;Other Software (inq. Games);Applications Software(Business;Networking Systems (LAN,WAN);Workstations;Computer Consulting Services</v>
      </c>
      <c r="AA11" s="6" t="str">
        <v>Applications Software(Business;Operating Systems;Internet Services &amp; Software;Other Peripherals;Computer Consulting Services;Monitors/Terminals</v>
      </c>
      <c r="AB11" s="6" t="str">
        <v>Other Peripherals;Computer Consulting Services;Internet Services &amp; Software;Operating Systems;Monitors/Terminals;Applications Software(Business</v>
      </c>
      <c r="AC11" s="8">
        <v>90</v>
      </c>
      <c r="AD11" s="7">
        <f>=DATE(1995,4,12)</f>
        <v>34800.99949074074</v>
      </c>
      <c r="AF11" s="8" t="str">
        <v>866.20</v>
      </c>
      <c r="AG11" s="8" t="str">
        <v>866.20</v>
      </c>
    </row>
    <row r="12">
      <c r="A12" s="6" t="str">
        <v>594918</v>
      </c>
      <c r="B12" s="6" t="str">
        <v>United States</v>
      </c>
      <c r="C12" s="6" t="str">
        <v>Microsoft Corp</v>
      </c>
      <c r="D12" s="6" t="str">
        <v>Microsoft Corp</v>
      </c>
      <c r="F12" s="6" t="str">
        <v>United States</v>
      </c>
      <c r="G12" s="6" t="str">
        <v>Individual Inc</v>
      </c>
      <c r="H12" s="6" t="str">
        <v>Business Services</v>
      </c>
      <c r="I12" s="6" t="str">
        <v>455912</v>
      </c>
      <c r="J12" s="6" t="str">
        <v>Individual Inc</v>
      </c>
      <c r="K12" s="6" t="str">
        <v>Individual Inc</v>
      </c>
      <c r="L12" s="7">
        <f>=DATE(1995,10,11)</f>
        <v>34982.99949074074</v>
      </c>
      <c r="M12" s="7">
        <f>=DATE(1995,10,12)</f>
        <v>34983.99949074074</v>
      </c>
      <c r="W12" s="6" t="str">
        <v>Other Peripherals;Internet Services &amp; Software;Operating Systems;Computer Consulting Services;Monitors/Terminals;Applications Software(Business</v>
      </c>
      <c r="X12" s="6" t="str">
        <v>Satellite Communications</v>
      </c>
      <c r="Y12" s="6" t="str">
        <v>Satellite Communications</v>
      </c>
      <c r="Z12" s="6" t="str">
        <v>Satellite Communications</v>
      </c>
      <c r="AA12" s="6" t="str">
        <v>Computer Consulting Services;Operating Systems;Monitors/Terminals;Applications Software(Business;Internet Services &amp; Software;Other Peripherals</v>
      </c>
      <c r="AB12" s="6" t="str">
        <v>Operating Systems;Other Peripherals;Internet Services &amp; Software;Applications Software(Business;Computer Consulting Services;Monitors/Terminals</v>
      </c>
    </row>
    <row r="13">
      <c r="A13" s="6" t="str">
        <v>302131</v>
      </c>
      <c r="B13" s="6" t="str">
        <v>United States</v>
      </c>
      <c r="C13" s="6" t="str">
        <v>Expert Software Inc</v>
      </c>
      <c r="D13" s="6" t="str">
        <v>Expert Software Inc</v>
      </c>
      <c r="F13" s="6" t="str">
        <v>United States</v>
      </c>
      <c r="G13" s="6" t="str">
        <v>Swfte International Ltd</v>
      </c>
      <c r="H13" s="6" t="str">
        <v>Prepackaged Software</v>
      </c>
      <c r="I13" s="6" t="str">
        <v>87070W</v>
      </c>
      <c r="J13" s="6" t="str">
        <v>Swfte International Ltd</v>
      </c>
      <c r="K13" s="6" t="str">
        <v>Swfte International Ltd</v>
      </c>
      <c r="L13" s="7">
        <f>=DATE(1995,10,16)</f>
        <v>34987.99949074074</v>
      </c>
      <c r="M13" s="7">
        <f>=DATE(1995,11,2)</f>
        <v>35004.99949074074</v>
      </c>
      <c r="W13" s="6" t="str">
        <v>Applications Software(Home);Applications Software(Business;Other Software (inq. Games)</v>
      </c>
      <c r="X13" s="6" t="str">
        <v>Applications Software(Home);Other Software (inq. Games)</v>
      </c>
      <c r="Y13" s="6" t="str">
        <v>Applications Software(Home);Other Software (inq. Games)</v>
      </c>
      <c r="Z13" s="6" t="str">
        <v>Applications Software(Home);Other Software (inq. Games)</v>
      </c>
      <c r="AA13" s="6" t="str">
        <v>Applications Software(Business;Applications Software(Home);Other Software (inq. Games)</v>
      </c>
      <c r="AB13" s="6" t="str">
        <v>Other Software (inq. Games);Applications Software(Home);Applications Software(Business</v>
      </c>
    </row>
    <row r="14">
      <c r="A14" s="6" t="str">
        <v>594918</v>
      </c>
      <c r="B14" s="6" t="str">
        <v>United States</v>
      </c>
      <c r="C14" s="6" t="str">
        <v>Microsoft Corp</v>
      </c>
      <c r="D14" s="6" t="str">
        <v>Microsoft Corp</v>
      </c>
      <c r="F14" s="6" t="str">
        <v>United States</v>
      </c>
      <c r="G14" s="6" t="str">
        <v>Blue Ribbon SoundWorks Ltd</v>
      </c>
      <c r="H14" s="6" t="str">
        <v>Business Services</v>
      </c>
      <c r="I14" s="6" t="str">
        <v>09590W</v>
      </c>
      <c r="J14" s="6" t="str">
        <v>Blue Ribbon SoundWorks Ltd</v>
      </c>
      <c r="K14" s="6" t="str">
        <v>Blue Ribbon SoundWorks Ltd</v>
      </c>
      <c r="L14" s="7">
        <f>=DATE(1995,10,17)</f>
        <v>34988.99949074074</v>
      </c>
      <c r="M14" s="7">
        <f>=DATE(1995,10,17)</f>
        <v>34988.99949074074</v>
      </c>
      <c r="W14" s="6" t="str">
        <v>Operating Systems;Monitors/Terminals;Applications Software(Business;Internet Services &amp; Software;Computer Consulting Services;Other Peripherals</v>
      </c>
      <c r="X14" s="6" t="str">
        <v>Operating Systems</v>
      </c>
      <c r="Y14" s="6" t="str">
        <v>Operating Systems</v>
      </c>
      <c r="Z14" s="6" t="str">
        <v>Operating Systems</v>
      </c>
      <c r="AA14" s="6" t="str">
        <v>Other Peripherals;Applications Software(Business;Monitors/Terminals;Internet Services &amp; Software;Computer Consulting Services;Operating Systems</v>
      </c>
      <c r="AB14" s="6" t="str">
        <v>Monitors/Terminals;Operating Systems;Other Peripherals;Computer Consulting Services;Applications Software(Business;Internet Services &amp; Software</v>
      </c>
    </row>
    <row r="15">
      <c r="A15" s="6" t="str">
        <v>594918</v>
      </c>
      <c r="B15" s="6" t="str">
        <v>United States</v>
      </c>
      <c r="C15" s="6" t="str">
        <v>Microsoft Corp</v>
      </c>
      <c r="D15" s="6" t="str">
        <v>Microsoft Corp</v>
      </c>
      <c r="F15" s="6" t="str">
        <v>United States</v>
      </c>
      <c r="G15" s="6" t="str">
        <v>Netwise Inc</v>
      </c>
      <c r="H15" s="6" t="str">
        <v>Prepackaged Software</v>
      </c>
      <c r="I15" s="6" t="str">
        <v>64158W</v>
      </c>
      <c r="J15" s="6" t="str">
        <v>Netwise Inc</v>
      </c>
      <c r="K15" s="6" t="str">
        <v>Netwise Inc</v>
      </c>
      <c r="L15" s="7">
        <f>=DATE(1995,11,6)</f>
        <v>35008.99949074074</v>
      </c>
      <c r="M15" s="7">
        <f>=DATE(1995,11,6)</f>
        <v>35008.99949074074</v>
      </c>
      <c r="S15" s="8">
        <v>10</v>
      </c>
      <c r="W15" s="6" t="str">
        <v>Other Peripherals;Applications Software(Business;Operating Systems;Monitors/Terminals;Internet Services &amp; Software;Computer Consulting Services</v>
      </c>
      <c r="X15" s="6" t="str">
        <v>Communication/Network Software;Database Software/Programming;Utilities/File Mgmt Software;Other Computer Systems</v>
      </c>
      <c r="Y15" s="6" t="str">
        <v>Utilities/File Mgmt Software;Database Software/Programming;Other Computer Systems;Communication/Network Software</v>
      </c>
      <c r="Z15" s="6" t="str">
        <v>Utilities/File Mgmt Software;Other Computer Systems;Database Software/Programming;Communication/Network Software</v>
      </c>
      <c r="AA15" s="6" t="str">
        <v>Operating Systems;Computer Consulting Services;Monitors/Terminals;Applications Software(Business;Internet Services &amp; Software;Other Peripherals</v>
      </c>
      <c r="AB15" s="6" t="str">
        <v>Computer Consulting Services;Internet Services &amp; Software;Monitors/Terminals;Other Peripherals;Applications Software(Business;Operating Systems</v>
      </c>
    </row>
    <row r="16">
      <c r="A16" s="6" t="str">
        <v>594918</v>
      </c>
      <c r="B16" s="6" t="str">
        <v>United States</v>
      </c>
      <c r="C16" s="6" t="str">
        <v>Microsoft Corp</v>
      </c>
      <c r="D16" s="6" t="str">
        <v>Microsoft Corp</v>
      </c>
      <c r="F16" s="6" t="str">
        <v>United States</v>
      </c>
      <c r="G16" s="6" t="str">
        <v>Bruce Artwick Organization</v>
      </c>
      <c r="H16" s="6" t="str">
        <v>Business Services</v>
      </c>
      <c r="I16" s="6" t="str">
        <v>04315M</v>
      </c>
      <c r="J16" s="6" t="str">
        <v>Bruce Artwick Organization</v>
      </c>
      <c r="K16" s="6" t="str">
        <v>Bruce Artwick Organization</v>
      </c>
      <c r="L16" s="7">
        <f>=DATE(1995,12,11)</f>
        <v>35043.99949074074</v>
      </c>
      <c r="M16" s="7">
        <f>=DATE(1995,12,12)</f>
        <v>35044.99949074074</v>
      </c>
      <c r="W16" s="6" t="str">
        <v>Operating Systems;Applications Software(Business;Monitors/Terminals;Internet Services &amp; Software;Other Peripherals;Computer Consulting Services</v>
      </c>
      <c r="X16" s="6" t="str">
        <v>Programming Services</v>
      </c>
      <c r="Y16" s="6" t="str">
        <v>Programming Services</v>
      </c>
      <c r="Z16" s="6" t="str">
        <v>Programming Services</v>
      </c>
      <c r="AA16" s="6" t="str">
        <v>Internet Services &amp; Software;Applications Software(Business;Computer Consulting Services;Operating Systems;Other Peripherals;Monitors/Terminals</v>
      </c>
      <c r="AB16" s="6" t="str">
        <v>Operating Systems;Applications Software(Business;Internet Services &amp; Software;Monitors/Terminals;Computer Consulting Services;Other Peripherals</v>
      </c>
    </row>
    <row r="17">
      <c r="A17" s="6" t="str">
        <v>68628K</v>
      </c>
      <c r="B17" s="6" t="str">
        <v>United States</v>
      </c>
      <c r="C17" s="6" t="str">
        <v>Orion Network Systems Inc</v>
      </c>
      <c r="D17" s="6" t="str">
        <v>Orion Network Systems Inc</v>
      </c>
      <c r="F17" s="6" t="str">
        <v>United States</v>
      </c>
      <c r="G17" s="6" t="str">
        <v>Orion Atlantic</v>
      </c>
      <c r="H17" s="6" t="str">
        <v>Telecommunications</v>
      </c>
      <c r="I17" s="6" t="str">
        <v>68626Z</v>
      </c>
      <c r="J17" s="6" t="str">
        <v>Orion Atlantic</v>
      </c>
      <c r="K17" s="6" t="str">
        <v>Orion Atlantic</v>
      </c>
      <c r="L17" s="7">
        <f>=DATE(1995,12,15)</f>
        <v>35047.99949074074</v>
      </c>
      <c r="M17" s="7">
        <f>=DATE(1995,12,15)</f>
        <v>35047.99949074074</v>
      </c>
      <c r="N17" s="8">
        <v>8</v>
      </c>
      <c r="O17" s="8">
        <v>8</v>
      </c>
      <c r="W17" s="6" t="str">
        <v>Primary Business not Hi-Tech</v>
      </c>
      <c r="X17" s="6" t="str">
        <v>Communication/Network Software;Cellular Communications</v>
      </c>
      <c r="Y17" s="6" t="str">
        <v>Communication/Network Software;Cellular Communications</v>
      </c>
      <c r="Z17" s="6" t="str">
        <v>Cellular Communications;Communication/Network Software</v>
      </c>
      <c r="AA17" s="6" t="str">
        <v>Primary Business not Hi-Tech</v>
      </c>
      <c r="AB17" s="6" t="str">
        <v>Primary Business not Hi-Tech</v>
      </c>
      <c r="AC17" s="8">
        <v>8</v>
      </c>
      <c r="AD17" s="7">
        <f>=DATE(1995,12,15)</f>
        <v>35047.99949074074</v>
      </c>
      <c r="AF17" s="8" t="str">
        <v>96.39</v>
      </c>
      <c r="AG17" s="8" t="str">
        <v>96.39</v>
      </c>
    </row>
    <row r="18">
      <c r="A18" s="6" t="str">
        <v>594918</v>
      </c>
      <c r="B18" s="6" t="str">
        <v>United States</v>
      </c>
      <c r="C18" s="6" t="str">
        <v>Microsoft Corp</v>
      </c>
      <c r="D18" s="6" t="str">
        <v>Microsoft Corp</v>
      </c>
      <c r="F18" s="6" t="str">
        <v>United States</v>
      </c>
      <c r="G18" s="6" t="str">
        <v>Vermeer Technologies</v>
      </c>
      <c r="H18" s="6" t="str">
        <v>Prepackaged Software</v>
      </c>
      <c r="I18" s="6" t="str">
        <v>92346C</v>
      </c>
      <c r="J18" s="6" t="str">
        <v>Vermeer Technologies</v>
      </c>
      <c r="K18" s="6" t="str">
        <v>Vermeer Technologies</v>
      </c>
      <c r="L18" s="7">
        <f>=DATE(1996,1,16)</f>
        <v>35079.99949074074</v>
      </c>
      <c r="M18" s="7">
        <f>=DATE(1996,1,16)</f>
        <v>35079.99949074074</v>
      </c>
      <c r="W18" s="6" t="str">
        <v>Internet Services &amp; Software;Monitors/Terminals;Other Peripherals;Applications Software(Business;Computer Consulting Services;Operating Systems</v>
      </c>
      <c r="X18" s="6" t="str">
        <v>Communication/Network Software</v>
      </c>
      <c r="Y18" s="6" t="str">
        <v>Communication/Network Software</v>
      </c>
      <c r="Z18" s="6" t="str">
        <v>Communication/Network Software</v>
      </c>
      <c r="AA18" s="6" t="str">
        <v>Applications Software(Business;Computer Consulting Services;Monitors/Terminals;Operating Systems;Other Peripherals;Internet Services &amp; Software</v>
      </c>
      <c r="AB18" s="6" t="str">
        <v>Computer Consulting Services;Monitors/Terminals;Operating Systems;Applications Software(Business;Internet Services &amp; Software;Other Peripherals</v>
      </c>
    </row>
    <row r="19">
      <c r="A19" s="6" t="str">
        <v>594918</v>
      </c>
      <c r="B19" s="6" t="str">
        <v>United States</v>
      </c>
      <c r="C19" s="6" t="str">
        <v>Microsoft Corp</v>
      </c>
      <c r="D19" s="6" t="str">
        <v>Microsoft Corp</v>
      </c>
      <c r="F19" s="6" t="str">
        <v>United States</v>
      </c>
      <c r="G19" s="6" t="str">
        <v>Aspect Software Engineering</v>
      </c>
      <c r="H19" s="6" t="str">
        <v>Prepackaged Software</v>
      </c>
      <c r="I19" s="6" t="str">
        <v>04524Y</v>
      </c>
      <c r="J19" s="6" t="str">
        <v>Aspect Software Engineering</v>
      </c>
      <c r="K19" s="6" t="str">
        <v>Aspect Software Engineering</v>
      </c>
      <c r="L19" s="7">
        <f>=DATE(1996,3,12)</f>
        <v>35135.99949074074</v>
      </c>
      <c r="M19" s="7">
        <f>=DATE(1996,4,23)</f>
        <v>35177.99949074074</v>
      </c>
      <c r="N19" s="8">
        <v>14.15</v>
      </c>
      <c r="O19" s="8">
        <v>14.15</v>
      </c>
      <c r="W19" s="6" t="str">
        <v>Operating Systems;Internet Services &amp; Software;Applications Software(Business;Monitors/Terminals;Other Peripherals;Computer Consulting Services</v>
      </c>
      <c r="X19" s="6" t="str">
        <v>Other Software (inq. Games)</v>
      </c>
      <c r="Y19" s="6" t="str">
        <v>Other Software (inq. Games)</v>
      </c>
      <c r="Z19" s="6" t="str">
        <v>Other Software (inq. Games)</v>
      </c>
      <c r="AA19" s="6" t="str">
        <v>Internet Services &amp; Software;Operating Systems;Computer Consulting Services;Applications Software(Business;Other Peripherals;Monitors/Terminals</v>
      </c>
      <c r="AB19" s="6" t="str">
        <v>Internet Services &amp; Software;Other Peripherals;Monitors/Terminals;Computer Consulting Services;Operating Systems;Applications Software(Business</v>
      </c>
      <c r="AC19" s="8">
        <v>14.15</v>
      </c>
      <c r="AD19" s="7">
        <f>=DATE(1996,4,23)</f>
        <v>35177.99949074074</v>
      </c>
      <c r="AF19" s="8" t="str">
        <v>14.15</v>
      </c>
      <c r="AG19" s="8" t="str">
        <v>14.15</v>
      </c>
    </row>
    <row r="20">
      <c r="A20" s="6" t="str">
        <v>594918</v>
      </c>
      <c r="B20" s="6" t="str">
        <v>United States</v>
      </c>
      <c r="C20" s="6" t="str">
        <v>Microsoft Corp</v>
      </c>
      <c r="D20" s="6" t="str">
        <v>Microsoft Corp</v>
      </c>
      <c r="F20" s="6" t="str">
        <v>United States</v>
      </c>
      <c r="G20" s="6" t="str">
        <v>Colusa Software Inc</v>
      </c>
      <c r="H20" s="6" t="str">
        <v>Prepackaged Software</v>
      </c>
      <c r="I20" s="6" t="str">
        <v>19690W</v>
      </c>
      <c r="J20" s="6" t="str">
        <v>Colusa Software Inc</v>
      </c>
      <c r="K20" s="6" t="str">
        <v>Colusa Software Inc</v>
      </c>
      <c r="L20" s="7">
        <f>=DATE(1996,3,12)</f>
        <v>35135.99949074074</v>
      </c>
      <c r="M20" s="7">
        <f>=DATE(1996,3,12)</f>
        <v>35135.99949074074</v>
      </c>
      <c r="W20" s="6" t="str">
        <v>Applications Software(Business;Operating Systems;Internet Services &amp; Software;Computer Consulting Services;Other Peripherals;Monitors/Terminals</v>
      </c>
      <c r="X20" s="6" t="str">
        <v>Database Software/Programming;Applications Software(Home);Applications Software(Business;Other Software (inq. Games)</v>
      </c>
      <c r="Y20" s="6" t="str">
        <v>Applications Software(Business;Other Software (inq. Games);Database Software/Programming;Applications Software(Home)</v>
      </c>
      <c r="Z20" s="6" t="str">
        <v>Applications Software(Home);Database Software/Programming;Applications Software(Business;Other Software (inq. Games)</v>
      </c>
      <c r="AA20" s="6" t="str">
        <v>Internet Services &amp; Software;Applications Software(Business;Operating Systems;Other Peripherals;Monitors/Terminals;Computer Consulting Services</v>
      </c>
      <c r="AB20" s="6" t="str">
        <v>Operating Systems;Computer Consulting Services;Internet Services &amp; Software;Monitors/Terminals;Applications Software(Business;Other Peripherals</v>
      </c>
    </row>
    <row r="21">
      <c r="A21" s="6" t="str">
        <v>594918</v>
      </c>
      <c r="B21" s="6" t="str">
        <v>United States</v>
      </c>
      <c r="C21" s="6" t="str">
        <v>Microsoft Corp</v>
      </c>
      <c r="D21" s="6" t="str">
        <v>Microsoft Corp</v>
      </c>
      <c r="F21" s="6" t="str">
        <v>United States</v>
      </c>
      <c r="G21" s="6" t="str">
        <v>Mobile Telecommunications Technologies Corp</v>
      </c>
      <c r="H21" s="6" t="str">
        <v>Telecommunications</v>
      </c>
      <c r="I21" s="6" t="str">
        <v>607406</v>
      </c>
      <c r="J21" s="6" t="str">
        <v>Mobile Telecommunications Technologies Corp</v>
      </c>
      <c r="K21" s="6" t="str">
        <v>Mobile Telecommunications Technologies Corp</v>
      </c>
      <c r="L21" s="7">
        <f>=DATE(1996,4,1)</f>
        <v>35155.99949074074</v>
      </c>
      <c r="M21" s="7">
        <f>=DATE(1996,4,1)</f>
        <v>35155.99949074074</v>
      </c>
      <c r="N21" s="8">
        <v>25</v>
      </c>
      <c r="O21" s="8">
        <v>25</v>
      </c>
      <c r="P21" s="8" t="str">
        <v>1,512.48</v>
      </c>
      <c r="R21" s="8">
        <v>-52.027</v>
      </c>
      <c r="S21" s="8">
        <v>245.991</v>
      </c>
      <c r="T21" s="8">
        <v>61.119</v>
      </c>
      <c r="U21" s="8">
        <v>-207.686</v>
      </c>
      <c r="V21" s="8">
        <v>10.559</v>
      </c>
      <c r="W21" s="6" t="str">
        <v>Applications Software(Business;Computer Consulting Services;Internet Services &amp; Software;Operating Systems;Other Peripherals;Monitors/Terminals</v>
      </c>
      <c r="X21" s="6" t="str">
        <v>Cellular Communications</v>
      </c>
      <c r="Y21" s="6" t="str">
        <v>Cellular Communications</v>
      </c>
      <c r="Z21" s="6" t="str">
        <v>Cellular Communications</v>
      </c>
      <c r="AA21" s="6" t="str">
        <v>Other Peripherals;Computer Consulting Services;Applications Software(Business;Monitors/Terminals;Operating Systems;Internet Services &amp; Software</v>
      </c>
      <c r="AB21" s="6" t="str">
        <v>Applications Software(Business;Operating Systems;Internet Services &amp; Software;Other Peripherals;Computer Consulting Services;Monitors/Terminals</v>
      </c>
      <c r="AC21" s="8">
        <v>25</v>
      </c>
      <c r="AD21" s="7">
        <f>=DATE(1996,4,1)</f>
        <v>35155.99949074074</v>
      </c>
      <c r="AF21" s="8" t="str">
        <v>1,512.42</v>
      </c>
      <c r="AG21" s="8" t="str">
        <v>1,512.42</v>
      </c>
    </row>
    <row r="22">
      <c r="A22" s="6" t="str">
        <v>594918</v>
      </c>
      <c r="B22" s="6" t="str">
        <v>United States</v>
      </c>
      <c r="C22" s="6" t="str">
        <v>Microsoft Corp</v>
      </c>
      <c r="D22" s="6" t="str">
        <v>Microsoft Corp</v>
      </c>
      <c r="F22" s="6" t="str">
        <v>United States</v>
      </c>
      <c r="G22" s="6" t="str">
        <v>Exos Inc</v>
      </c>
      <c r="H22" s="6" t="str">
        <v>Miscellaneous Manufacturing</v>
      </c>
      <c r="I22" s="6" t="str">
        <v>30222N</v>
      </c>
      <c r="J22" s="6" t="str">
        <v>Exos Inc</v>
      </c>
      <c r="K22" s="6" t="str">
        <v>Exos Inc</v>
      </c>
      <c r="L22" s="7">
        <f>=DATE(1996,4,16)</f>
        <v>35170.99949074074</v>
      </c>
      <c r="M22" s="7">
        <f>=DATE(1996,4,16)</f>
        <v>35170.99949074074</v>
      </c>
      <c r="W22" s="6" t="str">
        <v>Internet Services &amp; Software;Other Peripherals;Computer Consulting Services;Applications Software(Business;Monitors/Terminals;Operating Systems</v>
      </c>
      <c r="X22" s="6" t="str">
        <v>Other Electronics</v>
      </c>
      <c r="Y22" s="6" t="str">
        <v>Other Electronics</v>
      </c>
      <c r="Z22" s="6" t="str">
        <v>Other Electronics</v>
      </c>
      <c r="AA22" s="6" t="str">
        <v>Monitors/Terminals;Internet Services &amp; Software;Computer Consulting Services;Applications Software(Business;Other Peripherals;Operating Systems</v>
      </c>
      <c r="AB22" s="6" t="str">
        <v>Operating Systems;Computer Consulting Services;Internet Services &amp; Software;Monitors/Terminals;Other Peripherals;Applications Software(Business</v>
      </c>
    </row>
    <row r="23">
      <c r="A23" s="6" t="str">
        <v>594918</v>
      </c>
      <c r="B23" s="6" t="str">
        <v>United States</v>
      </c>
      <c r="C23" s="6" t="str">
        <v>Microsoft Corp</v>
      </c>
      <c r="D23" s="6" t="str">
        <v>Microsoft Corp</v>
      </c>
      <c r="F23" s="6" t="str">
        <v>United States</v>
      </c>
      <c r="G23" s="6" t="str">
        <v>eShop Inc</v>
      </c>
      <c r="H23" s="6" t="str">
        <v>Prepackaged Software</v>
      </c>
      <c r="I23" s="6" t="str">
        <v>88074N</v>
      </c>
      <c r="J23" s="6" t="str">
        <v>eShop Inc</v>
      </c>
      <c r="K23" s="6" t="str">
        <v>eShop Inc</v>
      </c>
      <c r="L23" s="7">
        <f>=DATE(1996,6,10)</f>
        <v>35225.99949074074</v>
      </c>
      <c r="M23" s="7">
        <f>=DATE(1996,6,11)</f>
        <v>35226.99949074074</v>
      </c>
      <c r="W23" s="6" t="str">
        <v>Internet Services &amp; Software;Other Peripherals;Operating Systems;Computer Consulting Services;Applications Software(Business;Monitors/Terminals</v>
      </c>
      <c r="X23" s="6" t="str">
        <v>Applications Software(Home);Applications Software(Business</v>
      </c>
      <c r="Y23" s="6" t="str">
        <v>Applications Software(Business;Applications Software(Home)</v>
      </c>
      <c r="Z23" s="6" t="str">
        <v>Applications Software(Business;Applications Software(Home)</v>
      </c>
      <c r="AA23" s="6" t="str">
        <v>Operating Systems;Internet Services &amp; Software;Computer Consulting Services;Applications Software(Business;Monitors/Terminals;Other Peripherals</v>
      </c>
      <c r="AB23" s="6" t="str">
        <v>Internet Services &amp; Software;Computer Consulting Services;Other Peripherals;Applications Software(Business;Operating Systems;Monitors/Terminals</v>
      </c>
    </row>
    <row r="24">
      <c r="A24" s="6" t="str">
        <v>594918</v>
      </c>
      <c r="B24" s="6" t="str">
        <v>United States</v>
      </c>
      <c r="C24" s="6" t="str">
        <v>Microsoft Corp</v>
      </c>
      <c r="D24" s="6" t="str">
        <v>Microsoft Corp</v>
      </c>
      <c r="F24" s="6" t="str">
        <v>United States</v>
      </c>
      <c r="G24" s="6" t="str">
        <v>SingleTrac Entertainment Technologies Inc</v>
      </c>
      <c r="H24" s="6" t="str">
        <v>Prepackaged Software</v>
      </c>
      <c r="I24" s="6" t="str">
        <v>82932Y</v>
      </c>
      <c r="J24" s="6" t="str">
        <v>SingleTrac Entertainment Technologies Inc</v>
      </c>
      <c r="K24" s="6" t="str">
        <v>SingleTrac Entertainment Technologies Inc</v>
      </c>
      <c r="L24" s="7">
        <f>=DATE(1996,9,9)</f>
        <v>35316.99949074074</v>
      </c>
      <c r="M24" s="7">
        <f>=DATE(1996,9,9)</f>
        <v>35316.99949074074</v>
      </c>
      <c r="W24" s="6" t="str">
        <v>Other Peripherals;Monitors/Terminals;Applications Software(Business;Operating Systems;Internet Services &amp; Software;Computer Consulting Services</v>
      </c>
      <c r="X24" s="6" t="str">
        <v>Other Software (inq. Games)</v>
      </c>
      <c r="Y24" s="6" t="str">
        <v>Other Software (inq. Games)</v>
      </c>
      <c r="Z24" s="6" t="str">
        <v>Other Software (inq. Games)</v>
      </c>
      <c r="AA24" s="6" t="str">
        <v>Applications Software(Business;Computer Consulting Services;Other Peripherals;Operating Systems;Internet Services &amp; Software;Monitors/Terminals</v>
      </c>
      <c r="AB24" s="6" t="str">
        <v>Other Peripherals;Computer Consulting Services;Internet Services &amp; Software;Operating Systems;Monitors/Terminals;Applications Software(Business</v>
      </c>
    </row>
    <row r="25">
      <c r="A25" s="6" t="str">
        <v>25433J</v>
      </c>
      <c r="B25" s="6" t="str">
        <v>United States</v>
      </c>
      <c r="C25" s="6" t="str">
        <v>Dimension X Inc</v>
      </c>
      <c r="D25" s="6" t="str">
        <v>Dimension X Inc</v>
      </c>
      <c r="F25" s="6" t="str">
        <v>United States</v>
      </c>
      <c r="G25" s="6" t="str">
        <v>Anyware Fast Inc</v>
      </c>
      <c r="H25" s="6" t="str">
        <v>Business Services</v>
      </c>
      <c r="I25" s="6" t="str">
        <v>03690X</v>
      </c>
      <c r="J25" s="6" t="str">
        <v>Anyware Fast Inc</v>
      </c>
      <c r="K25" s="6" t="str">
        <v>Anyware Fast Inc</v>
      </c>
      <c r="L25" s="7">
        <f>=DATE(1996,9,25)</f>
        <v>35332.99949074074</v>
      </c>
      <c r="M25" s="7">
        <f>=DATE(1996,9,25)</f>
        <v>35332.99949074074</v>
      </c>
      <c r="W25" s="6" t="str">
        <v>Other Software (inq. Games)</v>
      </c>
      <c r="X25" s="6" t="str">
        <v>Programming Services;Database Software/Programming</v>
      </c>
      <c r="Y25" s="6" t="str">
        <v>Programming Services;Database Software/Programming</v>
      </c>
      <c r="Z25" s="6" t="str">
        <v>Programming Services;Database Software/Programming</v>
      </c>
      <c r="AA25" s="6" t="str">
        <v>Other Software (inq. Games)</v>
      </c>
      <c r="AB25" s="6" t="str">
        <v>Other Software (inq. Games)</v>
      </c>
    </row>
    <row r="26">
      <c r="A26" s="6" t="str">
        <v>594918</v>
      </c>
      <c r="B26" s="6" t="str">
        <v>United States</v>
      </c>
      <c r="C26" s="6" t="str">
        <v>Microsoft Corp</v>
      </c>
      <c r="D26" s="6" t="str">
        <v>Microsoft Corp</v>
      </c>
      <c r="E26" s="6" t="str">
        <v>Microsoft Corp</v>
      </c>
      <c r="F26" s="6" t="str">
        <v>United States</v>
      </c>
      <c r="G26" s="6" t="str">
        <v>WebTV Networks Inc</v>
      </c>
      <c r="H26" s="6" t="str">
        <v>Business Services</v>
      </c>
      <c r="I26" s="6" t="str">
        <v>94733N</v>
      </c>
      <c r="J26" s="6" t="str">
        <v>WebTV Networks Inc</v>
      </c>
      <c r="K26" s="6" t="str">
        <v>WebTV Networks Inc</v>
      </c>
      <c r="L26" s="7">
        <f>=DATE(1996,10,1)</f>
        <v>35338.99949074074</v>
      </c>
      <c r="M26" s="7">
        <f>=DATE(1996,10,1)</f>
        <v>35338.99949074074</v>
      </c>
      <c r="Q26" s="8" t="str">
        <v>425.00</v>
      </c>
      <c r="W26" s="6" t="str">
        <v>Computer Consulting Services;Monitors/Terminals;Internet Services &amp; Software;Applications Software(Business;Other Peripherals;Operating Systems</v>
      </c>
      <c r="X26" s="6" t="str">
        <v>Internet Services &amp; Software;Communication/Network Software</v>
      </c>
      <c r="Y26" s="6" t="str">
        <v>Communication/Network Software;Internet Services &amp; Software</v>
      </c>
      <c r="Z26" s="6" t="str">
        <v>Communication/Network Software;Internet Services &amp; Software</v>
      </c>
      <c r="AA26" s="6" t="str">
        <v>Operating Systems;Other Peripherals;Applications Software(Business;Monitors/Terminals;Computer Consulting Services;Internet Services &amp; Software</v>
      </c>
      <c r="AB26" s="6" t="str">
        <v>Applications Software(Business;Monitors/Terminals;Computer Consulting Services;Operating Systems;Internet Services &amp; Software;Other Peripherals</v>
      </c>
    </row>
    <row r="27">
      <c r="A27" s="6" t="str">
        <v>594918</v>
      </c>
      <c r="B27" s="6" t="str">
        <v>United States</v>
      </c>
      <c r="C27" s="6" t="str">
        <v>Microsoft Corp</v>
      </c>
      <c r="D27" s="6" t="str">
        <v>Microsoft Corp</v>
      </c>
      <c r="F27" s="6" t="str">
        <v>United States</v>
      </c>
      <c r="G27" s="6" t="str">
        <v>VDOnet Corp Ltd</v>
      </c>
      <c r="H27" s="6" t="str">
        <v>Business Services</v>
      </c>
      <c r="I27" s="6" t="str">
        <v>91839F</v>
      </c>
      <c r="J27" s="6" t="str">
        <v>VDOnet Corp Ltd</v>
      </c>
      <c r="K27" s="6" t="str">
        <v>VDOnet Corp Ltd</v>
      </c>
      <c r="L27" s="7">
        <f>=DATE(1996,10,28)</f>
        <v>35365.99949074074</v>
      </c>
      <c r="M27" s="7">
        <f>=DATE(1996,10,28)</f>
        <v>35365.99949074074</v>
      </c>
      <c r="W27" s="6" t="str">
        <v>Other Peripherals;Operating Systems;Internet Services &amp; Software;Applications Software(Business;Computer Consulting Services;Monitors/Terminals</v>
      </c>
      <c r="X27" s="6" t="str">
        <v>Communication/Network Software;Internet Services &amp; Software;Applications Software(Business</v>
      </c>
      <c r="Y27" s="6" t="str">
        <v>Communication/Network Software;Internet Services &amp; Software;Applications Software(Business</v>
      </c>
      <c r="Z27" s="6" t="str">
        <v>Internet Services &amp; Software;Applications Software(Business;Communication/Network Software</v>
      </c>
      <c r="AA27" s="6" t="str">
        <v>Applications Software(Business;Computer Consulting Services;Monitors/Terminals;Operating Systems;Internet Services &amp; Software;Other Peripherals</v>
      </c>
      <c r="AB27" s="6" t="str">
        <v>Other Peripherals;Applications Software(Business;Operating Systems;Internet Services &amp; Software;Monitors/Terminals;Computer Consulting Services</v>
      </c>
    </row>
    <row r="28">
      <c r="A28" s="6" t="str">
        <v>594918</v>
      </c>
      <c r="B28" s="6" t="str">
        <v>United States</v>
      </c>
      <c r="C28" s="6" t="str">
        <v>Microsoft Corp</v>
      </c>
      <c r="D28" s="6" t="str">
        <v>Microsoft Corp</v>
      </c>
      <c r="F28" s="6" t="str">
        <v>United States</v>
      </c>
      <c r="G28" s="6" t="str">
        <v>Microsoft Network LLC{MSN}</v>
      </c>
      <c r="H28" s="6" t="str">
        <v>Business Services</v>
      </c>
      <c r="I28" s="6" t="str">
        <v>59493Z</v>
      </c>
      <c r="J28" s="6" t="str">
        <v>Microsoft Corp</v>
      </c>
      <c r="K28" s="6" t="str">
        <v>Microsoft Corp</v>
      </c>
      <c r="L28" s="7">
        <f>=DATE(1996,11,15)</f>
        <v>35383.99949074074</v>
      </c>
      <c r="M28" s="7">
        <f>=DATE(1996,11,15)</f>
        <v>35383.99949074074</v>
      </c>
      <c r="N28" s="8">
        <v>125</v>
      </c>
      <c r="O28" s="8">
        <v>125</v>
      </c>
      <c r="W28" s="6" t="str">
        <v>Internet Services &amp; Software;Applications Software(Business;Operating Systems;Monitors/Terminals;Other Peripherals;Computer Consulting Services</v>
      </c>
      <c r="X28" s="6" t="str">
        <v>Internet Services &amp; Software;Communication/Network Software</v>
      </c>
      <c r="Y28" s="6" t="str">
        <v>Computer Consulting Services;Operating Systems;Monitors/Terminals;Internet Services &amp; Software;Applications Software(Business;Other Peripherals</v>
      </c>
      <c r="Z28" s="6" t="str">
        <v>Operating Systems;Internet Services &amp; Software;Computer Consulting Services;Other Peripherals;Monitors/Terminals;Applications Software(Business</v>
      </c>
      <c r="AA28" s="6" t="str">
        <v>Other Peripherals;Internet Services &amp; Software;Monitors/Terminals;Applications Software(Business;Operating Systems;Computer Consulting Services</v>
      </c>
      <c r="AB28" s="6" t="str">
        <v>Applications Software(Business;Other Peripherals;Internet Services &amp; Software;Operating Systems;Computer Consulting Services;Monitors/Terminals</v>
      </c>
      <c r="AC28" s="8">
        <v>125</v>
      </c>
      <c r="AD28" s="7">
        <f>=DATE(1996,11,15)</f>
        <v>35383.99949074074</v>
      </c>
      <c r="AF28" s="8" t="str">
        <v>625.00</v>
      </c>
      <c r="AG28" s="8" t="str">
        <v>625.00</v>
      </c>
    </row>
    <row r="29">
      <c r="A29" s="6" t="str">
        <v>594918</v>
      </c>
      <c r="B29" s="6" t="str">
        <v>United States</v>
      </c>
      <c r="C29" s="6" t="str">
        <v>Microsoft Corp</v>
      </c>
      <c r="D29" s="6" t="str">
        <v>Microsoft Corp</v>
      </c>
      <c r="E29" s="6" t="str">
        <v>Microsoft Corp</v>
      </c>
      <c r="F29" s="6" t="str">
        <v>United States</v>
      </c>
      <c r="G29" s="6" t="str">
        <v>CMG Information Services Inc</v>
      </c>
      <c r="H29" s="6" t="str">
        <v>Business Services</v>
      </c>
      <c r="I29" s="6" t="str">
        <v>125750</v>
      </c>
      <c r="J29" s="6" t="str">
        <v>CMG Information Services Inc</v>
      </c>
      <c r="K29" s="6" t="str">
        <v>CMG Information Services Inc</v>
      </c>
      <c r="L29" s="7">
        <f>=DATE(1996,12,10)</f>
        <v>35408.99949074074</v>
      </c>
      <c r="M29" s="7">
        <f>=DATE(1997,2,3)</f>
        <v>35463.99949074074</v>
      </c>
      <c r="Q29" s="8" t="str">
        <v>20.00</v>
      </c>
      <c r="R29" s="8">
        <v>14.322</v>
      </c>
      <c r="S29" s="8">
        <v>28.485</v>
      </c>
      <c r="T29" s="8">
        <v>48.043</v>
      </c>
      <c r="U29" s="8">
        <v>10.693</v>
      </c>
      <c r="V29" s="8">
        <v>-4.772</v>
      </c>
      <c r="W29" s="6" t="str">
        <v>Applications Software(Business;Computer Consulting Services;Monitors/Terminals;Internet Services &amp; Software;Operating Systems;Other Peripherals</v>
      </c>
      <c r="X29" s="6" t="str">
        <v>Communication/Network Software;Primary Business not Hi-Tech;Internet Services &amp; Software</v>
      </c>
      <c r="Y29" s="6" t="str">
        <v>Primary Business not Hi-Tech;Communication/Network Software;Internet Services &amp; Software</v>
      </c>
      <c r="Z29" s="6" t="str">
        <v>Communication/Network Software;Primary Business not Hi-Tech;Internet Services &amp; Software</v>
      </c>
      <c r="AA29" s="6" t="str">
        <v>Other Peripherals;Monitors/Terminals;Computer Consulting Services;Operating Systems;Applications Software(Business;Internet Services &amp; Software</v>
      </c>
      <c r="AB29" s="6" t="str">
        <v>Applications Software(Business;Monitors/Terminals;Operating Systems;Computer Consulting Services;Internet Services &amp; Software;Other Peripherals</v>
      </c>
    </row>
    <row r="30">
      <c r="A30" s="6" t="str">
        <v>594918</v>
      </c>
      <c r="B30" s="6" t="str">
        <v>United States</v>
      </c>
      <c r="C30" s="6" t="str">
        <v>Microsoft Corp</v>
      </c>
      <c r="D30" s="6" t="str">
        <v>Microsoft Corp</v>
      </c>
      <c r="E30" s="6" t="str">
        <v>Microsoft Corp</v>
      </c>
      <c r="F30" s="6" t="str">
        <v>United States</v>
      </c>
      <c r="G30" s="6" t="str">
        <v>NetCarta Corp(CMG Information Service Inc)</v>
      </c>
      <c r="H30" s="6" t="str">
        <v>Prepackaged Software</v>
      </c>
      <c r="I30" s="6" t="str">
        <v>64109Q</v>
      </c>
      <c r="J30" s="6" t="str">
        <v>CMG Information Services Inc</v>
      </c>
      <c r="K30" s="6" t="str">
        <v>CMG Information Services Inc</v>
      </c>
      <c r="L30" s="7">
        <f>=DATE(1996,12,10)</f>
        <v>35408.99949074074</v>
      </c>
      <c r="M30" s="7">
        <f>=DATE(1997,2,3)</f>
        <v>35463.99949074074</v>
      </c>
      <c r="N30" s="8">
        <v>20</v>
      </c>
      <c r="O30" s="8">
        <v>20</v>
      </c>
      <c r="W30" s="6" t="str">
        <v>Other Peripherals;Computer Consulting Services;Internet Services &amp; Software;Applications Software(Business;Operating Systems;Monitors/Terminals</v>
      </c>
      <c r="X30" s="6" t="str">
        <v>Internet Services &amp; Software;Communication/Network Software</v>
      </c>
      <c r="Y30" s="6" t="str">
        <v>Primary Business not Hi-Tech;Communication/Network Software;Internet Services &amp; Software</v>
      </c>
      <c r="Z30" s="6" t="str">
        <v>Internet Services &amp; Software;Primary Business not Hi-Tech;Communication/Network Software</v>
      </c>
      <c r="AA30" s="6" t="str">
        <v>Computer Consulting Services;Other Peripherals;Applications Software(Business;Internet Services &amp; Software;Operating Systems;Monitors/Terminals</v>
      </c>
      <c r="AB30" s="6" t="str">
        <v>Monitors/Terminals;Computer Consulting Services;Internet Services &amp; Software;Operating Systems;Other Peripherals;Applications Software(Business</v>
      </c>
      <c r="AC30" s="8">
        <v>20</v>
      </c>
      <c r="AD30" s="7">
        <f>=DATE(1996,12,10)</f>
        <v>35408.99949074074</v>
      </c>
    </row>
    <row r="31">
      <c r="A31" s="6" t="str">
        <v>68628K</v>
      </c>
      <c r="B31" s="6" t="str">
        <v>United States</v>
      </c>
      <c r="C31" s="6" t="str">
        <v>Orion Network Systems Inc</v>
      </c>
      <c r="D31" s="6" t="str">
        <v>Orion Network Systems Inc</v>
      </c>
      <c r="F31" s="6" t="str">
        <v>United States</v>
      </c>
      <c r="G31" s="6" t="str">
        <v>Orion Atlantic</v>
      </c>
      <c r="H31" s="6" t="str">
        <v>Telecommunications</v>
      </c>
      <c r="I31" s="6" t="str">
        <v>68626Z</v>
      </c>
      <c r="J31" s="6" t="str">
        <v>Orion Atlantic</v>
      </c>
      <c r="K31" s="6" t="str">
        <v>Orion Atlantic</v>
      </c>
      <c r="L31" s="7">
        <f>=DATE(1996,12,16)</f>
        <v>35414.99949074074</v>
      </c>
      <c r="M31" s="7">
        <f>=DATE(1997,1,31)</f>
        <v>35460.99949074074</v>
      </c>
      <c r="N31" s="8">
        <v>122</v>
      </c>
      <c r="O31" s="8">
        <v>122</v>
      </c>
      <c r="W31" s="6" t="str">
        <v>Primary Business not Hi-Tech</v>
      </c>
      <c r="X31" s="6" t="str">
        <v>Communication/Network Software;Cellular Communications</v>
      </c>
      <c r="Y31" s="6" t="str">
        <v>Communication/Network Software;Cellular Communications</v>
      </c>
      <c r="Z31" s="6" t="str">
        <v>Communication/Network Software;Cellular Communications</v>
      </c>
      <c r="AA31" s="6" t="str">
        <v>Primary Business not Hi-Tech</v>
      </c>
      <c r="AB31" s="6" t="str">
        <v>Primary Business not Hi-Tech</v>
      </c>
      <c r="AC31" s="8">
        <v>122</v>
      </c>
      <c r="AD31" s="7">
        <f>=DATE(1996,12,16)</f>
        <v>35414.99949074074</v>
      </c>
      <c r="AF31" s="8" t="str">
        <v>122.00</v>
      </c>
      <c r="AG31" s="8" t="str">
        <v>122.00</v>
      </c>
    </row>
    <row r="32">
      <c r="A32" s="6" t="str">
        <v>037833</v>
      </c>
      <c r="B32" s="6" t="str">
        <v>United States</v>
      </c>
      <c r="C32" s="6" t="str">
        <v>Apple Computer Inc</v>
      </c>
      <c r="D32" s="6" t="str">
        <v>Apple Computer Inc</v>
      </c>
      <c r="F32" s="6" t="str">
        <v>United States</v>
      </c>
      <c r="G32" s="6" t="str">
        <v>NeXT Computer Inc</v>
      </c>
      <c r="H32" s="6" t="str">
        <v>Business Services</v>
      </c>
      <c r="I32" s="6" t="str">
        <v>65332U</v>
      </c>
      <c r="J32" s="6" t="str">
        <v>NeXT Computer Inc</v>
      </c>
      <c r="K32" s="6" t="str">
        <v>NeXT Computer Inc</v>
      </c>
      <c r="L32" s="7">
        <f>=DATE(1996,12,20)</f>
        <v>35418.99949074074</v>
      </c>
      <c r="M32" s="7">
        <f>=DATE(1997,2,7)</f>
        <v>35467.99949074074</v>
      </c>
      <c r="N32" s="8">
        <v>404</v>
      </c>
      <c r="O32" s="8">
        <v>404</v>
      </c>
      <c r="W32" s="6" t="str">
        <v>Mainframes &amp; Super Computers;Printers;Other Software (inq. Games);Monitors/Terminals;Portable Computers;Other Peripherals;Micro-Computers (PCs);Disk Drives</v>
      </c>
      <c r="X32" s="6" t="str">
        <v>Programming Services</v>
      </c>
      <c r="Y32" s="6" t="str">
        <v>Programming Services</v>
      </c>
      <c r="Z32" s="6" t="str">
        <v>Programming Services</v>
      </c>
      <c r="AA32" s="6" t="str">
        <v>Other Peripherals;Printers;Disk Drives;Micro-Computers (PCs);Monitors/Terminals;Other Software (inq. Games);Mainframes &amp; Super Computers;Portable Computers</v>
      </c>
      <c r="AB32" s="6" t="str">
        <v>Mainframes &amp; Super Computers;Other Software (inq. Games);Micro-Computers (PCs);Disk Drives;Other Peripherals;Monitors/Terminals;Printers;Portable Computers</v>
      </c>
      <c r="AC32" s="8">
        <v>404</v>
      </c>
      <c r="AD32" s="7">
        <f>=DATE(1996,12,20)</f>
        <v>35418.99949074074</v>
      </c>
      <c r="AF32" s="8" t="str">
        <v>404.00</v>
      </c>
      <c r="AG32" s="8" t="str">
        <v>404.00</v>
      </c>
    </row>
    <row r="33">
      <c r="A33" s="6" t="str">
        <v>594918</v>
      </c>
      <c r="B33" s="6" t="str">
        <v>United States</v>
      </c>
      <c r="C33" s="6" t="str">
        <v>Microsoft Corp</v>
      </c>
      <c r="D33" s="6" t="str">
        <v>Microsoft Corp</v>
      </c>
      <c r="F33" s="6" t="str">
        <v>United States</v>
      </c>
      <c r="G33" s="6" t="str">
        <v>Digital Anvil</v>
      </c>
      <c r="H33" s="6" t="str">
        <v>Prepackaged Software</v>
      </c>
      <c r="I33" s="6" t="str">
        <v>25382K</v>
      </c>
      <c r="J33" s="6" t="str">
        <v>Digital Anvil</v>
      </c>
      <c r="K33" s="6" t="str">
        <v>Digital Anvil</v>
      </c>
      <c r="L33" s="7">
        <f>=DATE(1997,2,18)</f>
        <v>35478.99949074074</v>
      </c>
      <c r="M33" s="7">
        <f>=DATE(1997,2,18)</f>
        <v>35478.99949074074</v>
      </c>
      <c r="W33" s="6" t="str">
        <v>Applications Software(Business;Operating Systems;Computer Consulting Services;Internet Services &amp; Software;Other Peripherals;Monitors/Terminals</v>
      </c>
      <c r="X33" s="6" t="str">
        <v>Other Software (inq. Games)</v>
      </c>
      <c r="Y33" s="6" t="str">
        <v>Other Software (inq. Games)</v>
      </c>
      <c r="Z33" s="6" t="str">
        <v>Other Software (inq. Games)</v>
      </c>
      <c r="AA33" s="6" t="str">
        <v>Internet Services &amp; Software;Monitors/Terminals;Applications Software(Business;Other Peripherals;Computer Consulting Services;Operating Systems</v>
      </c>
      <c r="AB33" s="6" t="str">
        <v>Computer Consulting Services;Internet Services &amp; Software;Other Peripherals;Monitors/Terminals;Applications Software(Business;Operating Systems</v>
      </c>
    </row>
    <row r="34">
      <c r="A34" s="6" t="str">
        <v>927914</v>
      </c>
      <c r="B34" s="6" t="str">
        <v>United States</v>
      </c>
      <c r="C34" s="6" t="str">
        <v>Visio Corp</v>
      </c>
      <c r="D34" s="6" t="str">
        <v>Visio Corp</v>
      </c>
      <c r="F34" s="6" t="str">
        <v>United States</v>
      </c>
      <c r="G34" s="6" t="str">
        <v>Boomerang Technology Inc- Certain Assets</v>
      </c>
      <c r="H34" s="6" t="str">
        <v>Business Services</v>
      </c>
      <c r="I34" s="6" t="str">
        <v>09858K</v>
      </c>
      <c r="J34" s="6" t="str">
        <v>Boomerang Technology Inc</v>
      </c>
      <c r="K34" s="6" t="str">
        <v>Boomerang Technology Inc</v>
      </c>
      <c r="L34" s="7">
        <f>=DATE(1997,2,27)</f>
        <v>35487.99949074074</v>
      </c>
      <c r="M34" s="7">
        <f>=DATE(1997,2,27)</f>
        <v>35487.99949074074</v>
      </c>
      <c r="N34" s="8">
        <v>6.7</v>
      </c>
      <c r="O34" s="8">
        <v>6.7</v>
      </c>
      <c r="W34" s="6" t="str">
        <v>Applications Software(Business</v>
      </c>
      <c r="X34" s="6" t="str">
        <v>Other Software (inq. Games);Applications Software(Business</v>
      </c>
      <c r="Y34" s="6" t="str">
        <v>Applications Software(Business;Other Software (inq. Games)</v>
      </c>
      <c r="Z34" s="6" t="str">
        <v>Other Software (inq. Games);Applications Software(Business</v>
      </c>
      <c r="AA34" s="6" t="str">
        <v>Applications Software(Business</v>
      </c>
      <c r="AB34" s="6" t="str">
        <v>Applications Software(Business</v>
      </c>
      <c r="AC34" s="8">
        <v>6.7</v>
      </c>
      <c r="AD34" s="7">
        <f>=DATE(1997,2,27)</f>
        <v>35487.99949074074</v>
      </c>
    </row>
    <row r="35">
      <c r="A35" s="6" t="str">
        <v>594918</v>
      </c>
      <c r="B35" s="6" t="str">
        <v>United States</v>
      </c>
      <c r="C35" s="6" t="str">
        <v>Microsoft Corp</v>
      </c>
      <c r="D35" s="6" t="str">
        <v>Microsoft Corp</v>
      </c>
      <c r="F35" s="6" t="str">
        <v>United States</v>
      </c>
      <c r="G35" s="6" t="str">
        <v>Interse Corp</v>
      </c>
      <c r="H35" s="6" t="str">
        <v>Prepackaged Software</v>
      </c>
      <c r="I35" s="6" t="str">
        <v>46070F</v>
      </c>
      <c r="J35" s="6" t="str">
        <v>Interse Corp</v>
      </c>
      <c r="K35" s="6" t="str">
        <v>Interse Corp</v>
      </c>
      <c r="L35" s="7">
        <f>=DATE(1997,3,3)</f>
        <v>35491.99949074074</v>
      </c>
      <c r="M35" s="7">
        <f>=DATE(1997,3,3)</f>
        <v>35491.99949074074</v>
      </c>
      <c r="W35" s="6" t="str">
        <v>Applications Software(Business;Operating Systems;Monitors/Terminals;Other Peripherals;Internet Services &amp; Software;Computer Consulting Services</v>
      </c>
      <c r="X35" s="6" t="str">
        <v>Applications Software(Business</v>
      </c>
      <c r="Y35" s="6" t="str">
        <v>Applications Software(Business</v>
      </c>
      <c r="Z35" s="6" t="str">
        <v>Applications Software(Business</v>
      </c>
      <c r="AA35" s="6" t="str">
        <v>Internet Services &amp; Software;Computer Consulting Services;Other Peripherals;Monitors/Terminals;Operating Systems;Applications Software(Business</v>
      </c>
      <c r="AB35" s="6" t="str">
        <v>Operating Systems;Computer Consulting Services;Other Peripherals;Applications Software(Business;Monitors/Terminals;Internet Services &amp; Software</v>
      </c>
    </row>
    <row r="36">
      <c r="A36" s="6" t="str">
        <v>127646</v>
      </c>
      <c r="B36" s="6" t="str">
        <v>United States</v>
      </c>
      <c r="C36" s="6" t="str">
        <v>Caere Corp</v>
      </c>
      <c r="D36" s="6" t="str">
        <v>Caere Corp</v>
      </c>
      <c r="F36" s="6" t="str">
        <v>United States</v>
      </c>
      <c r="G36" s="6" t="str">
        <v>Forminix Inc</v>
      </c>
      <c r="H36" s="6" t="str">
        <v>Prepackaged Software</v>
      </c>
      <c r="I36" s="6" t="str">
        <v>34639Y</v>
      </c>
      <c r="J36" s="6" t="str">
        <v>Forminix Inc</v>
      </c>
      <c r="K36" s="6" t="str">
        <v>Forminix Inc</v>
      </c>
      <c r="L36" s="7">
        <f>=DATE(1997,3,31)</f>
        <v>35519.99949074074</v>
      </c>
      <c r="M36" s="7">
        <f>=DATE(1997,3,31)</f>
        <v>35519.99949074074</v>
      </c>
      <c r="N36" s="8">
        <v>4.5</v>
      </c>
      <c r="O36" s="8">
        <v>4.5</v>
      </c>
      <c r="W36" s="6" t="str">
        <v>Data Processing Services;Applications Software(Business</v>
      </c>
      <c r="X36" s="6" t="str">
        <v>Applications Software(Business</v>
      </c>
      <c r="Y36" s="6" t="str">
        <v>Applications Software(Business</v>
      </c>
      <c r="Z36" s="6" t="str">
        <v>Applications Software(Business</v>
      </c>
      <c r="AA36" s="6" t="str">
        <v>Data Processing Services;Applications Software(Business</v>
      </c>
      <c r="AB36" s="6" t="str">
        <v>Data Processing Services;Applications Software(Business</v>
      </c>
      <c r="AC36" s="8">
        <v>4.5</v>
      </c>
      <c r="AD36" s="7">
        <f>=DATE(1997,3,31)</f>
        <v>35519.99949074074</v>
      </c>
    </row>
    <row r="37">
      <c r="A37" s="6" t="str">
        <v>594918</v>
      </c>
      <c r="B37" s="6" t="str">
        <v>United States</v>
      </c>
      <c r="C37" s="6" t="str">
        <v>Microsoft Corp</v>
      </c>
      <c r="D37" s="6" t="str">
        <v>Microsoft Corp</v>
      </c>
      <c r="E37" s="6" t="str">
        <v>Microsoft Corp</v>
      </c>
      <c r="F37" s="6" t="str">
        <v>United States</v>
      </c>
      <c r="G37" s="6" t="str">
        <v>WebTV Networks Inc</v>
      </c>
      <c r="H37" s="6" t="str">
        <v>Business Services</v>
      </c>
      <c r="I37" s="6" t="str">
        <v>94733N</v>
      </c>
      <c r="J37" s="6" t="str">
        <v>WebTV Networks Inc</v>
      </c>
      <c r="K37" s="6" t="str">
        <v>WebTV Networks Inc</v>
      </c>
      <c r="L37" s="7">
        <f>=DATE(1997,4,7)</f>
        <v>35526.99949074074</v>
      </c>
      <c r="M37" s="7">
        <f>=DATE(1997,4,30)</f>
        <v>35549.99949074074</v>
      </c>
      <c r="N37" s="8">
        <v>425</v>
      </c>
      <c r="O37" s="8">
        <v>425</v>
      </c>
      <c r="W37" s="6" t="str">
        <v>Internet Services &amp; Software;Applications Software(Business;Monitors/Terminals;Other Peripherals;Computer Consulting Services;Operating Systems</v>
      </c>
      <c r="X37" s="6" t="str">
        <v>Communication/Network Software;Internet Services &amp; Software</v>
      </c>
      <c r="Y37" s="6" t="str">
        <v>Communication/Network Software;Internet Services &amp; Software</v>
      </c>
      <c r="Z37" s="6" t="str">
        <v>Communication/Network Software;Internet Services &amp; Software</v>
      </c>
      <c r="AA37" s="6" t="str">
        <v>Other Peripherals;Operating Systems;Applications Software(Business;Computer Consulting Services;Internet Services &amp; Software;Monitors/Terminals</v>
      </c>
      <c r="AB37" s="6" t="str">
        <v>Applications Software(Business;Operating Systems;Computer Consulting Services;Internet Services &amp; Software;Monitors/Terminals;Other Peripherals</v>
      </c>
      <c r="AC37" s="8">
        <v>425</v>
      </c>
      <c r="AD37" s="7">
        <f>=DATE(1997,4,7)</f>
        <v>35526.99949074074</v>
      </c>
    </row>
    <row r="38">
      <c r="A38" s="6" t="str">
        <v>83434X</v>
      </c>
      <c r="B38" s="6" t="str">
        <v>United States</v>
      </c>
      <c r="C38" s="6" t="str">
        <v>Solomon Software</v>
      </c>
      <c r="D38" s="6" t="str">
        <v>Solomon Software</v>
      </c>
      <c r="F38" s="6" t="str">
        <v>United States</v>
      </c>
      <c r="G38" s="6" t="str">
        <v>Smith Dennis &amp; Gaylord Inc</v>
      </c>
      <c r="H38" s="6" t="str">
        <v>Prepackaged Software</v>
      </c>
      <c r="I38" s="6" t="str">
        <v>83204X</v>
      </c>
      <c r="J38" s="6" t="str">
        <v>Smith Dennis &amp; Gaylord Inc</v>
      </c>
      <c r="K38" s="6" t="str">
        <v>Smith Dennis &amp; Gaylord Inc</v>
      </c>
      <c r="L38" s="7">
        <f>=DATE(1997,4,25)</f>
        <v>35544.99949074074</v>
      </c>
      <c r="M38" s="7">
        <f>=DATE(1997,5,20)</f>
        <v>35569.99949074074</v>
      </c>
      <c r="W38" s="6" t="str">
        <v>Applications Software(Business</v>
      </c>
      <c r="X38" s="6" t="str">
        <v>Applications Software(Business;Other Software (inq. Games)</v>
      </c>
      <c r="Y38" s="6" t="str">
        <v>Applications Software(Business;Other Software (inq. Games)</v>
      </c>
      <c r="Z38" s="6" t="str">
        <v>Other Software (inq. Games);Applications Software(Business</v>
      </c>
      <c r="AA38" s="6" t="str">
        <v>Applications Software(Business</v>
      </c>
      <c r="AB38" s="6" t="str">
        <v>Applications Software(Business</v>
      </c>
    </row>
    <row r="39">
      <c r="A39" s="6" t="str">
        <v>927914</v>
      </c>
      <c r="B39" s="6" t="str">
        <v>United States</v>
      </c>
      <c r="C39" s="6" t="str">
        <v>Visio Corp</v>
      </c>
      <c r="D39" s="6" t="str">
        <v>Visio Corp</v>
      </c>
      <c r="F39" s="6" t="str">
        <v>United States</v>
      </c>
      <c r="G39" s="6" t="str">
        <v>SysDraw Software Co-Certain Assets</v>
      </c>
      <c r="H39" s="6" t="str">
        <v>Prepackaged Software</v>
      </c>
      <c r="I39" s="6" t="str">
        <v>87193H</v>
      </c>
      <c r="J39" s="6" t="str">
        <v>SysDraw Software Co</v>
      </c>
      <c r="K39" s="6" t="str">
        <v>SysDraw Software Co</v>
      </c>
      <c r="L39" s="7">
        <f>=DATE(1997,5,1)</f>
        <v>35550.99949074074</v>
      </c>
      <c r="M39" s="7">
        <f>=DATE(1997,5,1)</f>
        <v>35550.99949074074</v>
      </c>
      <c r="N39" s="8">
        <v>6.5</v>
      </c>
      <c r="O39" s="8">
        <v>6.5</v>
      </c>
      <c r="W39" s="6" t="str">
        <v>Applications Software(Business</v>
      </c>
      <c r="X39" s="6" t="str">
        <v>Communication/Network Software</v>
      </c>
      <c r="Y39" s="6" t="str">
        <v>Communication/Network Software</v>
      </c>
      <c r="Z39" s="6" t="str">
        <v>Communication/Network Software</v>
      </c>
      <c r="AA39" s="6" t="str">
        <v>Applications Software(Business</v>
      </c>
      <c r="AB39" s="6" t="str">
        <v>Applications Software(Business</v>
      </c>
      <c r="AC39" s="8">
        <v>6.5</v>
      </c>
      <c r="AD39" s="7">
        <f>=DATE(1997,5,1)</f>
        <v>35550.99949074074</v>
      </c>
    </row>
    <row r="40">
      <c r="A40" s="6" t="str">
        <v>594918</v>
      </c>
      <c r="B40" s="6" t="str">
        <v>United States</v>
      </c>
      <c r="C40" s="6" t="str">
        <v>Microsoft Corp</v>
      </c>
      <c r="D40" s="6" t="str">
        <v>Microsoft Corp</v>
      </c>
      <c r="F40" s="6" t="str">
        <v>United States</v>
      </c>
      <c r="G40" s="6" t="str">
        <v>Dimension X Inc</v>
      </c>
      <c r="H40" s="6" t="str">
        <v>Prepackaged Software</v>
      </c>
      <c r="I40" s="6" t="str">
        <v>25433J</v>
      </c>
      <c r="J40" s="6" t="str">
        <v>Dimension X Inc</v>
      </c>
      <c r="K40" s="6" t="str">
        <v>Dimension X Inc</v>
      </c>
      <c r="L40" s="7">
        <f>=DATE(1997,5,7)</f>
        <v>35556.99949074074</v>
      </c>
      <c r="M40" s="7">
        <f>=DATE(1997,5,7)</f>
        <v>35556.99949074074</v>
      </c>
      <c r="W40" s="6" t="str">
        <v>Operating Systems;Monitors/Terminals;Computer Consulting Services;Internet Services &amp; Software;Other Peripherals;Applications Software(Business</v>
      </c>
      <c r="X40" s="6" t="str">
        <v>Other Software (inq. Games)</v>
      </c>
      <c r="Y40" s="6" t="str">
        <v>Other Software (inq. Games)</v>
      </c>
      <c r="Z40" s="6" t="str">
        <v>Other Software (inq. Games)</v>
      </c>
      <c r="AA40" s="6" t="str">
        <v>Monitors/Terminals;Computer Consulting Services;Other Peripherals;Operating Systems;Internet Services &amp; Software;Applications Software(Business</v>
      </c>
      <c r="AB40" s="6" t="str">
        <v>Monitors/Terminals;Other Peripherals;Operating Systems;Computer Consulting Services;Internet Services &amp; Software;Applications Software(Business</v>
      </c>
    </row>
    <row r="41">
      <c r="A41" s="6" t="str">
        <v>594918</v>
      </c>
      <c r="B41" s="6" t="str">
        <v>United States</v>
      </c>
      <c r="C41" s="6" t="str">
        <v>Microsoft Corp</v>
      </c>
      <c r="D41" s="6" t="str">
        <v>Microsoft Corp</v>
      </c>
      <c r="F41" s="6" t="str">
        <v>United States</v>
      </c>
      <c r="G41" s="6" t="str">
        <v>Comcast Corp</v>
      </c>
      <c r="H41" s="6" t="str">
        <v>Radio and Television Broadcasting Stations</v>
      </c>
      <c r="I41" s="6" t="str">
        <v>200300</v>
      </c>
      <c r="J41" s="6" t="str">
        <v>Comcast Corp</v>
      </c>
      <c r="K41" s="6" t="str">
        <v>Comcast Corp</v>
      </c>
      <c r="L41" s="7">
        <f>=DATE(1997,6,9)</f>
        <v>35589.99949074074</v>
      </c>
      <c r="M41" s="7">
        <f>=DATE(1997,6,30)</f>
        <v>35610.99949074074</v>
      </c>
      <c r="N41" s="8">
        <v>1000</v>
      </c>
      <c r="O41" s="8">
        <v>1000</v>
      </c>
      <c r="P41" s="8" t="str">
        <v>27,169.78</v>
      </c>
      <c r="R41" s="8">
        <v>-52.5</v>
      </c>
      <c r="S41" s="8">
        <v>4038.4</v>
      </c>
      <c r="T41" s="8">
        <v>-81.2</v>
      </c>
      <c r="U41" s="8">
        <v>-926.2</v>
      </c>
      <c r="V41" s="8">
        <v>799.6</v>
      </c>
      <c r="W41" s="6" t="str">
        <v>Other Peripherals;Operating Systems;Applications Software(Business;Monitors/Terminals;Computer Consulting Services;Internet Services &amp; Software</v>
      </c>
      <c r="X41" s="6" t="str">
        <v>Cellular Communications</v>
      </c>
      <c r="Y41" s="6" t="str">
        <v>Cellular Communications</v>
      </c>
      <c r="Z41" s="6" t="str">
        <v>Cellular Communications</v>
      </c>
      <c r="AA41" s="6" t="str">
        <v>Operating Systems;Internet Services &amp; Software;Applications Software(Business;Computer Consulting Services;Monitors/Terminals;Other Peripherals</v>
      </c>
      <c r="AB41" s="6" t="str">
        <v>Monitors/Terminals;Computer Consulting Services;Other Peripherals;Operating Systems;Internet Services &amp; Software;Applications Software(Business</v>
      </c>
      <c r="AC41" s="8">
        <v>1000</v>
      </c>
      <c r="AD41" s="7">
        <f>=DATE(1997,6,9)</f>
        <v>35589.99949074074</v>
      </c>
      <c r="AE41" s="8">
        <v>7823.81923185</v>
      </c>
      <c r="AF41" s="8" t="str">
        <v>13,930.83</v>
      </c>
      <c r="AG41" s="8" t="str">
        <v>27,169.78</v>
      </c>
    </row>
    <row r="42">
      <c r="A42" s="6" t="str">
        <v>594918</v>
      </c>
      <c r="B42" s="6" t="str">
        <v>United States</v>
      </c>
      <c r="C42" s="6" t="str">
        <v>Microsoft Corp</v>
      </c>
      <c r="D42" s="6" t="str">
        <v>Microsoft Corp</v>
      </c>
      <c r="F42" s="6" t="str">
        <v>United States</v>
      </c>
      <c r="G42" s="6" t="str">
        <v>Cooper &amp; Peters Inc</v>
      </c>
      <c r="H42" s="6" t="str">
        <v>Business Services</v>
      </c>
      <c r="I42" s="6" t="str">
        <v>21665Z</v>
      </c>
      <c r="J42" s="6" t="str">
        <v>Cooper &amp; Peters Inc</v>
      </c>
      <c r="K42" s="6" t="str">
        <v>Cooper &amp; Peters Inc</v>
      </c>
      <c r="L42" s="7">
        <f>=DATE(1997,6,13)</f>
        <v>35593.99949074074</v>
      </c>
      <c r="M42" s="7">
        <f>=DATE(1997,6,13)</f>
        <v>35593.99949074074</v>
      </c>
      <c r="W42" s="6" t="str">
        <v>Operating Systems;Applications Software(Business;Internet Services &amp; Software;Other Peripherals;Computer Consulting Services;Monitors/Terminals</v>
      </c>
      <c r="X42" s="6" t="str">
        <v>Programming Services;Applications Software(Business</v>
      </c>
      <c r="Y42" s="6" t="str">
        <v>Programming Services;Applications Software(Business</v>
      </c>
      <c r="Z42" s="6" t="str">
        <v>Programming Services;Applications Software(Business</v>
      </c>
      <c r="AA42" s="6" t="str">
        <v>Computer Consulting Services;Applications Software(Business;Internet Services &amp; Software;Monitors/Terminals;Operating Systems;Other Peripherals</v>
      </c>
      <c r="AB42" s="6" t="str">
        <v>Applications Software(Business;Computer Consulting Services;Operating Systems;Monitors/Terminals;Other Peripherals;Internet Services &amp; Software</v>
      </c>
    </row>
    <row r="43">
      <c r="A43" s="6" t="str">
        <v>594918</v>
      </c>
      <c r="B43" s="6" t="str">
        <v>United States</v>
      </c>
      <c r="C43" s="6" t="str">
        <v>Microsoft Corp</v>
      </c>
      <c r="D43" s="6" t="str">
        <v>Microsoft Corp</v>
      </c>
      <c r="F43" s="6" t="str">
        <v>United States</v>
      </c>
      <c r="G43" s="6" t="str">
        <v>VXtreme Inc</v>
      </c>
      <c r="H43" s="6" t="str">
        <v>Prepackaged Software</v>
      </c>
      <c r="I43" s="6" t="str">
        <v>91847Z</v>
      </c>
      <c r="J43" s="6" t="str">
        <v>VXtreme Inc</v>
      </c>
      <c r="K43" s="6" t="str">
        <v>VXtreme Inc</v>
      </c>
      <c r="L43" s="7">
        <f>=DATE(1997,8,5)</f>
        <v>35646.99949074074</v>
      </c>
      <c r="M43" s="7">
        <f>=DATE(1997,8,5)</f>
        <v>35646.99949074074</v>
      </c>
      <c r="W43" s="6" t="str">
        <v>Applications Software(Business;Other Peripherals;Monitors/Terminals;Internet Services &amp; Software;Operating Systems;Computer Consulting Services</v>
      </c>
      <c r="X43" s="6" t="str">
        <v>Communication/Network Software;Internet Services &amp; Software</v>
      </c>
      <c r="Y43" s="6" t="str">
        <v>Internet Services &amp; Software;Communication/Network Software</v>
      </c>
      <c r="Z43" s="6" t="str">
        <v>Communication/Network Software;Internet Services &amp; Software</v>
      </c>
      <c r="AA43" s="6" t="str">
        <v>Operating Systems;Monitors/Terminals;Other Peripherals;Internet Services &amp; Software;Applications Software(Business;Computer Consulting Services</v>
      </c>
      <c r="AB43" s="6" t="str">
        <v>Applications Software(Business;Monitors/Terminals;Other Peripherals;Operating Systems;Internet Services &amp; Software;Computer Consulting Services</v>
      </c>
    </row>
    <row r="44">
      <c r="A44" s="6" t="str">
        <v>594918</v>
      </c>
      <c r="B44" s="6" t="str">
        <v>United States</v>
      </c>
      <c r="C44" s="6" t="str">
        <v>Microsoft Corp</v>
      </c>
      <c r="D44" s="6" t="str">
        <v>Microsoft Corp</v>
      </c>
      <c r="F44" s="6" t="str">
        <v>United States</v>
      </c>
      <c r="G44" s="6" t="str">
        <v>Apple Computer Inc</v>
      </c>
      <c r="H44" s="6" t="str">
        <v>Computer and Office Equipment</v>
      </c>
      <c r="I44" s="6" t="str">
        <v>037833</v>
      </c>
      <c r="J44" s="6" t="str">
        <v>Apple Computer Inc</v>
      </c>
      <c r="K44" s="6" t="str">
        <v>Apple Computer Inc</v>
      </c>
      <c r="L44" s="7">
        <f>=DATE(1997,8,6)</f>
        <v>35647.99949074074</v>
      </c>
      <c r="M44" s="7">
        <f>=DATE(1997,8,6)</f>
        <v>35647.99949074074</v>
      </c>
      <c r="N44" s="8">
        <v>150</v>
      </c>
      <c r="O44" s="8">
        <v>150</v>
      </c>
      <c r="R44" s="8">
        <v>-816</v>
      </c>
      <c r="S44" s="8">
        <v>9833</v>
      </c>
      <c r="T44" s="8">
        <v>396</v>
      </c>
      <c r="U44" s="8">
        <v>-119</v>
      </c>
      <c r="V44" s="8">
        <v>519</v>
      </c>
      <c r="W44" s="6" t="str">
        <v>Internet Services &amp; Software;Monitors/Terminals;Operating Systems;Applications Software(Business;Computer Consulting Services;Other Peripherals</v>
      </c>
      <c r="X44" s="6" t="str">
        <v>Micro-Computers (PCs);Mainframes &amp; Super Computers;Portable Computers;Printers;Other Software (inq. Games);Other Peripherals;Monitors/Terminals;Disk Drives</v>
      </c>
      <c r="Y44" s="6" t="str">
        <v>Micro-Computers (PCs);Monitors/Terminals;Portable Computers;Other Software (inq. Games);Disk Drives;Other Peripherals;Mainframes &amp; Super Computers;Printers</v>
      </c>
      <c r="Z44" s="6" t="str">
        <v>Micro-Computers (PCs);Other Software (inq. Games);Mainframes &amp; Super Computers;Disk Drives;Other Peripherals;Portable Computers;Printers;Monitors/Terminals</v>
      </c>
      <c r="AA44" s="6" t="str">
        <v>Other Peripherals;Monitors/Terminals;Computer Consulting Services;Operating Systems;Internet Services &amp; Software;Applications Software(Business</v>
      </c>
      <c r="AB44" s="6" t="str">
        <v>Applications Software(Business;Monitors/Terminals;Other Peripherals;Computer Consulting Services;Internet Services &amp; Software;Operating Systems</v>
      </c>
      <c r="AC44" s="8">
        <v>150</v>
      </c>
      <c r="AD44" s="7">
        <f>=DATE(1997,8,11)</f>
        <v>35652.99949074074</v>
      </c>
    </row>
    <row r="45">
      <c r="A45" s="6" t="str">
        <v>594918</v>
      </c>
      <c r="B45" s="6" t="str">
        <v>United States</v>
      </c>
      <c r="C45" s="6" t="str">
        <v>Microsoft Corp</v>
      </c>
      <c r="D45" s="6" t="str">
        <v>Microsoft Corp</v>
      </c>
      <c r="F45" s="6" t="str">
        <v>United States</v>
      </c>
      <c r="G45" s="6" t="str">
        <v>Progressive Networks Inc</v>
      </c>
      <c r="H45" s="6" t="str">
        <v>Prepackaged Software</v>
      </c>
      <c r="I45" s="6" t="str">
        <v>74336E</v>
      </c>
      <c r="J45" s="6" t="str">
        <v>Progressive Networks Inc</v>
      </c>
      <c r="K45" s="6" t="str">
        <v>Progressive Networks Inc</v>
      </c>
      <c r="L45" s="7">
        <f>=DATE(1997,8,19)</f>
        <v>35660.99949074074</v>
      </c>
      <c r="M45" s="7">
        <f>=DATE(1997,8,19)</f>
        <v>35660.99949074074</v>
      </c>
      <c r="N45" s="8">
        <v>30</v>
      </c>
      <c r="O45" s="8">
        <v>30</v>
      </c>
      <c r="W45" s="6" t="str">
        <v>Internet Services &amp; Software;Monitors/Terminals;Computer Consulting Services;Applications Software(Business;Operating Systems;Other Peripherals</v>
      </c>
      <c r="X45" s="6" t="str">
        <v>Other Computer Systems;Applications Software(Home);Other Software (inq. Games);Communication/Network Software;Database Software/Programming;Applications Software(Business;Programming Services;Internet Services &amp; Software;Other Computer Related Svcs</v>
      </c>
      <c r="Y45" s="6" t="str">
        <v>Other Computer Related Svcs;Programming Services;Internet Services &amp; Software;Applications Software(Home);Other Software (inq. Games);Communication/Network Software;Applications Software(Business;Database Software/Programming;Other Computer Systems</v>
      </c>
      <c r="Z45" s="6" t="str">
        <v>Applications Software(Home);Database Software/Programming;Other Computer Systems;Communication/Network Software;Applications Software(Business;Other Computer Related Svcs;Internet Services &amp; Software;Other Software (inq. Games);Programming Services</v>
      </c>
      <c r="AA45" s="6" t="str">
        <v>Other Peripherals;Monitors/Terminals;Operating Systems;Internet Services &amp; Software;Applications Software(Business;Computer Consulting Services</v>
      </c>
      <c r="AB45" s="6" t="str">
        <v>Internet Services &amp; Software;Operating Systems;Applications Software(Business;Computer Consulting Services;Monitors/Terminals;Other Peripherals</v>
      </c>
      <c r="AC45" s="8">
        <v>30</v>
      </c>
      <c r="AD45" s="7">
        <f>=DATE(1997,9,28)</f>
        <v>35700.99949074074</v>
      </c>
      <c r="AF45" s="8" t="str">
        <v>300.00</v>
      </c>
      <c r="AG45" s="8" t="str">
        <v>300.00</v>
      </c>
    </row>
    <row r="46">
      <c r="A46" s="6" t="str">
        <v>037833</v>
      </c>
      <c r="B46" s="6" t="str">
        <v>United States</v>
      </c>
      <c r="C46" s="6" t="str">
        <v>Apple Computer Inc</v>
      </c>
      <c r="D46" s="6" t="str">
        <v>Apple Computer Inc</v>
      </c>
      <c r="F46" s="6" t="str">
        <v>United States</v>
      </c>
      <c r="G46" s="6" t="str">
        <v>Power Computing Corp-Clone- Making Division</v>
      </c>
      <c r="H46" s="6" t="str">
        <v>Computer and Office Equipment</v>
      </c>
      <c r="I46" s="6" t="str">
        <v>73921J</v>
      </c>
      <c r="J46" s="6" t="str">
        <v>Power Computing Corp</v>
      </c>
      <c r="K46" s="6" t="str">
        <v>Power Computing Corp</v>
      </c>
      <c r="L46" s="7">
        <f>=DATE(1997,9,2)</f>
        <v>35674.99949074074</v>
      </c>
      <c r="M46" s="7">
        <f>=DATE(1997,9,2)</f>
        <v>35674.99949074074</v>
      </c>
      <c r="N46" s="8">
        <v>100</v>
      </c>
      <c r="O46" s="8">
        <v>100</v>
      </c>
      <c r="W46" s="6" t="str">
        <v>Monitors/Terminals;Disk Drives;Other Software (inq. Games);Other Peripherals;Mainframes &amp; Super Computers;Micro-Computers (PCs);Portable Computers;Printers</v>
      </c>
      <c r="X46" s="6" t="str">
        <v>Other Computer Systems</v>
      </c>
      <c r="Y46" s="6" t="str">
        <v>Computer Consulting Services</v>
      </c>
      <c r="Z46" s="6" t="str">
        <v>Computer Consulting Services</v>
      </c>
      <c r="AA46" s="6" t="str">
        <v>Mainframes &amp; Super Computers;Printers;Other Peripherals;Monitors/Terminals;Disk Drives;Micro-Computers (PCs);Other Software (inq. Games);Portable Computers</v>
      </c>
      <c r="AB46" s="6" t="str">
        <v>Printers;Mainframes &amp; Super Computers;Monitors/Terminals;Portable Computers;Other Peripherals;Other Software (inq. Games);Disk Drives;Micro-Computers (PCs)</v>
      </c>
      <c r="AC46" s="8">
        <v>100</v>
      </c>
      <c r="AD46" s="7">
        <f>=DATE(1997,9,2)</f>
        <v>35674.99949074074</v>
      </c>
    </row>
    <row r="47">
      <c r="A47" s="6" t="str">
        <v>594918</v>
      </c>
      <c r="B47" s="6" t="str">
        <v>United States</v>
      </c>
      <c r="C47" s="6" t="str">
        <v>Microsoft Corp</v>
      </c>
      <c r="D47" s="6" t="str">
        <v>Microsoft Corp</v>
      </c>
      <c r="F47" s="6" t="str">
        <v>United States</v>
      </c>
      <c r="G47" s="6" t="str">
        <v>E-Stamp Corp</v>
      </c>
      <c r="H47" s="6" t="str">
        <v>Prepackaged Software</v>
      </c>
      <c r="I47" s="6" t="str">
        <v>269154</v>
      </c>
      <c r="J47" s="6" t="str">
        <v>E-Stamp Corp</v>
      </c>
      <c r="K47" s="6" t="str">
        <v>E-Stamp Corp</v>
      </c>
      <c r="L47" s="7">
        <f>=DATE(1997,9,23)</f>
        <v>35695.99949074074</v>
      </c>
      <c r="M47" s="7">
        <f>=DATE(1997,9,23)</f>
        <v>35695.99949074074</v>
      </c>
      <c r="W47" s="6" t="str">
        <v>Applications Software(Business;Internet Services &amp; Software;Computer Consulting Services;Monitors/Terminals;Other Peripherals;Operating Systems</v>
      </c>
      <c r="X47" s="6" t="str">
        <v>Communication/Network Software;Internet Services &amp; Software</v>
      </c>
      <c r="Y47" s="6" t="str">
        <v>Internet Services &amp; Software;Communication/Network Software</v>
      </c>
      <c r="Z47" s="6" t="str">
        <v>Communication/Network Software;Internet Services &amp; Software</v>
      </c>
      <c r="AA47" s="6" t="str">
        <v>Internet Services &amp; Software;Applications Software(Business;Operating Systems;Monitors/Terminals;Computer Consulting Services;Other Peripherals</v>
      </c>
      <c r="AB47" s="6" t="str">
        <v>Applications Software(Business;Other Peripherals;Monitors/Terminals;Computer Consulting Services;Operating Systems;Internet Services &amp; Software</v>
      </c>
    </row>
    <row r="48">
      <c r="A48" s="6" t="str">
        <v>594918</v>
      </c>
      <c r="B48" s="6" t="str">
        <v>United States</v>
      </c>
      <c r="C48" s="6" t="str">
        <v>Microsoft Corp</v>
      </c>
      <c r="D48" s="6" t="str">
        <v>Microsoft Corp</v>
      </c>
      <c r="F48" s="6" t="str">
        <v>United States</v>
      </c>
      <c r="G48" s="6" t="str">
        <v>Hotmail Corp(Microsoft Corp)</v>
      </c>
      <c r="H48" s="6" t="str">
        <v>Prepackaged Software</v>
      </c>
      <c r="I48" s="6" t="str">
        <v>44109K</v>
      </c>
      <c r="J48" s="6" t="str">
        <v>Microsoft Corp</v>
      </c>
      <c r="K48" s="6" t="str">
        <v>Microsoft Corp</v>
      </c>
      <c r="L48" s="7">
        <f>=DATE(1997,12,5)</f>
        <v>35768.99949074074</v>
      </c>
      <c r="M48" s="7">
        <f>=DATE(1997,12,31)</f>
        <v>35794.99949074074</v>
      </c>
      <c r="W48" s="6" t="str">
        <v>Operating Systems;Computer Consulting Services;Other Peripherals;Internet Services &amp; Software;Applications Software(Business;Monitors/Terminals</v>
      </c>
      <c r="X48" s="6" t="str">
        <v>Communication/Network Software;Internet Services &amp; Software</v>
      </c>
      <c r="Y48" s="6" t="str">
        <v>Other Peripherals;Monitors/Terminals;Operating Systems;Computer Consulting Services;Internet Services &amp; Software;Applications Software(Business</v>
      </c>
      <c r="Z48" s="6" t="str">
        <v>Applications Software(Business;Monitors/Terminals;Operating Systems;Other Peripherals;Internet Services &amp; Software;Computer Consulting Services</v>
      </c>
      <c r="AA48" s="6" t="str">
        <v>Internet Services &amp; Software;Monitors/Terminals;Operating Systems;Applications Software(Business;Computer Consulting Services;Other Peripherals</v>
      </c>
      <c r="AB48" s="6" t="str">
        <v>Computer Consulting Services;Applications Software(Business;Other Peripherals;Monitors/Terminals;Internet Services &amp; Software;Operating Systems</v>
      </c>
    </row>
    <row r="49">
      <c r="A49" s="6" t="str">
        <v>594918</v>
      </c>
      <c r="B49" s="6" t="str">
        <v>United States</v>
      </c>
      <c r="C49" s="6" t="str">
        <v>Microsoft Corp</v>
      </c>
      <c r="D49" s="6" t="str">
        <v>Microsoft Corp</v>
      </c>
      <c r="F49" s="6" t="str">
        <v>United States</v>
      </c>
      <c r="G49" s="6" t="str">
        <v>General Magic Inc</v>
      </c>
      <c r="H49" s="6" t="str">
        <v>Prepackaged Software</v>
      </c>
      <c r="I49" s="6" t="str">
        <v>370253</v>
      </c>
      <c r="J49" s="6" t="str">
        <v>General Magic Inc</v>
      </c>
      <c r="K49" s="6" t="str">
        <v>General Magic Inc</v>
      </c>
      <c r="L49" s="7">
        <f>=DATE(1998,3,4)</f>
        <v>35857.99949074074</v>
      </c>
      <c r="M49" s="7">
        <f>=DATE(1998,3,4)</f>
        <v>35857.99949074074</v>
      </c>
      <c r="N49" s="8">
        <v>6</v>
      </c>
      <c r="O49" s="8">
        <v>6</v>
      </c>
      <c r="R49" s="8">
        <v>-33.899</v>
      </c>
      <c r="S49" s="8">
        <v>4.58</v>
      </c>
      <c r="W49" s="6" t="str">
        <v>Applications Software(Business;Monitors/Terminals;Computer Consulting Services;Other Peripherals;Internet Services &amp; Software;Operating Systems</v>
      </c>
      <c r="X49" s="6" t="str">
        <v>Programming Services;Communication/Network Software</v>
      </c>
      <c r="Y49" s="6" t="str">
        <v>Programming Services;Communication/Network Software</v>
      </c>
      <c r="Z49" s="6" t="str">
        <v>Communication/Network Software;Programming Services</v>
      </c>
      <c r="AA49" s="6" t="str">
        <v>Applications Software(Business;Internet Services &amp; Software;Monitors/Terminals;Operating Systems;Other Peripherals;Computer Consulting Services</v>
      </c>
      <c r="AB49" s="6" t="str">
        <v>Applications Software(Business;Computer Consulting Services;Other Peripherals;Monitors/Terminals;Internet Services &amp; Software;Operating Systems</v>
      </c>
      <c r="AC49" s="8">
        <v>6</v>
      </c>
      <c r="AD49" s="7">
        <f>=DATE(1998,3,4)</f>
        <v>35857.99949074074</v>
      </c>
    </row>
    <row r="50">
      <c r="A50" s="6" t="str">
        <v>594918</v>
      </c>
      <c r="B50" s="6" t="str">
        <v>United States</v>
      </c>
      <c r="C50" s="6" t="str">
        <v>Microsoft Corp</v>
      </c>
      <c r="D50" s="6" t="str">
        <v>Microsoft Corp</v>
      </c>
      <c r="F50" s="6" t="str">
        <v>United States</v>
      </c>
      <c r="G50" s="6" t="str">
        <v>WavePhore Inc</v>
      </c>
      <c r="H50" s="6" t="str">
        <v>Communications Equipment</v>
      </c>
      <c r="I50" s="6" t="str">
        <v>943567</v>
      </c>
      <c r="J50" s="6" t="str">
        <v>WavePhore Inc</v>
      </c>
      <c r="K50" s="6" t="str">
        <v>WavePhore Inc</v>
      </c>
      <c r="L50" s="7">
        <f>=DATE(1998,3,6)</f>
        <v>35859.99949074074</v>
      </c>
      <c r="M50" s="7">
        <f>=DATE(1998,3,6)</f>
        <v>35859.99949074074</v>
      </c>
      <c r="R50" s="8">
        <v>-19.784</v>
      </c>
      <c r="S50" s="8">
        <v>22.59</v>
      </c>
      <c r="T50" s="8">
        <v>24.563</v>
      </c>
      <c r="U50" s="8">
        <v>-11.396</v>
      </c>
      <c r="V50" s="8">
        <v>-13.407</v>
      </c>
      <c r="W50" s="6" t="str">
        <v>Internet Services &amp; Software;Operating Systems;Computer Consulting Services;Applications Software(Business;Monitors/Terminals;Other Peripherals</v>
      </c>
      <c r="X50" s="6" t="str">
        <v>Other Telecommunications Equip</v>
      </c>
      <c r="Y50" s="6" t="str">
        <v>Other Telecommunications Equip</v>
      </c>
      <c r="Z50" s="6" t="str">
        <v>Other Telecommunications Equip</v>
      </c>
      <c r="AA50" s="6" t="str">
        <v>Operating Systems;Applications Software(Business;Internet Services &amp; Software;Monitors/Terminals;Computer Consulting Services;Other Peripherals</v>
      </c>
      <c r="AB50" s="6" t="str">
        <v>Monitors/Terminals;Operating Systems;Other Peripherals;Applications Software(Business;Computer Consulting Services;Internet Services &amp; Software</v>
      </c>
    </row>
    <row r="51">
      <c r="A51" s="6" t="str">
        <v>594918</v>
      </c>
      <c r="B51" s="6" t="str">
        <v>United States</v>
      </c>
      <c r="C51" s="6" t="str">
        <v>Microsoft Corp</v>
      </c>
      <c r="D51" s="6" t="str">
        <v>Microsoft Corp</v>
      </c>
      <c r="F51" s="6" t="str">
        <v>United States</v>
      </c>
      <c r="G51" s="6" t="str">
        <v>FireFly Network Inc</v>
      </c>
      <c r="H51" s="6" t="str">
        <v>Prepackaged Software</v>
      </c>
      <c r="I51" s="6" t="str">
        <v>31813V</v>
      </c>
      <c r="J51" s="6" t="str">
        <v>FireFly Network Inc</v>
      </c>
      <c r="K51" s="6" t="str">
        <v>FireFly Network Inc</v>
      </c>
      <c r="L51" s="7">
        <f>=DATE(1998,4,10)</f>
        <v>35894.99949074074</v>
      </c>
      <c r="M51" s="7">
        <f>=DATE(1998,4,15)</f>
        <v>35899.99949074074</v>
      </c>
      <c r="N51" s="8">
        <v>40</v>
      </c>
      <c r="O51" s="8">
        <v>40</v>
      </c>
      <c r="W51" s="6" t="str">
        <v>Operating Systems;Internet Services &amp; Software;Other Peripherals;Applications Software(Business;Computer Consulting Services;Monitors/Terminals</v>
      </c>
      <c r="X51" s="6" t="str">
        <v>Communication/Network Software;Internet Services &amp; Software;Applications Software(Home);Applications Software(Business</v>
      </c>
      <c r="Y51" s="6" t="str">
        <v>Internet Services &amp; Software;Communication/Network Software;Applications Software(Business;Applications Software(Home)</v>
      </c>
      <c r="Z51" s="6" t="str">
        <v>Communication/Network Software;Applications Software(Home);Internet Services &amp; Software;Applications Software(Business</v>
      </c>
      <c r="AA51" s="6" t="str">
        <v>Internet Services &amp; Software;Operating Systems;Computer Consulting Services;Applications Software(Business;Monitors/Terminals;Other Peripherals</v>
      </c>
      <c r="AB51" s="6" t="str">
        <v>Internet Services &amp; Software;Computer Consulting Services;Monitors/Terminals;Applications Software(Business;Operating Systems;Other Peripherals</v>
      </c>
      <c r="AC51" s="8">
        <v>40</v>
      </c>
      <c r="AD51" s="7">
        <f>=DATE(1998,4,15)</f>
        <v>35899.99949074074</v>
      </c>
      <c r="AF51" s="8" t="str">
        <v>40.00</v>
      </c>
      <c r="AG51" s="8" t="str">
        <v>40.00</v>
      </c>
    </row>
    <row r="52">
      <c r="A52" s="6" t="str">
        <v>023135</v>
      </c>
      <c r="B52" s="6" t="str">
        <v>United States</v>
      </c>
      <c r="C52" s="6" t="str">
        <v>Amazon.com Inc</v>
      </c>
      <c r="D52" s="6" t="str">
        <v>Amazon.com Inc</v>
      </c>
      <c r="E52" s="6" t="str">
        <v>Amazon.com Inc;Amazon.com Inc</v>
      </c>
      <c r="F52" s="6" t="str">
        <v>United States</v>
      </c>
      <c r="G52" s="6" t="str">
        <v>Internet Movie Database Inc</v>
      </c>
      <c r="H52" s="6" t="str">
        <v>Business Services</v>
      </c>
      <c r="I52" s="6" t="str">
        <v>46056F</v>
      </c>
      <c r="J52" s="6" t="str">
        <v>Amazon.com Inc</v>
      </c>
      <c r="K52" s="6" t="str">
        <v>Amazon.com Inc</v>
      </c>
      <c r="L52" s="7">
        <f>=DATE(1998,4,28)</f>
        <v>35912.99949074074</v>
      </c>
      <c r="M52" s="7">
        <f>=DATE(1998,4,28)</f>
        <v>35912.99949074074</v>
      </c>
      <c r="W52" s="6" t="str">
        <v>Primary Business not Hi-Tech</v>
      </c>
      <c r="X52" s="6" t="str">
        <v>Other Computer Related Svcs;Internet Services &amp; Software</v>
      </c>
      <c r="Y52" s="6" t="str">
        <v>Primary Business not Hi-Tech</v>
      </c>
      <c r="Z52" s="6" t="str">
        <v>Primary Business not Hi-Tech</v>
      </c>
      <c r="AA52" s="6" t="str">
        <v>Primary Business not Hi-Tech</v>
      </c>
      <c r="AB52" s="6" t="str">
        <v>Primary Business not Hi-Tech</v>
      </c>
    </row>
    <row r="53">
      <c r="A53" s="6" t="str">
        <v>594918</v>
      </c>
      <c r="B53" s="6" t="str">
        <v>United States</v>
      </c>
      <c r="C53" s="6" t="str">
        <v>Microsoft Corp</v>
      </c>
      <c r="D53" s="6" t="str">
        <v>Microsoft Corp</v>
      </c>
      <c r="F53" s="6" t="str">
        <v>United States</v>
      </c>
      <c r="G53" s="6" t="str">
        <v>MESA Group Inc</v>
      </c>
      <c r="H53" s="6" t="str">
        <v>Prepackaged Software</v>
      </c>
      <c r="I53" s="6" t="str">
        <v>59066L</v>
      </c>
      <c r="J53" s="6" t="str">
        <v>MESA Group Inc</v>
      </c>
      <c r="K53" s="6" t="str">
        <v>MESA Group Inc</v>
      </c>
      <c r="L53" s="7">
        <f>=DATE(1998,4,28)</f>
        <v>35912.99949074074</v>
      </c>
      <c r="M53" s="7">
        <f>=DATE(1998,4,28)</f>
        <v>35912.99949074074</v>
      </c>
      <c r="W53" s="6" t="str">
        <v>Internet Services &amp; Software;Operating Systems;Applications Software(Business;Other Peripherals;Monitors/Terminals;Computer Consulting Services</v>
      </c>
      <c r="X53" s="6" t="str">
        <v>Communication/Network Software;Utilities/File Mgmt Software</v>
      </c>
      <c r="Y53" s="6" t="str">
        <v>Communication/Network Software;Utilities/File Mgmt Software</v>
      </c>
      <c r="Z53" s="6" t="str">
        <v>Communication/Network Software;Utilities/File Mgmt Software</v>
      </c>
      <c r="AA53" s="6" t="str">
        <v>Internet Services &amp; Software;Other Peripherals;Computer Consulting Services;Monitors/Terminals;Applications Software(Business;Operating Systems</v>
      </c>
      <c r="AB53" s="6" t="str">
        <v>Computer Consulting Services;Applications Software(Business;Other Peripherals;Monitors/Terminals;Internet Services &amp; Software;Operating Systems</v>
      </c>
    </row>
    <row r="54">
      <c r="A54" s="6" t="str">
        <v>023135</v>
      </c>
      <c r="B54" s="6" t="str">
        <v>United States</v>
      </c>
      <c r="C54" s="6" t="str">
        <v>Amazon.com Inc</v>
      </c>
      <c r="D54" s="6" t="str">
        <v>Amazon.com Inc</v>
      </c>
      <c r="E54" s="6" t="str">
        <v>Amazon.com Inc;Amazon.com Inc</v>
      </c>
      <c r="F54" s="6" t="str">
        <v>United States</v>
      </c>
      <c r="G54" s="6" t="str">
        <v>Telebook Inc</v>
      </c>
      <c r="H54" s="6" t="str">
        <v>Business Services</v>
      </c>
      <c r="I54" s="6" t="str">
        <v>87919P</v>
      </c>
      <c r="J54" s="6" t="str">
        <v>Telebook Inc</v>
      </c>
      <c r="K54" s="6" t="str">
        <v>Telebook Inc</v>
      </c>
      <c r="L54" s="7">
        <f>=DATE(1998,4,28)</f>
        <v>35912.99949074074</v>
      </c>
      <c r="M54" s="7">
        <f>=DATE(1998,4,28)</f>
        <v>35912.99949074074</v>
      </c>
      <c r="W54" s="6" t="str">
        <v>Primary Business not Hi-Tech</v>
      </c>
      <c r="X54" s="6" t="str">
        <v>Other Computer Related Svcs</v>
      </c>
      <c r="Y54" s="6" t="str">
        <v>Other Computer Related Svcs</v>
      </c>
      <c r="Z54" s="6" t="str">
        <v>Other Computer Related Svcs</v>
      </c>
      <c r="AA54" s="6" t="str">
        <v>Primary Business not Hi-Tech</v>
      </c>
      <c r="AB54" s="6" t="str">
        <v>Primary Business not Hi-Tech</v>
      </c>
    </row>
    <row r="55">
      <c r="A55" s="6" t="str">
        <v>893929</v>
      </c>
      <c r="B55" s="6" t="str">
        <v>United States</v>
      </c>
      <c r="C55" s="6" t="str">
        <v>Transcend Services Inc</v>
      </c>
      <c r="D55" s="6" t="str">
        <v>Transcend Services Inc</v>
      </c>
      <c r="F55" s="6" t="str">
        <v>United States</v>
      </c>
      <c r="G55" s="6" t="str">
        <v>Health Care Information Systems Inc</v>
      </c>
      <c r="H55" s="6" t="str">
        <v>Prepackaged Software</v>
      </c>
      <c r="I55" s="6" t="str">
        <v>42229W</v>
      </c>
      <c r="J55" s="6" t="str">
        <v>Health Care Information Systems Inc</v>
      </c>
      <c r="K55" s="6" t="str">
        <v>Health Care Information Systems Inc</v>
      </c>
      <c r="L55" s="7">
        <f>=DATE(1998,4,29)</f>
        <v>35913.99949074074</v>
      </c>
      <c r="M55" s="7">
        <f>=DATE(1998,6,2)</f>
        <v>35947.99949074074</v>
      </c>
      <c r="W55" s="6" t="str">
        <v>Other Computer Related Svcs;Data Processing Services</v>
      </c>
      <c r="X55" s="6" t="str">
        <v>Applications Software(Business</v>
      </c>
      <c r="Y55" s="6" t="str">
        <v>Applications Software(Business</v>
      </c>
      <c r="Z55" s="6" t="str">
        <v>Applications Software(Business</v>
      </c>
      <c r="AA55" s="6" t="str">
        <v>Data Processing Services;Other Computer Related Svcs</v>
      </c>
      <c r="AB55" s="6" t="str">
        <v>Data Processing Services;Other Computer Related Svcs</v>
      </c>
    </row>
    <row r="56">
      <c r="A56" s="6" t="str">
        <v>53577X</v>
      </c>
      <c r="B56" s="6" t="str">
        <v>United States</v>
      </c>
      <c r="C56" s="6" t="str">
        <v>LinkExchange(TM) Inc</v>
      </c>
      <c r="D56" s="6" t="str">
        <v>LinkExchange(TM) Inc</v>
      </c>
      <c r="F56" s="6" t="str">
        <v>United States</v>
      </c>
      <c r="G56" s="6" t="str">
        <v>Merchant Planet</v>
      </c>
      <c r="H56" s="6" t="str">
        <v>Business Services</v>
      </c>
      <c r="I56" s="6" t="str">
        <v>58821W</v>
      </c>
      <c r="J56" s="6" t="str">
        <v>Merchant Planet</v>
      </c>
      <c r="K56" s="6" t="str">
        <v>Merchant Planet</v>
      </c>
      <c r="L56" s="7">
        <f>=DATE(1998,6,22)</f>
        <v>35967.99949074074</v>
      </c>
      <c r="M56" s="7">
        <f>=DATE(1998,6,22)</f>
        <v>35967.99949074074</v>
      </c>
      <c r="X56" s="6" t="str">
        <v>Internet Services &amp; Software</v>
      </c>
      <c r="Y56" s="6" t="str">
        <v>Internet Services &amp; Software</v>
      </c>
      <c r="Z56" s="6" t="str">
        <v>Internet Services &amp; Software</v>
      </c>
    </row>
    <row r="57">
      <c r="A57" s="6" t="str">
        <v>85208C</v>
      </c>
      <c r="B57" s="6" t="str">
        <v>United States</v>
      </c>
      <c r="C57" s="6" t="str">
        <v>Spruce Technologies Inc(Japan Information Processing Service Co)</v>
      </c>
      <c r="D57" s="6" t="str">
        <v>Japan Information Processing Service Co Ltd</v>
      </c>
      <c r="F57" s="6" t="str">
        <v>United States</v>
      </c>
      <c r="G57" s="6" t="str">
        <v>Cadent-DVD Encoding Business</v>
      </c>
      <c r="H57" s="6" t="str">
        <v>Communications Equipment</v>
      </c>
      <c r="I57" s="6" t="str">
        <v>12549Q</v>
      </c>
      <c r="J57" s="6" t="str">
        <v>Cadent LLC</v>
      </c>
      <c r="K57" s="6" t="str">
        <v>Cadent LLC</v>
      </c>
      <c r="L57" s="7">
        <f>=DATE(1998,6,30)</f>
        <v>35975.99949074074</v>
      </c>
      <c r="M57" s="7">
        <f>=DATE(1998,6,30)</f>
        <v>35975.99949074074</v>
      </c>
      <c r="W57" s="6" t="str">
        <v>Other Software (inq. Games)</v>
      </c>
      <c r="X57" s="6" t="str">
        <v>Data Commun(Exclude networking;Microwave Communications</v>
      </c>
      <c r="Y57" s="6" t="str">
        <v>Data Commun(Exclude networking;Microwave Communications</v>
      </c>
      <c r="Z57" s="6" t="str">
        <v>Microwave Communications;Data Commun(Exclude networking</v>
      </c>
      <c r="AA57" s="6" t="str">
        <v>Data Processing Services</v>
      </c>
      <c r="AB57" s="6" t="str">
        <v>Data Processing Services</v>
      </c>
    </row>
    <row r="58">
      <c r="A58" s="6" t="str">
        <v>927914</v>
      </c>
      <c r="B58" s="6" t="str">
        <v>United States</v>
      </c>
      <c r="C58" s="6" t="str">
        <v>Visio Corp</v>
      </c>
      <c r="D58" s="6" t="str">
        <v>Visio Corp</v>
      </c>
      <c r="F58" s="6" t="str">
        <v>United States</v>
      </c>
      <c r="G58" s="6" t="str">
        <v>Kaspia Systems Inc</v>
      </c>
      <c r="H58" s="6" t="str">
        <v>Prepackaged Software</v>
      </c>
      <c r="I58" s="6" t="str">
        <v>48581J</v>
      </c>
      <c r="J58" s="6" t="str">
        <v>Kaspia Systems Inc</v>
      </c>
      <c r="K58" s="6" t="str">
        <v>Kaspia Systems Inc</v>
      </c>
      <c r="L58" s="7">
        <f>=DATE(1998,7,13)</f>
        <v>35988.99949074074</v>
      </c>
      <c r="M58" s="7">
        <f>=DATE(1998,7,13)</f>
        <v>35988.99949074074</v>
      </c>
      <c r="N58" s="8">
        <v>29.787</v>
      </c>
      <c r="O58" s="8">
        <v>29.787</v>
      </c>
      <c r="W58" s="6" t="str">
        <v>Applications Software(Business</v>
      </c>
      <c r="X58" s="6" t="str">
        <v>Applications Software(Business</v>
      </c>
      <c r="Y58" s="6" t="str">
        <v>Applications Software(Business</v>
      </c>
      <c r="Z58" s="6" t="str">
        <v>Applications Software(Business</v>
      </c>
      <c r="AA58" s="6" t="str">
        <v>Applications Software(Business</v>
      </c>
      <c r="AB58" s="6" t="str">
        <v>Applications Software(Business</v>
      </c>
      <c r="AC58" s="8">
        <v>29.787</v>
      </c>
      <c r="AD58" s="7">
        <f>=DATE(1998,7,13)</f>
        <v>35988.99949074074</v>
      </c>
      <c r="AF58" s="8" t="str">
        <v>29.79</v>
      </c>
      <c r="AG58" s="8" t="str">
        <v>29.79</v>
      </c>
    </row>
    <row r="59">
      <c r="A59" s="6" t="str">
        <v>023135</v>
      </c>
      <c r="B59" s="6" t="str">
        <v>United States</v>
      </c>
      <c r="C59" s="6" t="str">
        <v>Amazon.com Inc</v>
      </c>
      <c r="D59" s="6" t="str">
        <v>Amazon.com Inc</v>
      </c>
      <c r="F59" s="6" t="str">
        <v>United States</v>
      </c>
      <c r="G59" s="6" t="str">
        <v>Junglee Corp</v>
      </c>
      <c r="H59" s="6" t="str">
        <v>Business Services</v>
      </c>
      <c r="I59" s="6" t="str">
        <v>48187R</v>
      </c>
      <c r="J59" s="6" t="str">
        <v>Junglee Corp</v>
      </c>
      <c r="K59" s="6" t="str">
        <v>Junglee Corp</v>
      </c>
      <c r="L59" s="7">
        <f>=DATE(1998,8,4)</f>
        <v>36010.99949074074</v>
      </c>
      <c r="M59" s="7">
        <f>=DATE(1998,8,12)</f>
        <v>36018.99949074074</v>
      </c>
      <c r="N59" s="8">
        <v>198.4</v>
      </c>
      <c r="O59" s="8">
        <v>173.2</v>
      </c>
      <c r="P59" s="8" t="str">
        <v>173.20</v>
      </c>
      <c r="R59" s="8">
        <v>-4.2</v>
      </c>
      <c r="S59" s="8">
        <v>1.216</v>
      </c>
      <c r="W59" s="6" t="str">
        <v>Primary Business not Hi-Tech</v>
      </c>
      <c r="X59" s="6" t="str">
        <v>Internet Services &amp; Software</v>
      </c>
      <c r="Y59" s="6" t="str">
        <v>Internet Services &amp; Software</v>
      </c>
      <c r="Z59" s="6" t="str">
        <v>Internet Services &amp; Software</v>
      </c>
      <c r="AA59" s="6" t="str">
        <v>Primary Business not Hi-Tech</v>
      </c>
      <c r="AB59" s="6" t="str">
        <v>Primary Business not Hi-Tech</v>
      </c>
      <c r="AC59" s="8">
        <v>173.2</v>
      </c>
      <c r="AD59" s="7">
        <f>=DATE(1998,8,4)</f>
        <v>36010.99949074074</v>
      </c>
      <c r="AF59" s="8" t="str">
        <v>173.20</v>
      </c>
      <c r="AG59" s="8" t="str">
        <v>198.40</v>
      </c>
    </row>
    <row r="60">
      <c r="A60" s="6" t="str">
        <v>023135</v>
      </c>
      <c r="B60" s="6" t="str">
        <v>United States</v>
      </c>
      <c r="C60" s="6" t="str">
        <v>Amazon.com Inc</v>
      </c>
      <c r="D60" s="6" t="str">
        <v>Amazon.com Inc</v>
      </c>
      <c r="F60" s="6" t="str">
        <v>United States</v>
      </c>
      <c r="G60" s="6" t="str">
        <v>PlanetAll</v>
      </c>
      <c r="H60" s="6" t="str">
        <v>Prepackaged Software</v>
      </c>
      <c r="I60" s="6" t="str">
        <v>72704J</v>
      </c>
      <c r="J60" s="6" t="str">
        <v>PlanetAll</v>
      </c>
      <c r="K60" s="6" t="str">
        <v>PlanetAll</v>
      </c>
      <c r="L60" s="7">
        <f>=DATE(1998,8,4)</f>
        <v>36010.99949074074</v>
      </c>
      <c r="M60" s="7">
        <f>=DATE(1998,8,27)</f>
        <v>36033.99949074074</v>
      </c>
      <c r="N60" s="8">
        <v>101.8</v>
      </c>
      <c r="O60" s="8">
        <v>86.6</v>
      </c>
      <c r="W60" s="6" t="str">
        <v>Primary Business not Hi-Tech</v>
      </c>
      <c r="X60" s="6" t="str">
        <v>Applications Software(Home)</v>
      </c>
      <c r="Y60" s="6" t="str">
        <v>Applications Software(Home)</v>
      </c>
      <c r="Z60" s="6" t="str">
        <v>Applications Software(Home)</v>
      </c>
      <c r="AA60" s="6" t="str">
        <v>Primary Business not Hi-Tech</v>
      </c>
      <c r="AB60" s="6" t="str">
        <v>Primary Business not Hi-Tech</v>
      </c>
      <c r="AC60" s="8">
        <v>86.6</v>
      </c>
      <c r="AD60" s="7">
        <f>=DATE(1998,8,4)</f>
        <v>36010.99949074074</v>
      </c>
      <c r="AF60" s="8" t="str">
        <v>86.60</v>
      </c>
      <c r="AG60" s="8" t="str">
        <v>101.80</v>
      </c>
    </row>
    <row r="61">
      <c r="A61" s="6" t="str">
        <v>594918</v>
      </c>
      <c r="B61" s="6" t="str">
        <v>United States</v>
      </c>
      <c r="C61" s="6" t="str">
        <v>Microsoft Corp</v>
      </c>
      <c r="D61" s="6" t="str">
        <v>Microsoft Corp</v>
      </c>
      <c r="F61" s="6" t="str">
        <v>United States</v>
      </c>
      <c r="G61" s="6" t="str">
        <v>Valence Research Inc</v>
      </c>
      <c r="H61" s="6" t="str">
        <v>Prepackaged Software</v>
      </c>
      <c r="I61" s="6" t="str">
        <v>91891J</v>
      </c>
      <c r="J61" s="6" t="str">
        <v>Valence Research Inc</v>
      </c>
      <c r="K61" s="6" t="str">
        <v>Valence Research Inc</v>
      </c>
      <c r="L61" s="7">
        <f>=DATE(1998,8,25)</f>
        <v>36031.99949074074</v>
      </c>
      <c r="M61" s="7">
        <f>=DATE(1998,8,25)</f>
        <v>36031.99949074074</v>
      </c>
      <c r="W61" s="6" t="str">
        <v>Computer Consulting Services;Applications Software(Business;Other Peripherals;Internet Services &amp; Software;Monitors/Terminals;Operating Systems</v>
      </c>
      <c r="X61" s="6" t="str">
        <v>Communication/Network Software;Internet Services &amp; Software</v>
      </c>
      <c r="Y61" s="6" t="str">
        <v>Communication/Network Software;Internet Services &amp; Software</v>
      </c>
      <c r="Z61" s="6" t="str">
        <v>Internet Services &amp; Software;Communication/Network Software</v>
      </c>
      <c r="AA61" s="6" t="str">
        <v>Other Peripherals;Operating Systems;Monitors/Terminals;Internet Services &amp; Software;Applications Software(Business;Computer Consulting Services</v>
      </c>
      <c r="AB61" s="6" t="str">
        <v>Internet Services &amp; Software;Operating Systems;Applications Software(Business;Other Peripherals;Monitors/Terminals;Computer Consulting Services</v>
      </c>
    </row>
    <row r="62">
      <c r="A62" s="6" t="str">
        <v>594918</v>
      </c>
      <c r="B62" s="6" t="str">
        <v>United States</v>
      </c>
      <c r="C62" s="6" t="str">
        <v>Microsoft Corp</v>
      </c>
      <c r="D62" s="6" t="str">
        <v>Microsoft Corp</v>
      </c>
      <c r="F62" s="6" t="str">
        <v>United States</v>
      </c>
      <c r="G62" s="6" t="str">
        <v>Qwest Communications Corp</v>
      </c>
      <c r="H62" s="6" t="str">
        <v>Telecommunications</v>
      </c>
      <c r="I62" s="6" t="str">
        <v>749121</v>
      </c>
      <c r="J62" s="6" t="str">
        <v>Anschutz Exploration Corp</v>
      </c>
      <c r="K62" s="6" t="str">
        <v>Anschutz Exploration Corp</v>
      </c>
      <c r="L62" s="7">
        <f>=DATE(1998,12,14)</f>
        <v>36142.99949074074</v>
      </c>
      <c r="M62" s="7">
        <f>=DATE(1998,12,14)</f>
        <v>36142.99949074074</v>
      </c>
      <c r="N62" s="8">
        <v>200</v>
      </c>
      <c r="O62" s="8">
        <v>200</v>
      </c>
      <c r="P62" s="8" t="str">
        <v>18,862.98</v>
      </c>
      <c r="R62" s="8">
        <v>14.523</v>
      </c>
      <c r="S62" s="8">
        <v>696.703</v>
      </c>
      <c r="T62" s="8">
        <v>766.191</v>
      </c>
      <c r="U62" s="8">
        <v>-356.824</v>
      </c>
      <c r="V62" s="8">
        <v>-36.488</v>
      </c>
      <c r="W62" s="6" t="str">
        <v>Internet Services &amp; Software;Applications Software(Business;Monitors/Terminals;Operating Systems;Other Peripherals;Computer Consulting Services</v>
      </c>
      <c r="X62" s="6" t="str">
        <v>Telecommunications Equipment;Communication/Network Software</v>
      </c>
      <c r="Y62" s="6" t="str">
        <v>Primary Business not Hi-Tech</v>
      </c>
      <c r="Z62" s="6" t="str">
        <v>Primary Business not Hi-Tech</v>
      </c>
      <c r="AA62" s="6" t="str">
        <v>Applications Software(Business;Other Peripherals;Operating Systems;Computer Consulting Services;Monitors/Terminals;Internet Services &amp; Software</v>
      </c>
      <c r="AB62" s="6" t="str">
        <v>Other Peripherals;Operating Systems;Monitors/Terminals;Internet Services &amp; Software;Applications Software(Business;Computer Consulting Services</v>
      </c>
      <c r="AC62" s="8">
        <v>200</v>
      </c>
      <c r="AD62" s="7">
        <f>=DATE(1998,12,14)</f>
        <v>36142.99949074074</v>
      </c>
      <c r="AE62" s="8">
        <v>15102</v>
      </c>
      <c r="AF62" s="8" t="str">
        <v>15,364.69</v>
      </c>
      <c r="AG62" s="8" t="str">
        <v>18,862.98</v>
      </c>
    </row>
    <row r="63">
      <c r="A63" s="6" t="str">
        <v>594918</v>
      </c>
      <c r="B63" s="6" t="str">
        <v>United States</v>
      </c>
      <c r="C63" s="6" t="str">
        <v>Microsoft Corp</v>
      </c>
      <c r="D63" s="6" t="str">
        <v>Microsoft Corp</v>
      </c>
      <c r="F63" s="6" t="str">
        <v>United States</v>
      </c>
      <c r="G63" s="6" t="str">
        <v>SkyTel Communications Inc</v>
      </c>
      <c r="H63" s="6" t="str">
        <v>Telecommunications</v>
      </c>
      <c r="I63" s="6" t="str">
        <v>83087Q</v>
      </c>
      <c r="J63" s="6" t="str">
        <v>SkyTel Communications Inc</v>
      </c>
      <c r="K63" s="6" t="str">
        <v>SkyTel Communications Inc</v>
      </c>
      <c r="L63" s="7">
        <f>=DATE(1999,1,6)</f>
        <v>36165.99949074074</v>
      </c>
      <c r="M63" s="7">
        <f>=DATE(1999,1,6)</f>
        <v>36165.99949074074</v>
      </c>
      <c r="R63" s="8">
        <v>-22.508</v>
      </c>
      <c r="S63" s="8">
        <v>518.294</v>
      </c>
      <c r="T63" s="8">
        <v>-32.1</v>
      </c>
      <c r="U63" s="8">
        <v>-64.557</v>
      </c>
      <c r="V63" s="8">
        <v>93.845</v>
      </c>
      <c r="W63" s="6" t="str">
        <v>Operating Systems;Computer Consulting Services;Monitors/Terminals;Applications Software(Business;Other Peripherals;Internet Services &amp; Software</v>
      </c>
      <c r="X63" s="6" t="str">
        <v>Cellular Communications</v>
      </c>
      <c r="Y63" s="6" t="str">
        <v>Cellular Communications</v>
      </c>
      <c r="Z63" s="6" t="str">
        <v>Cellular Communications</v>
      </c>
      <c r="AA63" s="6" t="str">
        <v>Other Peripherals;Operating Systems;Computer Consulting Services;Monitors/Terminals;Applications Software(Business;Internet Services &amp; Software</v>
      </c>
      <c r="AB63" s="6" t="str">
        <v>Applications Software(Business;Computer Consulting Services;Monitors/Terminals;Internet Services &amp; Software;Operating Systems;Other Peripherals</v>
      </c>
    </row>
    <row r="64">
      <c r="A64" s="6" t="str">
        <v>594918</v>
      </c>
      <c r="B64" s="6" t="str">
        <v>United States</v>
      </c>
      <c r="C64" s="6" t="str">
        <v>Microsoft Corp</v>
      </c>
      <c r="D64" s="6" t="str">
        <v>Microsoft Corp</v>
      </c>
      <c r="F64" s="6" t="str">
        <v>United States</v>
      </c>
      <c r="G64" s="6" t="str">
        <v>FASA Interactive Inc(Virtual Worlds Entertainment Group Inc)</v>
      </c>
      <c r="H64" s="6" t="str">
        <v>Prepackaged Software</v>
      </c>
      <c r="I64" s="6" t="str">
        <v>30298X</v>
      </c>
      <c r="J64" s="6" t="str">
        <v>Virtual Worlds Entertainment Group Inc</v>
      </c>
      <c r="K64" s="6" t="str">
        <v>Virtual Worlds Entertainment Group Inc</v>
      </c>
      <c r="L64" s="7">
        <f>=DATE(1999,1,7)</f>
        <v>36166.99949074074</v>
      </c>
      <c r="M64" s="7">
        <f>=DATE(1999,1,11)</f>
        <v>36170.99949074074</v>
      </c>
      <c r="W64" s="6" t="str">
        <v>Computer Consulting Services;Internet Services &amp; Software;Monitors/Terminals;Operating Systems;Applications Software(Business;Other Peripherals</v>
      </c>
      <c r="X64" s="6" t="str">
        <v>Other Software (inq. Games)</v>
      </c>
      <c r="Y64" s="6" t="str">
        <v>Primary Business not Hi-Tech</v>
      </c>
      <c r="Z64" s="6" t="str">
        <v>Primary Business not Hi-Tech</v>
      </c>
      <c r="AA64" s="6" t="str">
        <v>Operating Systems;Other Peripherals;Applications Software(Business;Monitors/Terminals;Internet Services &amp; Software;Computer Consulting Services</v>
      </c>
      <c r="AB64" s="6" t="str">
        <v>Applications Software(Business;Operating Systems;Other Peripherals;Internet Services &amp; Software;Monitors/Terminals;Computer Consulting Services</v>
      </c>
    </row>
    <row r="65">
      <c r="A65" s="6" t="str">
        <v>594918</v>
      </c>
      <c r="B65" s="6" t="str">
        <v>United States</v>
      </c>
      <c r="C65" s="6" t="str">
        <v>Microsoft Corp</v>
      </c>
      <c r="D65" s="6" t="str">
        <v>Microsoft Corp</v>
      </c>
      <c r="F65" s="6" t="str">
        <v>United States</v>
      </c>
      <c r="G65" s="6" t="str">
        <v>Banyan Systems Inc</v>
      </c>
      <c r="H65" s="6" t="str">
        <v>Prepackaged Software</v>
      </c>
      <c r="I65" s="6" t="str">
        <v>066908</v>
      </c>
      <c r="J65" s="6" t="str">
        <v>Banyan Systems Inc</v>
      </c>
      <c r="K65" s="6" t="str">
        <v>Banyan Systems Inc</v>
      </c>
      <c r="L65" s="7">
        <f>=DATE(1999,1,11)</f>
        <v>36170.99949074074</v>
      </c>
      <c r="M65" s="7">
        <f>=DATE(1999,2,2)</f>
        <v>36192.99949074074</v>
      </c>
      <c r="N65" s="8">
        <v>10</v>
      </c>
      <c r="O65" s="8">
        <v>10</v>
      </c>
      <c r="P65" s="8" t="str">
        <v>117.28</v>
      </c>
      <c r="R65" s="8">
        <v>1.115</v>
      </c>
      <c r="S65" s="8">
        <v>75.222</v>
      </c>
      <c r="T65" s="8">
        <v>12.057</v>
      </c>
      <c r="U65" s="8">
        <v>-4.838</v>
      </c>
      <c r="V65" s="8">
        <v>1.205</v>
      </c>
      <c r="W65" s="6" t="str">
        <v>Operating Systems;Other Peripherals;Applications Software(Business;Monitors/Terminals;Internet Services &amp; Software;Computer Consulting Services</v>
      </c>
      <c r="X65" s="6" t="str">
        <v>Communication/Network Software</v>
      </c>
      <c r="Y65" s="6" t="str">
        <v>Communication/Network Software</v>
      </c>
      <c r="Z65" s="6" t="str">
        <v>Communication/Network Software</v>
      </c>
      <c r="AA65" s="6" t="str">
        <v>Operating Systems;Other Peripherals;Internet Services &amp; Software;Applications Software(Business;Computer Consulting Services;Monitors/Terminals</v>
      </c>
      <c r="AB65" s="6" t="str">
        <v>Internet Services &amp; Software;Applications Software(Business;Other Peripherals;Monitors/Terminals;Computer Consulting Services;Operating Systems</v>
      </c>
      <c r="AC65" s="8">
        <v>10</v>
      </c>
      <c r="AD65" s="7">
        <f>=DATE(1999,1,11)</f>
        <v>36170.99949074074</v>
      </c>
      <c r="AF65" s="8" t="str">
        <v>115.27</v>
      </c>
      <c r="AG65" s="8" t="str">
        <v>115.27</v>
      </c>
    </row>
    <row r="66">
      <c r="A66" s="6" t="str">
        <v>594918</v>
      </c>
      <c r="B66" s="6" t="str">
        <v>United States</v>
      </c>
      <c r="C66" s="6" t="str">
        <v>Microsoft Corp</v>
      </c>
      <c r="D66" s="6" t="str">
        <v>Microsoft Corp</v>
      </c>
      <c r="F66" s="6" t="str">
        <v>United States</v>
      </c>
      <c r="G66" s="6" t="str">
        <v>NTL Inc</v>
      </c>
      <c r="H66" s="6" t="str">
        <v>Radio and Television Broadcasting Stations</v>
      </c>
      <c r="I66" s="6" t="str">
        <v>629407</v>
      </c>
      <c r="J66" s="6" t="str">
        <v>NTL Inc</v>
      </c>
      <c r="K66" s="6" t="str">
        <v>NTL Inc</v>
      </c>
      <c r="L66" s="7">
        <f>=DATE(1999,2,1)</f>
        <v>36191.99949074074</v>
      </c>
      <c r="M66" s="7">
        <f>=DATE(1999,2,1)</f>
        <v>36191.99949074074</v>
      </c>
      <c r="N66" s="8">
        <v>500</v>
      </c>
      <c r="O66" s="8">
        <v>500</v>
      </c>
      <c r="P66" s="8" t="str">
        <v>13,848.17</v>
      </c>
      <c r="R66" s="8">
        <v>-503.927</v>
      </c>
      <c r="S66" s="8">
        <v>747.015</v>
      </c>
      <c r="T66" s="8">
        <v>2458.457</v>
      </c>
      <c r="U66" s="8">
        <v>-1802.607</v>
      </c>
      <c r="V66" s="8">
        <v>-18.943</v>
      </c>
      <c r="W66" s="6" t="str">
        <v>Computer Consulting Services;Other Peripherals;Operating Systems;Internet Services &amp; Software;Monitors/Terminals;Applications Software(Business</v>
      </c>
      <c r="X66" s="6" t="str">
        <v>Internet Services &amp; Software;Communication/Network Software</v>
      </c>
      <c r="Y66" s="6" t="str">
        <v>Internet Services &amp; Software;Communication/Network Software</v>
      </c>
      <c r="Z66" s="6" t="str">
        <v>Communication/Network Software;Internet Services &amp; Software</v>
      </c>
      <c r="AA66" s="6" t="str">
        <v>Other Peripherals;Applications Software(Business;Computer Consulting Services;Monitors/Terminals;Operating Systems;Internet Services &amp; Software</v>
      </c>
      <c r="AB66" s="6" t="str">
        <v>Internet Services &amp; Software;Computer Consulting Services;Applications Software(Business;Other Peripherals;Operating Systems;Monitors/Terminals</v>
      </c>
      <c r="AC66" s="8">
        <v>500</v>
      </c>
      <c r="AD66" s="7">
        <f>=DATE(1999,2,1)</f>
        <v>36191.99949074074</v>
      </c>
      <c r="AF66" s="8" t="str">
        <v>13,848.17</v>
      </c>
      <c r="AG66" s="8" t="str">
        <v>13,848.17</v>
      </c>
    </row>
    <row r="67">
      <c r="A67" s="6" t="str">
        <v>023135</v>
      </c>
      <c r="B67" s="6" t="str">
        <v>United States</v>
      </c>
      <c r="C67" s="6" t="str">
        <v>Amazon.com Inc</v>
      </c>
      <c r="D67" s="6" t="str">
        <v>Amazon.com Inc</v>
      </c>
      <c r="F67" s="6" t="str">
        <v>United States</v>
      </c>
      <c r="G67" s="6" t="str">
        <v>GeoWorks Inc</v>
      </c>
      <c r="H67" s="6" t="str">
        <v>Prepackaged Software</v>
      </c>
      <c r="I67" s="6" t="str">
        <v>373692</v>
      </c>
      <c r="J67" s="6" t="str">
        <v>GeoWorks Inc</v>
      </c>
      <c r="K67" s="6" t="str">
        <v>GeoWorks Inc</v>
      </c>
      <c r="L67" s="7">
        <f>=DATE(1999,2,16)</f>
        <v>36206.99949074074</v>
      </c>
      <c r="M67" s="7">
        <f>=DATE(2000,2,1)</f>
        <v>36556.99949074074</v>
      </c>
      <c r="N67" s="8">
        <v>5</v>
      </c>
      <c r="O67" s="8">
        <v>5</v>
      </c>
      <c r="P67" s="8" t="str">
        <v>52.18</v>
      </c>
      <c r="R67" s="8">
        <v>-14.869</v>
      </c>
      <c r="S67" s="8">
        <v>12.917</v>
      </c>
      <c r="T67" s="8">
        <v>1.328</v>
      </c>
      <c r="U67" s="8">
        <v>17.989</v>
      </c>
      <c r="V67" s="8">
        <v>-16.906</v>
      </c>
      <c r="W67" s="6" t="str">
        <v>Primary Business not Hi-Tech</v>
      </c>
      <c r="X67" s="6" t="str">
        <v>Applications Software(Home);Applications Software(Business</v>
      </c>
      <c r="Y67" s="6" t="str">
        <v>Applications Software(Home);Applications Software(Business</v>
      </c>
      <c r="Z67" s="6" t="str">
        <v>Applications Software(Home);Applications Software(Business</v>
      </c>
      <c r="AA67" s="6" t="str">
        <v>Primary Business not Hi-Tech</v>
      </c>
      <c r="AB67" s="6" t="str">
        <v>Primary Business not Hi-Tech</v>
      </c>
      <c r="AC67" s="8">
        <v>5</v>
      </c>
      <c r="AD67" s="7">
        <f>=DATE(1999,2,16)</f>
        <v>36206.99949074074</v>
      </c>
      <c r="AF67" s="8" t="str">
        <v>52.18</v>
      </c>
      <c r="AG67" s="8" t="str">
        <v>52.18</v>
      </c>
    </row>
    <row r="68">
      <c r="A68" s="6" t="str">
        <v>023135</v>
      </c>
      <c r="B68" s="6" t="str">
        <v>United States</v>
      </c>
      <c r="C68" s="6" t="str">
        <v>Amazon.com Inc</v>
      </c>
      <c r="D68" s="6" t="str">
        <v>Amazon.com Inc</v>
      </c>
      <c r="F68" s="6" t="str">
        <v>United States</v>
      </c>
      <c r="G68" s="6" t="str">
        <v>Drugstore.com Inc</v>
      </c>
      <c r="H68" s="6" t="str">
        <v>Health Services</v>
      </c>
      <c r="I68" s="6" t="str">
        <v>262241</v>
      </c>
      <c r="J68" s="6" t="str">
        <v>Drugstore.com Inc</v>
      </c>
      <c r="K68" s="6" t="str">
        <v>Drugstore.com Inc</v>
      </c>
      <c r="L68" s="7">
        <f>=DATE(1999,2,24)</f>
        <v>36214.99949074074</v>
      </c>
      <c r="M68" s="7">
        <f>=DATE(1999,2,24)</f>
        <v>36214.99949074074</v>
      </c>
      <c r="S68" s="8">
        <v>0.5</v>
      </c>
      <c r="W68" s="6" t="str">
        <v>Primary Business not Hi-Tech</v>
      </c>
      <c r="X68" s="6" t="str">
        <v>Internet Services &amp; Software</v>
      </c>
      <c r="Y68" s="6" t="str">
        <v>Internet Services &amp; Software</v>
      </c>
      <c r="Z68" s="6" t="str">
        <v>Internet Services &amp; Software</v>
      </c>
      <c r="AA68" s="6" t="str">
        <v>Primary Business not Hi-Tech</v>
      </c>
      <c r="AB68" s="6" t="str">
        <v>Primary Business not Hi-Tech</v>
      </c>
    </row>
    <row r="69">
      <c r="A69" s="6" t="str">
        <v>594918</v>
      </c>
      <c r="B69" s="6" t="str">
        <v>United States</v>
      </c>
      <c r="C69" s="6" t="str">
        <v>Microsoft Corp</v>
      </c>
      <c r="D69" s="6" t="str">
        <v>Microsoft Corp</v>
      </c>
      <c r="F69" s="6" t="str">
        <v>United States</v>
      </c>
      <c r="G69" s="6" t="str">
        <v>Dialogic Corp</v>
      </c>
      <c r="H69" s="6" t="str">
        <v>Computer and Office Equipment</v>
      </c>
      <c r="I69" s="6" t="str">
        <v>252499</v>
      </c>
      <c r="J69" s="6" t="str">
        <v>Dialogic Corp</v>
      </c>
      <c r="K69" s="6" t="str">
        <v>Dialogic Corp</v>
      </c>
      <c r="L69" s="7">
        <f>=DATE(1999,3,2)</f>
        <v>36220.99949074074</v>
      </c>
      <c r="M69" s="7">
        <f>=DATE(1999,3,2)</f>
        <v>36220.99949074074</v>
      </c>
      <c r="N69" s="8">
        <v>24.2</v>
      </c>
      <c r="O69" s="8">
        <v>24.2</v>
      </c>
      <c r="P69" s="8" t="str">
        <v>399.79</v>
      </c>
      <c r="R69" s="8">
        <v>36.608</v>
      </c>
      <c r="S69" s="8">
        <v>293.525</v>
      </c>
      <c r="T69" s="8">
        <v>-7.845</v>
      </c>
      <c r="U69" s="8">
        <v>1.589</v>
      </c>
      <c r="V69" s="8">
        <v>27.819</v>
      </c>
      <c r="W69" s="6" t="str">
        <v>Internet Services &amp; Software;Monitors/Terminals;Other Peripherals;Computer Consulting Services;Applications Software(Business;Operating Systems</v>
      </c>
      <c r="X69" s="6" t="str">
        <v>Other Peripherals</v>
      </c>
      <c r="Y69" s="6" t="str">
        <v>Other Peripherals</v>
      </c>
      <c r="Z69" s="6" t="str">
        <v>Other Peripherals</v>
      </c>
      <c r="AA69" s="6" t="str">
        <v>Computer Consulting Services;Other Peripherals;Monitors/Terminals;Internet Services &amp; Software;Operating Systems;Applications Software(Business</v>
      </c>
      <c r="AB69" s="6" t="str">
        <v>Computer Consulting Services;Internet Services &amp; Software;Monitors/Terminals;Other Peripherals;Operating Systems;Applications Software(Business</v>
      </c>
      <c r="AC69" s="8">
        <v>24.2</v>
      </c>
      <c r="AD69" s="7">
        <f>=DATE(1999,3,5)</f>
        <v>36223.99949074074</v>
      </c>
      <c r="AF69" s="8" t="str">
        <v>399.79</v>
      </c>
      <c r="AG69" s="8" t="str">
        <v>399.79</v>
      </c>
    </row>
    <row r="70">
      <c r="A70" s="6" t="str">
        <v>594918</v>
      </c>
      <c r="B70" s="6" t="str">
        <v>United States</v>
      </c>
      <c r="C70" s="6" t="str">
        <v>Microsoft Corp</v>
      </c>
      <c r="D70" s="6" t="str">
        <v>Microsoft Corp</v>
      </c>
      <c r="F70" s="6" t="str">
        <v>United States</v>
      </c>
      <c r="G70" s="6" t="str">
        <v>CompareNet Inc</v>
      </c>
      <c r="H70" s="6" t="str">
        <v>Business Services</v>
      </c>
      <c r="I70" s="6" t="str">
        <v>20391C</v>
      </c>
      <c r="J70" s="6" t="str">
        <v>CompareNet Inc</v>
      </c>
      <c r="K70" s="6" t="str">
        <v>CompareNet Inc</v>
      </c>
      <c r="L70" s="7">
        <f>=DATE(1999,3,4)</f>
        <v>36222.99949074074</v>
      </c>
      <c r="M70" s="7">
        <f>=DATE(1999,3,4)</f>
        <v>36222.99949074074</v>
      </c>
      <c r="W70" s="6" t="str">
        <v>Internet Services &amp; Software;Other Peripherals;Monitors/Terminals;Operating Systems;Computer Consulting Services;Applications Software(Business</v>
      </c>
      <c r="X70" s="6" t="str">
        <v>Internet Services &amp; Software</v>
      </c>
      <c r="Y70" s="6" t="str">
        <v>Internet Services &amp; Software</v>
      </c>
      <c r="Z70" s="6" t="str">
        <v>Internet Services &amp; Software</v>
      </c>
      <c r="AA70" s="6" t="str">
        <v>Operating Systems;Applications Software(Business;Internet Services &amp; Software;Computer Consulting Services;Monitors/Terminals;Other Peripherals</v>
      </c>
      <c r="AB70" s="6" t="str">
        <v>Other Peripherals;Internet Services &amp; Software;Applications Software(Business;Computer Consulting Services;Operating Systems;Monitors/Terminals</v>
      </c>
    </row>
    <row r="71">
      <c r="A71" s="6" t="str">
        <v>594918</v>
      </c>
      <c r="B71" s="6" t="str">
        <v>United States</v>
      </c>
      <c r="C71" s="6" t="str">
        <v>Microsoft Corp</v>
      </c>
      <c r="D71" s="6" t="str">
        <v>Microsoft Corp</v>
      </c>
      <c r="F71" s="6" t="str">
        <v>United States</v>
      </c>
      <c r="G71" s="6" t="str">
        <v>Numinous Technologies Inc</v>
      </c>
      <c r="H71" s="6" t="str">
        <v>Prepackaged Software</v>
      </c>
      <c r="I71" s="6" t="str">
        <v>67114Z</v>
      </c>
      <c r="J71" s="6" t="str">
        <v>Numinous Technologies Inc</v>
      </c>
      <c r="K71" s="6" t="str">
        <v>Numinous Technologies Inc</v>
      </c>
      <c r="L71" s="7">
        <f>=DATE(1999,3,26)</f>
        <v>36244.99949074074</v>
      </c>
      <c r="M71" s="7">
        <f>=DATE(1999,3,26)</f>
        <v>36244.99949074074</v>
      </c>
      <c r="W71" s="6" t="str">
        <v>Internet Services &amp; Software;Computer Consulting Services;Operating Systems;Applications Software(Business;Monitors/Terminals;Other Peripherals</v>
      </c>
      <c r="X71" s="6" t="str">
        <v>Other Software (inq. Games)</v>
      </c>
      <c r="Y71" s="6" t="str">
        <v>Other Software (inq. Games)</v>
      </c>
      <c r="Z71" s="6" t="str">
        <v>Other Software (inq. Games)</v>
      </c>
      <c r="AA71" s="6" t="str">
        <v>Monitors/Terminals;Internet Services &amp; Software;Applications Software(Business;Other Peripherals;Computer Consulting Services;Operating Systems</v>
      </c>
      <c r="AB71" s="6" t="str">
        <v>Monitors/Terminals;Applications Software(Business;Internet Services &amp; Software;Computer Consulting Services;Other Peripherals;Operating Systems</v>
      </c>
    </row>
    <row r="72">
      <c r="A72" s="6" t="str">
        <v>023135</v>
      </c>
      <c r="B72" s="6" t="str">
        <v>United States</v>
      </c>
      <c r="C72" s="6" t="str">
        <v>Amazon.com Inc</v>
      </c>
      <c r="D72" s="6" t="str">
        <v>Amazon.com Inc</v>
      </c>
      <c r="F72" s="6" t="str">
        <v>United States</v>
      </c>
      <c r="G72" s="6" t="str">
        <v>Accept.com Financial Services Corp</v>
      </c>
      <c r="H72" s="6" t="str">
        <v>Business Services</v>
      </c>
      <c r="I72" s="6" t="str">
        <v>00425L</v>
      </c>
      <c r="J72" s="6" t="str">
        <v>Accept.com Financial Services Corp</v>
      </c>
      <c r="K72" s="6" t="str">
        <v>Accept.com Financial Services Corp</v>
      </c>
      <c r="L72" s="7">
        <f>=DATE(1999,4,26)</f>
        <v>36275.99949074074</v>
      </c>
      <c r="M72" s="7">
        <f>=DATE(1999,6,9)</f>
        <v>36319.99949074074</v>
      </c>
      <c r="N72" s="8">
        <v>97.914</v>
      </c>
      <c r="O72" s="8">
        <v>183.54</v>
      </c>
      <c r="P72" s="8" t="str">
        <v>183.54</v>
      </c>
      <c r="R72" s="8">
        <v>-1.939</v>
      </c>
      <c r="W72" s="6" t="str">
        <v>Primary Business not Hi-Tech</v>
      </c>
      <c r="X72" s="6" t="str">
        <v>Internet Services &amp; Software</v>
      </c>
      <c r="Y72" s="6" t="str">
        <v>Internet Services &amp; Software</v>
      </c>
      <c r="Z72" s="6" t="str">
        <v>Internet Services &amp; Software</v>
      </c>
      <c r="AA72" s="6" t="str">
        <v>Primary Business not Hi-Tech</v>
      </c>
      <c r="AB72" s="6" t="str">
        <v>Primary Business not Hi-Tech</v>
      </c>
      <c r="AC72" s="8">
        <v>183.54</v>
      </c>
      <c r="AD72" s="7">
        <f>=DATE(1999,4,26)</f>
        <v>36275.99949074074</v>
      </c>
      <c r="AF72" s="8" t="str">
        <v>183.54</v>
      </c>
      <c r="AG72" s="8" t="str">
        <v>97.91</v>
      </c>
    </row>
    <row r="73">
      <c r="A73" s="6" t="str">
        <v>023135</v>
      </c>
      <c r="B73" s="6" t="str">
        <v>United States</v>
      </c>
      <c r="C73" s="6" t="str">
        <v>Amazon.com Inc</v>
      </c>
      <c r="D73" s="6" t="str">
        <v>Amazon.com Inc</v>
      </c>
      <c r="F73" s="6" t="str">
        <v>United States</v>
      </c>
      <c r="G73" s="6" t="str">
        <v>Alexa Internet</v>
      </c>
      <c r="H73" s="6" t="str">
        <v>Business Services</v>
      </c>
      <c r="I73" s="6" t="str">
        <v>01483R</v>
      </c>
      <c r="J73" s="6" t="str">
        <v>Alexa Internet</v>
      </c>
      <c r="K73" s="6" t="str">
        <v>Alexa Internet</v>
      </c>
      <c r="L73" s="7">
        <f>=DATE(1999,4,26)</f>
        <v>36275.99949074074</v>
      </c>
      <c r="M73" s="7">
        <f>=DATE(1999,6,10)</f>
        <v>36320.99949074074</v>
      </c>
      <c r="N73" s="8">
        <v>249.083</v>
      </c>
      <c r="O73" s="8">
        <v>249.083</v>
      </c>
      <c r="P73" s="8" t="str">
        <v>249.08</v>
      </c>
      <c r="R73" s="8">
        <v>-4.992</v>
      </c>
      <c r="S73" s="8">
        <v>0.752</v>
      </c>
      <c r="W73" s="6" t="str">
        <v>Primary Business not Hi-Tech</v>
      </c>
      <c r="X73" s="6" t="str">
        <v>Internet Services &amp; Software</v>
      </c>
      <c r="Y73" s="6" t="str">
        <v>Internet Services &amp; Software</v>
      </c>
      <c r="Z73" s="6" t="str">
        <v>Internet Services &amp; Software</v>
      </c>
      <c r="AA73" s="6" t="str">
        <v>Primary Business not Hi-Tech</v>
      </c>
      <c r="AB73" s="6" t="str">
        <v>Primary Business not Hi-Tech</v>
      </c>
      <c r="AC73" s="8">
        <v>249.083</v>
      </c>
      <c r="AD73" s="7">
        <f>=DATE(1999,6,9)</f>
        <v>36319.99949074074</v>
      </c>
      <c r="AF73" s="8" t="str">
        <v>249.08</v>
      </c>
      <c r="AG73" s="8" t="str">
        <v>249.08</v>
      </c>
    </row>
    <row r="74">
      <c r="A74" s="6" t="str">
        <v>023135</v>
      </c>
      <c r="B74" s="6" t="str">
        <v>United States</v>
      </c>
      <c r="C74" s="6" t="str">
        <v>Amazon.com Inc</v>
      </c>
      <c r="D74" s="6" t="str">
        <v>Amazon.com Inc</v>
      </c>
      <c r="F74" s="6" t="str">
        <v>United States</v>
      </c>
      <c r="G74" s="6" t="str">
        <v>Exchange.com</v>
      </c>
      <c r="H74" s="6" t="str">
        <v>Business Services</v>
      </c>
      <c r="I74" s="6" t="str">
        <v>30086Y</v>
      </c>
      <c r="J74" s="6" t="str">
        <v>Exchange.com</v>
      </c>
      <c r="K74" s="6" t="str">
        <v>Exchange.com</v>
      </c>
      <c r="L74" s="7">
        <f>=DATE(1999,4,26)</f>
        <v>36275.99949074074</v>
      </c>
      <c r="M74" s="7">
        <f>=DATE(1999,5,14)</f>
        <v>36293.99949074074</v>
      </c>
      <c r="N74" s="8">
        <v>182.788</v>
      </c>
      <c r="O74" s="8">
        <v>252.036</v>
      </c>
      <c r="P74" s="8" t="str">
        <v>252.04</v>
      </c>
      <c r="R74" s="8">
        <v>-0.429</v>
      </c>
      <c r="W74" s="6" t="str">
        <v>Primary Business not Hi-Tech</v>
      </c>
      <c r="X74" s="6" t="str">
        <v>Internet Services &amp; Software</v>
      </c>
      <c r="Y74" s="6" t="str">
        <v>Internet Services &amp; Software</v>
      </c>
      <c r="Z74" s="6" t="str">
        <v>Internet Services &amp; Software</v>
      </c>
      <c r="AA74" s="6" t="str">
        <v>Primary Business not Hi-Tech</v>
      </c>
      <c r="AB74" s="6" t="str">
        <v>Primary Business not Hi-Tech</v>
      </c>
      <c r="AC74" s="8">
        <v>252.036</v>
      </c>
      <c r="AD74" s="7">
        <f>=DATE(1999,4,26)</f>
        <v>36275.99949074074</v>
      </c>
      <c r="AF74" s="8" t="str">
        <v>252.04</v>
      </c>
      <c r="AG74" s="8" t="str">
        <v>182.79</v>
      </c>
    </row>
    <row r="75">
      <c r="A75" s="6" t="str">
        <v>594918</v>
      </c>
      <c r="B75" s="6" t="str">
        <v>United States</v>
      </c>
      <c r="C75" s="6" t="str">
        <v>Microsoft Corp</v>
      </c>
      <c r="D75" s="6" t="str">
        <v>Microsoft Corp</v>
      </c>
      <c r="F75" s="6" t="str">
        <v>United States</v>
      </c>
      <c r="G75" s="6" t="str">
        <v>Jump Networks Inc</v>
      </c>
      <c r="H75" s="6" t="str">
        <v>Business Services</v>
      </c>
      <c r="I75" s="6" t="str">
        <v>48139R</v>
      </c>
      <c r="J75" s="6" t="str">
        <v>Jump Networks Inc</v>
      </c>
      <c r="K75" s="6" t="str">
        <v>Jump Networks Inc</v>
      </c>
      <c r="L75" s="7">
        <f>=DATE(1999,4,26)</f>
        <v>36275.99949074074</v>
      </c>
      <c r="M75" s="7">
        <f>=DATE(1999,4,30)</f>
        <v>36279.99949074074</v>
      </c>
      <c r="W75" s="6" t="str">
        <v>Computer Consulting Services;Other Peripherals;Internet Services &amp; Software;Applications Software(Business;Monitors/Terminals;Operating Systems</v>
      </c>
      <c r="X75" s="6" t="str">
        <v>Internet Services &amp; Software;Communication/Network Software</v>
      </c>
      <c r="Y75" s="6" t="str">
        <v>Internet Services &amp; Software;Communication/Network Software</v>
      </c>
      <c r="Z75" s="6" t="str">
        <v>Internet Services &amp; Software;Communication/Network Software</v>
      </c>
      <c r="AA75" s="6" t="str">
        <v>Computer Consulting Services;Internet Services &amp; Software;Monitors/Terminals;Applications Software(Business;Other Peripherals;Operating Systems</v>
      </c>
      <c r="AB75" s="6" t="str">
        <v>Computer Consulting Services;Monitors/Terminals;Internet Services &amp; Software;Applications Software(Business;Other Peripherals;Operating Systems</v>
      </c>
    </row>
    <row r="76">
      <c r="A76" s="6" t="str">
        <v>594918</v>
      </c>
      <c r="B76" s="6" t="str">
        <v>United States</v>
      </c>
      <c r="C76" s="6" t="str">
        <v>Microsoft Corp</v>
      </c>
      <c r="D76" s="6" t="str">
        <v>Microsoft Corp</v>
      </c>
      <c r="F76" s="6" t="str">
        <v>United States</v>
      </c>
      <c r="G76" s="6" t="str">
        <v>Interactive Objects Inc-Digital Audio Player Technology</v>
      </c>
      <c r="H76" s="6" t="str">
        <v>Prepackaged Software</v>
      </c>
      <c r="I76" s="6" t="str">
        <v>45899F</v>
      </c>
      <c r="J76" s="6" t="str">
        <v>Asia Pacific Chemical Engineering Corp</v>
      </c>
      <c r="K76" s="6" t="str">
        <v>Interactive Objects Inc (Asia Pacific Chemical Engineering)</v>
      </c>
      <c r="L76" s="7">
        <f>=DATE(1999,4,27)</f>
        <v>36276.99949074074</v>
      </c>
      <c r="M76" s="7">
        <f>=DATE(1999,4,27)</f>
        <v>36276.99949074074</v>
      </c>
      <c r="W76" s="6" t="str">
        <v>Applications Software(Business;Internet Services &amp; Software;Monitors/Terminals;Computer Consulting Services;Other Peripherals;Operating Systems</v>
      </c>
      <c r="X76" s="6" t="str">
        <v>Other Software (inq. Games)</v>
      </c>
      <c r="Y76" s="6" t="str">
        <v>Other Telecommunications Equip;Data Commun(Exclude networking;Other Software (inq. Games);Communication/Network Software</v>
      </c>
      <c r="Z76" s="6" t="str">
        <v>Primary Business not Hi-Tech</v>
      </c>
      <c r="AA76" s="6" t="str">
        <v>Applications Software(Business;Internet Services &amp; Software;Other Peripherals;Operating Systems;Monitors/Terminals;Computer Consulting Services</v>
      </c>
      <c r="AB76" s="6" t="str">
        <v>Computer Consulting Services;Monitors/Terminals;Internet Services &amp; Software;Applications Software(Business;Operating Systems;Other Peripherals</v>
      </c>
    </row>
    <row r="77">
      <c r="A77" s="6" t="str">
        <v>594918</v>
      </c>
      <c r="B77" s="6" t="str">
        <v>United States</v>
      </c>
      <c r="C77" s="6" t="str">
        <v>Microsoft Corp</v>
      </c>
      <c r="D77" s="6" t="str">
        <v>Microsoft Corp</v>
      </c>
      <c r="E77" s="6" t="str">
        <v>AT&amp;T Corp;Microsoft Corp</v>
      </c>
      <c r="F77" s="6" t="str">
        <v>United States</v>
      </c>
      <c r="G77" s="6" t="str">
        <v>AT&amp;T Corp</v>
      </c>
      <c r="H77" s="6" t="str">
        <v>Telecommunications</v>
      </c>
      <c r="I77" s="6" t="str">
        <v>001957</v>
      </c>
      <c r="J77" s="6" t="str">
        <v>AT&amp;T Corp</v>
      </c>
      <c r="K77" s="6" t="str">
        <v>AT&amp;T Corp</v>
      </c>
      <c r="L77" s="7">
        <f>=DATE(1999,5,5)</f>
        <v>36284.99949074074</v>
      </c>
      <c r="M77" s="7">
        <f>=DATE(1999,6,16)</f>
        <v>36326.99949074074</v>
      </c>
      <c r="N77" s="8">
        <v>5000</v>
      </c>
      <c r="O77" s="8">
        <v>5000</v>
      </c>
      <c r="P77" s="8" t="str">
        <v>214,294.92</v>
      </c>
      <c r="Q77" s="8" t="str">
        <v>49,278.87;2,272.42</v>
      </c>
      <c r="R77" s="8">
        <v>4937</v>
      </c>
      <c r="S77" s="8">
        <v>54688</v>
      </c>
      <c r="T77" s="8">
        <v>-4164</v>
      </c>
      <c r="U77" s="8">
        <v>-3913</v>
      </c>
      <c r="V77" s="8">
        <v>9136</v>
      </c>
      <c r="W77" s="6" t="str">
        <v>Applications Software(Business;Monitors/Terminals;Internet Services &amp; Software;Operating Systems;Other Peripherals;Computer Consulting Services</v>
      </c>
      <c r="X77" s="6" t="str">
        <v>Messaging Systems;Satellite Communications;Telephone Interconnect Equip</v>
      </c>
      <c r="Y77" s="6" t="str">
        <v>Messaging Systems;Telephone Interconnect Equip;Satellite Communications</v>
      </c>
      <c r="Z77" s="6" t="str">
        <v>Messaging Systems;Telephone Interconnect Equip;Satellite Communications</v>
      </c>
      <c r="AA77" s="6" t="str">
        <v>Applications Software(Business;Operating Systems;Monitors/Terminals;Computer Consulting Services;Other Peripherals;Internet Services &amp; Software</v>
      </c>
      <c r="AB77" s="6" t="str">
        <v>Computer Consulting Services;Applications Software(Business;Operating Systems;Internet Services &amp; Software;Other Peripherals;Monitors/Terminals</v>
      </c>
      <c r="AC77" s="8">
        <v>5000</v>
      </c>
      <c r="AD77" s="7">
        <f>=DATE(1999,5,6)</f>
        <v>36285.99949074074</v>
      </c>
      <c r="AF77" s="8" t="str">
        <v>211,395.92</v>
      </c>
      <c r="AG77" s="8" t="str">
        <v>211,395.92</v>
      </c>
    </row>
    <row r="78">
      <c r="A78" s="6" t="str">
        <v>594918</v>
      </c>
      <c r="B78" s="6" t="str">
        <v>United States</v>
      </c>
      <c r="C78" s="6" t="str">
        <v>Microsoft Corp</v>
      </c>
      <c r="D78" s="6" t="str">
        <v>Microsoft Corp</v>
      </c>
      <c r="F78" s="6" t="str">
        <v>United States</v>
      </c>
      <c r="G78" s="6" t="str">
        <v>Nextel Communications Inc</v>
      </c>
      <c r="H78" s="6" t="str">
        <v>Telecommunications</v>
      </c>
      <c r="I78" s="6" t="str">
        <v>65332V</v>
      </c>
      <c r="J78" s="6" t="str">
        <v>Sprint Nextel Corp</v>
      </c>
      <c r="K78" s="6" t="str">
        <v>Sprint Nextel Corp</v>
      </c>
      <c r="L78" s="7">
        <f>=DATE(1999,5,10)</f>
        <v>36289.99949074074</v>
      </c>
      <c r="M78" s="7">
        <f>=DATE(1999,5,28)</f>
        <v>36307.99949074074</v>
      </c>
      <c r="N78" s="8">
        <v>600</v>
      </c>
      <c r="O78" s="8">
        <v>600</v>
      </c>
      <c r="P78" s="8" t="str">
        <v>23,820.22</v>
      </c>
      <c r="R78" s="8">
        <v>-1571.441</v>
      </c>
      <c r="S78" s="8">
        <v>2183.429</v>
      </c>
      <c r="T78" s="8">
        <v>1179.992</v>
      </c>
      <c r="U78" s="8">
        <v>-2311.017</v>
      </c>
      <c r="V78" s="8">
        <v>-128.506</v>
      </c>
      <c r="W78" s="6" t="str">
        <v>Applications Software(Business;Internet Services &amp; Software;Monitors/Terminals;Operating Systems;Computer Consulting Services;Other Peripherals</v>
      </c>
      <c r="X78" s="6" t="str">
        <v>Cellular Communications;Satellite Communications</v>
      </c>
      <c r="Y78" s="6" t="str">
        <v>Satellite Communications;Internet Services &amp; Software;Networking Systems (LAN,WAN);Cellular Communications</v>
      </c>
      <c r="Z78" s="6" t="str">
        <v>Networking Systems (LAN,WAN);Satellite Communications;Internet Services &amp; Software;Cellular Communications</v>
      </c>
      <c r="AA78" s="6" t="str">
        <v>Other Peripherals;Computer Consulting Services;Internet Services &amp; Software;Monitors/Terminals;Operating Systems;Applications Software(Business</v>
      </c>
      <c r="AB78" s="6" t="str">
        <v>Computer Consulting Services;Other Peripherals;Applications Software(Business;Monitors/Terminals;Operating Systems;Internet Services &amp; Software</v>
      </c>
      <c r="AC78" s="8">
        <v>600</v>
      </c>
      <c r="AD78" s="7">
        <f>=DATE(1999,5,10)</f>
        <v>36289.99949074074</v>
      </c>
      <c r="AF78" s="8" t="str">
        <v>23,799.14</v>
      </c>
      <c r="AG78" s="8" t="str">
        <v>23,799.14</v>
      </c>
    </row>
    <row r="79">
      <c r="A79" s="6" t="str">
        <v>023135</v>
      </c>
      <c r="B79" s="6" t="str">
        <v>United States</v>
      </c>
      <c r="C79" s="6" t="str">
        <v>Amazon.com Inc</v>
      </c>
      <c r="D79" s="6" t="str">
        <v>Amazon.com Inc</v>
      </c>
      <c r="F79" s="6" t="str">
        <v>United States</v>
      </c>
      <c r="G79" s="6" t="str">
        <v>HomeGrocer.com</v>
      </c>
      <c r="H79" s="6" t="str">
        <v>Business Services</v>
      </c>
      <c r="I79" s="6" t="str">
        <v>43740K</v>
      </c>
      <c r="J79" s="6" t="str">
        <v>HomeGrocer.com</v>
      </c>
      <c r="K79" s="6" t="str">
        <v>HomeGrocer.com</v>
      </c>
      <c r="L79" s="7">
        <f>=DATE(1999,5,18)</f>
        <v>36297.99949074074</v>
      </c>
      <c r="M79" s="7">
        <f>=DATE(1999,5,18)</f>
        <v>36297.99949074074</v>
      </c>
      <c r="N79" s="8">
        <v>42.5</v>
      </c>
      <c r="O79" s="8">
        <v>42.5</v>
      </c>
      <c r="P79" s="8" t="str">
        <v>171.28</v>
      </c>
      <c r="R79" s="8">
        <v>-12.004</v>
      </c>
      <c r="W79" s="6" t="str">
        <v>Primary Business not Hi-Tech</v>
      </c>
      <c r="X79" s="6" t="str">
        <v>Internet Services &amp; Software</v>
      </c>
      <c r="Y79" s="6" t="str">
        <v>Internet Services &amp; Software</v>
      </c>
      <c r="Z79" s="6" t="str">
        <v>Internet Services &amp; Software</v>
      </c>
      <c r="AA79" s="6" t="str">
        <v>Primary Business not Hi-Tech</v>
      </c>
      <c r="AB79" s="6" t="str">
        <v>Primary Business not Hi-Tech</v>
      </c>
      <c r="AC79" s="8">
        <v>42.5</v>
      </c>
      <c r="AD79" s="7">
        <f>=DATE(1999,5,18)</f>
        <v>36297.99949074074</v>
      </c>
      <c r="AF79" s="8" t="str">
        <v>171.28</v>
      </c>
      <c r="AG79" s="8" t="str">
        <v>171.28</v>
      </c>
    </row>
    <row r="80">
      <c r="A80" s="6" t="str">
        <v>594918</v>
      </c>
      <c r="B80" s="6" t="str">
        <v>United States</v>
      </c>
      <c r="C80" s="6" t="str">
        <v>Microsoft Corp</v>
      </c>
      <c r="D80" s="6" t="str">
        <v>Microsoft Corp</v>
      </c>
      <c r="F80" s="6" t="str">
        <v>United States</v>
      </c>
      <c r="G80" s="6" t="str">
        <v>WebMD Inc</v>
      </c>
      <c r="H80" s="6" t="str">
        <v>Business Services</v>
      </c>
      <c r="I80" s="6" t="str">
        <v>94734Q</v>
      </c>
      <c r="J80" s="6" t="str">
        <v>Healtheon Corp</v>
      </c>
      <c r="K80" s="6" t="str">
        <v>Healtheon Corp</v>
      </c>
      <c r="L80" s="7">
        <f>=DATE(1999,5,26)</f>
        <v>36305.99949074074</v>
      </c>
      <c r="M80" s="7">
        <f>=DATE(1999,7,5)</f>
        <v>36345.99949074074</v>
      </c>
      <c r="N80" s="8">
        <v>250</v>
      </c>
      <c r="O80" s="8">
        <v>250</v>
      </c>
      <c r="R80" s="8">
        <v>-39.555</v>
      </c>
      <c r="S80" s="8">
        <v>2.458</v>
      </c>
      <c r="W80" s="6" t="str">
        <v>Internet Services &amp; Software;Operating Systems;Applications Software(Business;Computer Consulting Services;Monitors/Terminals;Other Peripherals</v>
      </c>
      <c r="X80" s="6" t="str">
        <v>Internet Services &amp; Software</v>
      </c>
      <c r="Y80" s="6" t="str">
        <v>Data Processing Services;Internet Services &amp; Software</v>
      </c>
      <c r="Z80" s="6" t="str">
        <v>Internet Services &amp; Software;Data Processing Services</v>
      </c>
      <c r="AA80" s="6" t="str">
        <v>Other Peripherals;Internet Services &amp; Software;Applications Software(Business;Monitors/Terminals;Computer Consulting Services;Operating Systems</v>
      </c>
      <c r="AB80" s="6" t="str">
        <v>Applications Software(Business;Monitors/Terminals;Operating Systems;Computer Consulting Services;Internet Services &amp; Software;Other Peripherals</v>
      </c>
      <c r="AC80" s="8">
        <v>250</v>
      </c>
      <c r="AD80" s="7">
        <f>=DATE(1999,5,26)</f>
        <v>36305.99949074074</v>
      </c>
    </row>
    <row r="81">
      <c r="A81" s="6" t="str">
        <v>037833</v>
      </c>
      <c r="B81" s="6" t="str">
        <v>United States</v>
      </c>
      <c r="C81" s="6" t="str">
        <v>Apple Computer Inc</v>
      </c>
      <c r="D81" s="6" t="str">
        <v>Apple Computer Inc</v>
      </c>
      <c r="F81" s="6" t="str">
        <v>United States</v>
      </c>
      <c r="G81" s="6" t="str">
        <v>Akamai Technologies Inc</v>
      </c>
      <c r="H81" s="6" t="str">
        <v>Business Services</v>
      </c>
      <c r="I81" s="6" t="str">
        <v>00971T</v>
      </c>
      <c r="J81" s="6" t="str">
        <v>Akamai Technologies Inc</v>
      </c>
      <c r="K81" s="6" t="str">
        <v>Akamai Technologies Inc</v>
      </c>
      <c r="L81" s="7">
        <f>=DATE(1999,6,1)</f>
        <v>36311.99949074074</v>
      </c>
      <c r="M81" s="7">
        <f>=DATE(1999,6,1)</f>
        <v>36311.99949074074</v>
      </c>
      <c r="N81" s="8">
        <v>12.5</v>
      </c>
      <c r="O81" s="8">
        <v>12.5</v>
      </c>
      <c r="P81" s="8" t="str">
        <v>0.88</v>
      </c>
      <c r="R81" s="8">
        <v>-0.89</v>
      </c>
      <c r="T81" s="8">
        <v>8.326</v>
      </c>
      <c r="U81" s="8">
        <v>-1.748</v>
      </c>
      <c r="V81" s="8">
        <v>0.002</v>
      </c>
      <c r="W81" s="6" t="str">
        <v>Portable Computers;Other Peripherals;Printers;Disk Drives;Mainframes &amp; Super Computers;Other Software (inq. Games);Monitors/Terminals;Micro-Computers (PCs)</v>
      </c>
      <c r="X81" s="6" t="str">
        <v>Internet Services &amp; Software</v>
      </c>
      <c r="Y81" s="6" t="str">
        <v>Internet Services &amp; Software</v>
      </c>
      <c r="Z81" s="6" t="str">
        <v>Internet Services &amp; Software</v>
      </c>
      <c r="AA81" s="6" t="str">
        <v>Mainframes &amp; Super Computers;Micro-Computers (PCs);Portable Computers;Printers;Disk Drives;Monitors/Terminals;Other Peripherals;Other Software (inq. Games)</v>
      </c>
      <c r="AB81" s="6" t="str">
        <v>Printers;Portable Computers;Other Peripherals;Mainframes &amp; Super Computers;Monitors/Terminals;Other Software (inq. Games);Disk Drives;Micro-Computers (PCs)</v>
      </c>
      <c r="AC81" s="8">
        <v>12.5</v>
      </c>
      <c r="AF81" s="8" t="str">
        <v>0.88</v>
      </c>
      <c r="AG81" s="8" t="str">
        <v>0.88</v>
      </c>
    </row>
    <row r="82">
      <c r="A82" s="6" t="str">
        <v>594918</v>
      </c>
      <c r="B82" s="6" t="str">
        <v>United States</v>
      </c>
      <c r="C82" s="6" t="str">
        <v>Microsoft Corp</v>
      </c>
      <c r="D82" s="6" t="str">
        <v>Microsoft Corp</v>
      </c>
      <c r="F82" s="6" t="str">
        <v>United States</v>
      </c>
      <c r="G82" s="6" t="str">
        <v>Inprise Corp</v>
      </c>
      <c r="H82" s="6" t="str">
        <v>Prepackaged Software</v>
      </c>
      <c r="I82" s="6" t="str">
        <v>45766C</v>
      </c>
      <c r="J82" s="6" t="str">
        <v>Inprise Corp</v>
      </c>
      <c r="K82" s="6" t="str">
        <v>Inprise Corp</v>
      </c>
      <c r="L82" s="7">
        <f>=DATE(1999,6,8)</f>
        <v>36318.99949074074</v>
      </c>
      <c r="M82" s="7">
        <f>=DATE(1999,6,8)</f>
        <v>36318.99949074074</v>
      </c>
      <c r="N82" s="8">
        <v>125</v>
      </c>
      <c r="O82" s="8">
        <v>125</v>
      </c>
      <c r="R82" s="8">
        <v>-4.206</v>
      </c>
      <c r="S82" s="8">
        <v>186.041</v>
      </c>
      <c r="T82" s="8">
        <v>-12.658</v>
      </c>
      <c r="U82" s="8">
        <v>6.459</v>
      </c>
      <c r="V82" s="8">
        <v>-24.358</v>
      </c>
      <c r="W82" s="6" t="str">
        <v>Monitors/Terminals;Computer Consulting Services;Internet Services &amp; Software;Applications Software(Business;Other Peripherals;Operating Systems</v>
      </c>
      <c r="X82" s="6" t="str">
        <v>Applications Software(Business;Applications Software(Home);Other Software (inq. Games)</v>
      </c>
      <c r="Y82" s="6" t="str">
        <v>Other Software (inq. Games);Applications Software(Home);Applications Software(Business</v>
      </c>
      <c r="Z82" s="6" t="str">
        <v>Other Software (inq. Games);Applications Software(Business;Applications Software(Home)</v>
      </c>
      <c r="AA82" s="6" t="str">
        <v>Monitors/Terminals;Internet Services &amp; Software;Computer Consulting Services;Applications Software(Business;Other Peripherals;Operating Systems</v>
      </c>
      <c r="AB82" s="6" t="str">
        <v>Internet Services &amp; Software;Monitors/Terminals;Applications Software(Business;Computer Consulting Services;Operating Systems;Other Peripherals</v>
      </c>
      <c r="AC82" s="8">
        <v>125</v>
      </c>
      <c r="AD82" s="7">
        <f>=DATE(1999,6,8)</f>
        <v>36318.99949074074</v>
      </c>
    </row>
    <row r="83">
      <c r="A83" s="6" t="str">
        <v>594918</v>
      </c>
      <c r="B83" s="6" t="str">
        <v>United States</v>
      </c>
      <c r="C83" s="6" t="str">
        <v>Microsoft Corp</v>
      </c>
      <c r="D83" s="6" t="str">
        <v>Microsoft Corp</v>
      </c>
      <c r="F83" s="6" t="str">
        <v>United States</v>
      </c>
      <c r="G83" s="6" t="str">
        <v>NaviSite Inc</v>
      </c>
      <c r="H83" s="6" t="str">
        <v>Business Services</v>
      </c>
      <c r="I83" s="6" t="str">
        <v>63935M</v>
      </c>
      <c r="J83" s="6" t="str">
        <v>CMGI Inc</v>
      </c>
      <c r="K83" s="6" t="str">
        <v>CMGI Inc</v>
      </c>
      <c r="L83" s="7">
        <f>=DATE(1999,6,8)</f>
        <v>36318.99949074074</v>
      </c>
      <c r="M83" s="7">
        <f>=DATE(1999,6,8)</f>
        <v>36318.99949074074</v>
      </c>
      <c r="R83" s="8">
        <v>-9.172</v>
      </c>
      <c r="S83" s="8">
        <v>4.029</v>
      </c>
      <c r="T83" s="8">
        <v>9.083</v>
      </c>
      <c r="U83" s="8">
        <v>-1.226</v>
      </c>
      <c r="V83" s="8">
        <v>-7.857</v>
      </c>
      <c r="W83" s="6" t="str">
        <v>Monitors/Terminals;Computer Consulting Services;Applications Software(Business;Other Peripherals;Internet Services &amp; Software;Operating Systems</v>
      </c>
      <c r="X83" s="6" t="str">
        <v>Internet Services &amp; Software;Communication/Network Software</v>
      </c>
      <c r="Y83" s="6" t="str">
        <v>Internet Services &amp; Software;Communication/Network Software</v>
      </c>
      <c r="Z83" s="6" t="str">
        <v>Communication/Network Software;Internet Services &amp; Software</v>
      </c>
      <c r="AA83" s="6" t="str">
        <v>Internet Services &amp; Software;Operating Systems;Computer Consulting Services;Other Peripherals;Applications Software(Business;Monitors/Terminals</v>
      </c>
      <c r="AB83" s="6" t="str">
        <v>Monitors/Terminals;Internet Services &amp; Software;Other Peripherals;Computer Consulting Services;Operating Systems;Applications Software(Business</v>
      </c>
    </row>
    <row r="84">
      <c r="A84" s="6" t="str">
        <v>594918</v>
      </c>
      <c r="B84" s="6" t="str">
        <v>United States</v>
      </c>
      <c r="C84" s="6" t="str">
        <v>Microsoft Corp</v>
      </c>
      <c r="D84" s="6" t="str">
        <v>Microsoft Corp</v>
      </c>
      <c r="F84" s="6" t="str">
        <v>United States</v>
      </c>
      <c r="G84" s="6" t="str">
        <v>Omnibrowse Inc</v>
      </c>
      <c r="H84" s="6" t="str">
        <v>Prepackaged Software</v>
      </c>
      <c r="I84" s="6" t="str">
        <v>68196W</v>
      </c>
      <c r="J84" s="6" t="str">
        <v>Omnibrowse Inc</v>
      </c>
      <c r="K84" s="6" t="str">
        <v>Omnibrowse Inc</v>
      </c>
      <c r="L84" s="7">
        <f>=DATE(1999,6,15)</f>
        <v>36325.99949074074</v>
      </c>
      <c r="M84" s="7">
        <f>=DATE(1999,6,15)</f>
        <v>36325.99949074074</v>
      </c>
      <c r="W84" s="6" t="str">
        <v>Applications Software(Business;Operating Systems;Other Peripherals;Computer Consulting Services;Internet Services &amp; Software;Monitors/Terminals</v>
      </c>
      <c r="X84" s="6" t="str">
        <v>Internet Services &amp; Software;Communication/Network Software</v>
      </c>
      <c r="Y84" s="6" t="str">
        <v>Internet Services &amp; Software;Communication/Network Software</v>
      </c>
      <c r="Z84" s="6" t="str">
        <v>Communication/Network Software;Internet Services &amp; Software</v>
      </c>
      <c r="AA84" s="6" t="str">
        <v>Monitors/Terminals;Internet Services &amp; Software;Other Peripherals;Computer Consulting Services;Operating Systems;Applications Software(Business</v>
      </c>
      <c r="AB84" s="6" t="str">
        <v>Operating Systems;Internet Services &amp; Software;Applications Software(Business;Other Peripherals;Computer Consulting Services;Monitors/Terminals</v>
      </c>
    </row>
    <row r="85">
      <c r="A85" s="6" t="str">
        <v>594918</v>
      </c>
      <c r="B85" s="6" t="str">
        <v>United States</v>
      </c>
      <c r="C85" s="6" t="str">
        <v>Microsoft Corp</v>
      </c>
      <c r="D85" s="6" t="str">
        <v>Microsoft Corp</v>
      </c>
      <c r="F85" s="6" t="str">
        <v>United States</v>
      </c>
      <c r="G85" s="6" t="str">
        <v>Concentric Network Corp</v>
      </c>
      <c r="H85" s="6" t="str">
        <v>Telecommunications</v>
      </c>
      <c r="I85" s="6" t="str">
        <v>20589R</v>
      </c>
      <c r="J85" s="6" t="str">
        <v>Concentric Network Corp</v>
      </c>
      <c r="K85" s="6" t="str">
        <v>Concentric Network Corp</v>
      </c>
      <c r="L85" s="7">
        <f>=DATE(1999,6,22)</f>
        <v>36332.99949074074</v>
      </c>
      <c r="M85" s="7">
        <f>=DATE(1999,6,22)</f>
        <v>36332.99949074074</v>
      </c>
      <c r="N85" s="8">
        <v>50</v>
      </c>
      <c r="O85" s="8">
        <v>50</v>
      </c>
      <c r="R85" s="8">
        <v>-81.826</v>
      </c>
      <c r="S85" s="8">
        <v>96.389</v>
      </c>
      <c r="T85" s="8">
        <v>309.018</v>
      </c>
      <c r="U85" s="8">
        <v>-101.232</v>
      </c>
      <c r="V85" s="8">
        <v>-45.832</v>
      </c>
      <c r="W85" s="6" t="str">
        <v>Operating Systems;Computer Consulting Services;Applications Software(Business;Other Peripherals;Monitors/Terminals;Internet Services &amp; Software</v>
      </c>
      <c r="X85" s="6" t="str">
        <v>Internet Services &amp; Software;Other Computer Related Svcs</v>
      </c>
      <c r="Y85" s="6" t="str">
        <v>Other Computer Related Svcs;Internet Services &amp; Software</v>
      </c>
      <c r="Z85" s="6" t="str">
        <v>Other Computer Related Svcs;Internet Services &amp; Software</v>
      </c>
      <c r="AA85" s="6" t="str">
        <v>Other Peripherals;Internet Services &amp; Software;Applications Software(Business;Operating Systems;Monitors/Terminals;Computer Consulting Services</v>
      </c>
      <c r="AB85" s="6" t="str">
        <v>Monitors/Terminals;Internet Services &amp; Software;Other Peripherals;Operating Systems;Applications Software(Business;Computer Consulting Services</v>
      </c>
      <c r="AC85" s="8">
        <v>50</v>
      </c>
      <c r="AD85" s="7">
        <f>=DATE(1999,6,22)</f>
        <v>36332.99949074074</v>
      </c>
    </row>
    <row r="86">
      <c r="A86" s="6" t="str">
        <v>80609W</v>
      </c>
      <c r="B86" s="6" t="str">
        <v>United States</v>
      </c>
      <c r="C86" s="6" t="str">
        <v>ScanSoft Inc</v>
      </c>
      <c r="D86" s="6" t="str">
        <v>ScanSoft Inc</v>
      </c>
      <c r="F86" s="6" t="str">
        <v>United States</v>
      </c>
      <c r="G86" s="6" t="str">
        <v>MetaCreations Corp-Certain Photo Imaging Software Products</v>
      </c>
      <c r="H86" s="6" t="str">
        <v>Prepackaged Software</v>
      </c>
      <c r="I86" s="6" t="str">
        <v>59102W</v>
      </c>
      <c r="J86" s="6" t="str">
        <v>MetaCreations Corp</v>
      </c>
      <c r="K86" s="6" t="str">
        <v>MetaCreations Corp</v>
      </c>
      <c r="L86" s="7">
        <f>=DATE(1999,7,1)</f>
        <v>36341.99949074074</v>
      </c>
      <c r="M86" s="7">
        <f>=DATE(1999,7,1)</f>
        <v>36341.99949074074</v>
      </c>
      <c r="N86" s="8">
        <v>4.55</v>
      </c>
      <c r="O86" s="8">
        <v>4.55</v>
      </c>
      <c r="W86" s="6" t="str">
        <v>Other Software (inq. Games)</v>
      </c>
      <c r="X86" s="6" t="str">
        <v>Applications Software(Home);Applications Software(Business;Other Software (inq. Games)</v>
      </c>
      <c r="Y86" s="6" t="str">
        <v>Other Software (inq. Games);Applications Software(Business;Applications Software(Home)</v>
      </c>
      <c r="Z86" s="6" t="str">
        <v>Applications Software(Business;Applications Software(Home);Other Software (inq. Games)</v>
      </c>
      <c r="AA86" s="6" t="str">
        <v>Other Software (inq. Games)</v>
      </c>
      <c r="AB86" s="6" t="str">
        <v>Other Software (inq. Games)</v>
      </c>
      <c r="AC86" s="8">
        <v>4.55</v>
      </c>
      <c r="AD86" s="7">
        <f>=DATE(1999,7,1)</f>
        <v>36341.99949074074</v>
      </c>
    </row>
    <row r="87">
      <c r="A87" s="6" t="str">
        <v>023135</v>
      </c>
      <c r="B87" s="6" t="str">
        <v>United States</v>
      </c>
      <c r="C87" s="6" t="str">
        <v>Amazon.com Inc</v>
      </c>
      <c r="D87" s="6" t="str">
        <v>Amazon.com Inc</v>
      </c>
      <c r="F87" s="6" t="str">
        <v>United States</v>
      </c>
      <c r="G87" s="6" t="str">
        <v>Gear.Com</v>
      </c>
      <c r="H87" s="6" t="str">
        <v>Miscellaneous Retail Trade</v>
      </c>
      <c r="I87" s="6" t="str">
        <v>36182X</v>
      </c>
      <c r="J87" s="6" t="str">
        <v>Gear.Com</v>
      </c>
      <c r="K87" s="6" t="str">
        <v>Gear.Com</v>
      </c>
      <c r="L87" s="7">
        <f>=DATE(1999,7,14)</f>
        <v>36354.99949074074</v>
      </c>
      <c r="M87" s="7">
        <f>=DATE(1999,7,14)</f>
        <v>36354.99949074074</v>
      </c>
      <c r="W87" s="6" t="str">
        <v>Primary Business not Hi-Tech</v>
      </c>
      <c r="X87" s="6" t="str">
        <v>Internet Services &amp; Software;Primary Business not Hi-Tech</v>
      </c>
      <c r="Y87" s="6" t="str">
        <v>Primary Business not Hi-Tech;Internet Services &amp; Software</v>
      </c>
      <c r="Z87" s="6" t="str">
        <v>Primary Business not Hi-Tech;Internet Services &amp; Software</v>
      </c>
      <c r="AA87" s="6" t="str">
        <v>Primary Business not Hi-Tech</v>
      </c>
      <c r="AB87" s="6" t="str">
        <v>Primary Business not Hi-Tech</v>
      </c>
    </row>
    <row r="88">
      <c r="A88" s="6" t="str">
        <v>594918</v>
      </c>
      <c r="B88" s="6" t="str">
        <v>United States</v>
      </c>
      <c r="C88" s="6" t="str">
        <v>Microsoft Corp</v>
      </c>
      <c r="D88" s="6" t="str">
        <v>Microsoft Corp</v>
      </c>
      <c r="F88" s="6" t="str">
        <v>United States</v>
      </c>
      <c r="G88" s="6" t="str">
        <v>Tuttle Decision Systems Inc</v>
      </c>
      <c r="H88" s="6" t="str">
        <v>Business Services</v>
      </c>
      <c r="I88" s="6" t="str">
        <v>90110T</v>
      </c>
      <c r="J88" s="6" t="str">
        <v>Tuttle Decision Systems Inc</v>
      </c>
      <c r="K88" s="6" t="str">
        <v>Tuttle Decision Systems Inc</v>
      </c>
      <c r="L88" s="7">
        <f>=DATE(1999,8,20)</f>
        <v>36391.99949074074</v>
      </c>
      <c r="M88" s="7">
        <f>=DATE(1999,8,20)</f>
        <v>36391.99949074074</v>
      </c>
      <c r="W88" s="6" t="str">
        <v>Computer Consulting Services;Internet Services &amp; Software;Monitors/Terminals;Operating Systems;Other Peripherals;Applications Software(Business</v>
      </c>
      <c r="X88" s="6" t="str">
        <v>Internet Services &amp; Software</v>
      </c>
      <c r="Y88" s="6" t="str">
        <v>Internet Services &amp; Software</v>
      </c>
      <c r="Z88" s="6" t="str">
        <v>Internet Services &amp; Software</v>
      </c>
      <c r="AA88" s="6" t="str">
        <v>Other Peripherals;Applications Software(Business;Computer Consulting Services;Monitors/Terminals;Operating Systems;Internet Services &amp; Software</v>
      </c>
      <c r="AB88" s="6" t="str">
        <v>Computer Consulting Services;Internet Services &amp; Software;Operating Systems;Applications Software(Business;Monitors/Terminals;Other Peripherals</v>
      </c>
    </row>
    <row r="89">
      <c r="A89" s="6" t="str">
        <v>594918</v>
      </c>
      <c r="B89" s="6" t="str">
        <v>United States</v>
      </c>
      <c r="C89" s="6" t="str">
        <v>Microsoft Corp</v>
      </c>
      <c r="D89" s="6" t="str">
        <v>Microsoft Corp</v>
      </c>
      <c r="F89" s="6" t="str">
        <v>United States</v>
      </c>
      <c r="G89" s="6" t="str">
        <v>Visio Corp</v>
      </c>
      <c r="H89" s="6" t="str">
        <v>Prepackaged Software</v>
      </c>
      <c r="I89" s="6" t="str">
        <v>927914</v>
      </c>
      <c r="J89" s="6" t="str">
        <v>Visio Corp</v>
      </c>
      <c r="K89" s="6" t="str">
        <v>Visio Corp</v>
      </c>
      <c r="L89" s="7">
        <f>=DATE(1999,9,15)</f>
        <v>36417.99949074074</v>
      </c>
      <c r="M89" s="7">
        <f>=DATE(2000,1,7)</f>
        <v>36531.99949074074</v>
      </c>
      <c r="N89" s="8">
        <v>1577.674</v>
      </c>
      <c r="O89" s="8">
        <v>1374.91</v>
      </c>
      <c r="P89" s="8" t="str">
        <v>1,266.96</v>
      </c>
      <c r="R89" s="8">
        <v>28.108</v>
      </c>
      <c r="S89" s="8">
        <v>165.995</v>
      </c>
      <c r="T89" s="8">
        <v>5.643</v>
      </c>
      <c r="U89" s="8">
        <v>-30.096</v>
      </c>
      <c r="V89" s="8">
        <v>30.856</v>
      </c>
      <c r="W89" s="6" t="str">
        <v>Operating Systems;Applications Software(Business;Internet Services &amp; Software;Computer Consulting Services;Other Peripherals;Monitors/Terminals</v>
      </c>
      <c r="X89" s="6" t="str">
        <v>Applications Software(Business</v>
      </c>
      <c r="Y89" s="6" t="str">
        <v>Applications Software(Business</v>
      </c>
      <c r="Z89" s="6" t="str">
        <v>Applications Software(Business</v>
      </c>
      <c r="AA89" s="6" t="str">
        <v>Applications Software(Business;Internet Services &amp; Software;Other Peripherals;Monitors/Terminals;Operating Systems;Computer Consulting Services</v>
      </c>
      <c r="AB89" s="6" t="str">
        <v>Other Peripherals;Monitors/Terminals;Internet Services &amp; Software;Computer Consulting Services;Applications Software(Business;Operating Systems</v>
      </c>
      <c r="AC89" s="8">
        <v>1374.91</v>
      </c>
      <c r="AD89" s="7">
        <f>=DATE(1999,9,15)</f>
        <v>36417.99949074074</v>
      </c>
      <c r="AE89" s="8">
        <v>1453.932974526</v>
      </c>
      <c r="AF89" s="8" t="str">
        <v>1,265.88</v>
      </c>
      <c r="AG89" s="8" t="str">
        <v>1,385.26</v>
      </c>
    </row>
    <row r="90">
      <c r="A90" s="6" t="str">
        <v>594918</v>
      </c>
      <c r="B90" s="6" t="str">
        <v>United States</v>
      </c>
      <c r="C90" s="6" t="str">
        <v>Microsoft Corp</v>
      </c>
      <c r="D90" s="6" t="str">
        <v>Microsoft Corp</v>
      </c>
      <c r="F90" s="6" t="str">
        <v>United States</v>
      </c>
      <c r="G90" s="6" t="str">
        <v>Softway Systems Inc</v>
      </c>
      <c r="H90" s="6" t="str">
        <v>Prepackaged Software</v>
      </c>
      <c r="I90" s="6" t="str">
        <v>83331M</v>
      </c>
      <c r="J90" s="6" t="str">
        <v>Softway Systems Inc</v>
      </c>
      <c r="K90" s="6" t="str">
        <v>Softway Systems Inc</v>
      </c>
      <c r="L90" s="7">
        <f>=DATE(1999,9,19)</f>
        <v>36421.99949074074</v>
      </c>
      <c r="M90" s="7">
        <f>=DATE(1999,9,19)</f>
        <v>36421.99949074074</v>
      </c>
      <c r="W90" s="6" t="str">
        <v>Other Peripherals;Monitors/Terminals;Operating Systems;Applications Software(Business;Computer Consulting Services;Internet Services &amp; Software</v>
      </c>
      <c r="X90" s="6" t="str">
        <v>Communication/Network Software</v>
      </c>
      <c r="Y90" s="6" t="str">
        <v>Communication/Network Software</v>
      </c>
      <c r="Z90" s="6" t="str">
        <v>Communication/Network Software</v>
      </c>
      <c r="AA90" s="6" t="str">
        <v>Other Peripherals;Computer Consulting Services;Monitors/Terminals;Applications Software(Business;Operating Systems;Internet Services &amp; Software</v>
      </c>
      <c r="AB90" s="6" t="str">
        <v>Internet Services &amp; Software;Other Peripherals;Computer Consulting Services;Applications Software(Business;Monitors/Terminals;Operating Systems</v>
      </c>
    </row>
    <row r="91">
      <c r="A91" s="6" t="str">
        <v>023135</v>
      </c>
      <c r="B91" s="6" t="str">
        <v>United States</v>
      </c>
      <c r="C91" s="6" t="str">
        <v>Amazon.com Inc</v>
      </c>
      <c r="D91" s="6" t="str">
        <v>Amazon.com Inc</v>
      </c>
      <c r="F91" s="6" t="str">
        <v>United States</v>
      </c>
      <c r="G91" s="6" t="str">
        <v>Convergence Corp</v>
      </c>
      <c r="H91" s="6" t="str">
        <v>Prepackaged Software</v>
      </c>
      <c r="I91" s="6" t="str">
        <v>21249E</v>
      </c>
      <c r="J91" s="6" t="str">
        <v>Convergence Corp</v>
      </c>
      <c r="K91" s="6" t="str">
        <v>Convergence Corp</v>
      </c>
      <c r="L91" s="7">
        <f>=DATE(1999,10,4)</f>
        <v>36436.99949074074</v>
      </c>
      <c r="M91" s="7">
        <f>=DATE(1999,10,4)</f>
        <v>36436.99949074074</v>
      </c>
      <c r="N91" s="8">
        <v>20</v>
      </c>
      <c r="O91" s="8">
        <v>20</v>
      </c>
      <c r="W91" s="6" t="str">
        <v>Primary Business not Hi-Tech</v>
      </c>
      <c r="X91" s="6" t="str">
        <v>Communication/Network Software;Internet Services &amp; Software</v>
      </c>
      <c r="Y91" s="6" t="str">
        <v>Internet Services &amp; Software;Communication/Network Software</v>
      </c>
      <c r="Z91" s="6" t="str">
        <v>Internet Services &amp; Software;Communication/Network Software</v>
      </c>
      <c r="AA91" s="6" t="str">
        <v>Primary Business not Hi-Tech</v>
      </c>
      <c r="AB91" s="6" t="str">
        <v>Primary Business not Hi-Tech</v>
      </c>
      <c r="AC91" s="8">
        <v>20</v>
      </c>
      <c r="AD91" s="7">
        <f>=DATE(1999,10,4)</f>
        <v>36436.99949074074</v>
      </c>
    </row>
    <row r="92">
      <c r="A92" s="6" t="str">
        <v>594918</v>
      </c>
      <c r="B92" s="6" t="str">
        <v>United States</v>
      </c>
      <c r="C92" s="6" t="str">
        <v>Microsoft Corp</v>
      </c>
      <c r="D92" s="6" t="str">
        <v>Microsoft Corp</v>
      </c>
      <c r="F92" s="6" t="str">
        <v>United States</v>
      </c>
      <c r="G92" s="6" t="str">
        <v>Entropic Inc</v>
      </c>
      <c r="H92" s="6" t="str">
        <v>Prepackaged Software</v>
      </c>
      <c r="I92" s="6" t="str">
        <v>29351T</v>
      </c>
      <c r="J92" s="6" t="str">
        <v>Entropic Inc</v>
      </c>
      <c r="K92" s="6" t="str">
        <v>Entropic Inc</v>
      </c>
      <c r="L92" s="7">
        <f>=DATE(1999,10,29)</f>
        <v>36461.99949074074</v>
      </c>
      <c r="M92" s="7">
        <f>=DATE(1999,10,29)</f>
        <v>36461.99949074074</v>
      </c>
      <c r="W92" s="6" t="str">
        <v>Other Peripherals;Internet Services &amp; Software;Monitors/Terminals;Operating Systems;Applications Software(Business;Computer Consulting Services</v>
      </c>
      <c r="X92" s="6" t="str">
        <v>Communication/Network Software</v>
      </c>
      <c r="Y92" s="6" t="str">
        <v>Communication/Network Software</v>
      </c>
      <c r="Z92" s="6" t="str">
        <v>Communication/Network Software</v>
      </c>
      <c r="AA92" s="6" t="str">
        <v>Internet Services &amp; Software;Other Peripherals;Applications Software(Business;Operating Systems;Monitors/Terminals;Computer Consulting Services</v>
      </c>
      <c r="AB92" s="6" t="str">
        <v>Monitors/Terminals;Other Peripherals;Operating Systems;Computer Consulting Services;Applications Software(Business;Internet Services &amp; Software</v>
      </c>
    </row>
    <row r="93">
      <c r="A93" s="6" t="str">
        <v>037833</v>
      </c>
      <c r="B93" s="6" t="str">
        <v>United States</v>
      </c>
      <c r="C93" s="6" t="str">
        <v>Apple Computer Inc</v>
      </c>
      <c r="D93" s="6" t="str">
        <v>Apple Computer Inc</v>
      </c>
      <c r="F93" s="6" t="str">
        <v>United States</v>
      </c>
      <c r="G93" s="6" t="str">
        <v>Raycer Graphics</v>
      </c>
      <c r="H93" s="6" t="str">
        <v>Wholesale Trade-Durable Goods</v>
      </c>
      <c r="I93" s="6" t="str">
        <v>75458V</v>
      </c>
      <c r="J93" s="6" t="str">
        <v>Raycer Graphics</v>
      </c>
      <c r="K93" s="6" t="str">
        <v>Raycer Graphics</v>
      </c>
      <c r="L93" s="7">
        <f>=DATE(1999,11,3)</f>
        <v>36466.99949074074</v>
      </c>
      <c r="M93" s="7">
        <f>=DATE(1999,11,3)</f>
        <v>36466.99949074074</v>
      </c>
      <c r="N93" s="8">
        <v>15</v>
      </c>
      <c r="O93" s="8">
        <v>15</v>
      </c>
      <c r="W93" s="6" t="str">
        <v>Other Peripherals;Portable Computers;Other Software (inq. Games);Micro-Computers (PCs);Monitors/Terminals;Printers;Disk Drives;Mainframes &amp; Super Computers</v>
      </c>
      <c r="X93" s="6" t="str">
        <v>Primary Business not Hi-Tech;Other Peripherals</v>
      </c>
      <c r="Y93" s="6" t="str">
        <v>Primary Business not Hi-Tech;Other Peripherals</v>
      </c>
      <c r="Z93" s="6" t="str">
        <v>Primary Business not Hi-Tech;Other Peripherals</v>
      </c>
      <c r="AA93" s="6" t="str">
        <v>Other Peripherals;Disk Drives;Portable Computers;Printers;Monitors/Terminals;Other Software (inq. Games);Micro-Computers (PCs);Mainframes &amp; Super Computers</v>
      </c>
      <c r="AB93" s="6" t="str">
        <v>Micro-Computers (PCs);Monitors/Terminals;Portable Computers;Mainframes &amp; Super Computers;Printers;Other Software (inq. Games);Disk Drives;Other Peripherals</v>
      </c>
      <c r="AC93" s="8">
        <v>15</v>
      </c>
      <c r="AD93" s="7">
        <f>=DATE(1999,11,3)</f>
        <v>36466.99949074074</v>
      </c>
    </row>
    <row r="94">
      <c r="A94" s="6" t="str">
        <v>023135</v>
      </c>
      <c r="B94" s="6" t="str">
        <v>United States</v>
      </c>
      <c r="C94" s="6" t="str">
        <v>Amazon.com Inc</v>
      </c>
      <c r="D94" s="6" t="str">
        <v>Amazon.com Inc</v>
      </c>
      <c r="F94" s="6" t="str">
        <v>United States</v>
      </c>
      <c r="G94" s="6" t="str">
        <v>Ashford.Com Inc</v>
      </c>
      <c r="H94" s="6" t="str">
        <v>Miscellaneous Retail Trade</v>
      </c>
      <c r="I94" s="6" t="str">
        <v>044093</v>
      </c>
      <c r="J94" s="6" t="str">
        <v>Ashford.Com Inc</v>
      </c>
      <c r="K94" s="6" t="str">
        <v>Ashford.Com Inc</v>
      </c>
      <c r="L94" s="7">
        <f>=DATE(1999,12,1)</f>
        <v>36494.99949074074</v>
      </c>
      <c r="M94" s="7">
        <f>=DATE(2000,1,14)</f>
        <v>36538.99949074074</v>
      </c>
      <c r="N94" s="8">
        <v>10</v>
      </c>
      <c r="O94" s="8">
        <v>10</v>
      </c>
      <c r="P94" s="8" t="str">
        <v>60.34</v>
      </c>
      <c r="R94" s="8">
        <v>-1.3</v>
      </c>
      <c r="S94" s="8">
        <v>5.9</v>
      </c>
      <c r="T94" s="8">
        <v>5</v>
      </c>
      <c r="U94" s="8">
        <v>-0.4</v>
      </c>
      <c r="V94" s="8">
        <v>-3.7</v>
      </c>
      <c r="W94" s="6" t="str">
        <v>Primary Business not Hi-Tech</v>
      </c>
      <c r="X94" s="6" t="str">
        <v>Internet Services &amp; Software</v>
      </c>
      <c r="Y94" s="6" t="str">
        <v>Internet Services &amp; Software</v>
      </c>
      <c r="Z94" s="6" t="str">
        <v>Internet Services &amp; Software</v>
      </c>
      <c r="AA94" s="6" t="str">
        <v>Primary Business not Hi-Tech</v>
      </c>
      <c r="AB94" s="6" t="str">
        <v>Primary Business not Hi-Tech</v>
      </c>
      <c r="AC94" s="8">
        <v>10</v>
      </c>
      <c r="AD94" s="7">
        <f>=DATE(1999,12,1)</f>
        <v>36494.99949074074</v>
      </c>
      <c r="AF94" s="8" t="str">
        <v>60.34</v>
      </c>
      <c r="AG94" s="8" t="str">
        <v>60.34</v>
      </c>
    </row>
    <row r="95">
      <c r="A95" s="6" t="str">
        <v>037833</v>
      </c>
      <c r="B95" s="6" t="str">
        <v>United States</v>
      </c>
      <c r="C95" s="6" t="str">
        <v>Apple Computer Inc</v>
      </c>
      <c r="D95" s="6" t="str">
        <v>Apple Computer Inc</v>
      </c>
      <c r="F95" s="6" t="str">
        <v>United States</v>
      </c>
      <c r="G95" s="6" t="str">
        <v>NetSelector</v>
      </c>
      <c r="H95" s="6" t="str">
        <v>Prepackaged Software</v>
      </c>
      <c r="I95" s="6" t="str">
        <v>64146L</v>
      </c>
      <c r="J95" s="6" t="str">
        <v>NetSelector</v>
      </c>
      <c r="K95" s="6" t="str">
        <v>NetSelector</v>
      </c>
      <c r="L95" s="7">
        <f>=DATE(2000,1,7)</f>
        <v>36531.99949074074</v>
      </c>
      <c r="M95" s="7">
        <f>=DATE(2000,1,7)</f>
        <v>36531.99949074074</v>
      </c>
      <c r="W95" s="6" t="str">
        <v>Monitors/Terminals;Micro-Computers (PCs);Other Software (inq. Games);Other Peripherals;Portable Computers;Printers;Disk Drives;Mainframes &amp; Super Computers</v>
      </c>
      <c r="X95" s="6" t="str">
        <v>Internet Services &amp; Software;Communication/Network Software</v>
      </c>
      <c r="Y95" s="6" t="str">
        <v>Communication/Network Software;Internet Services &amp; Software</v>
      </c>
      <c r="Z95" s="6" t="str">
        <v>Internet Services &amp; Software;Communication/Network Software</v>
      </c>
      <c r="AA95" s="6" t="str">
        <v>Mainframes &amp; Super Computers;Other Peripherals;Monitors/Terminals;Printers;Other Software (inq. Games);Disk Drives;Micro-Computers (PCs);Portable Computers</v>
      </c>
      <c r="AB95" s="6" t="str">
        <v>Printers;Other Peripherals;Other Software (inq. Games);Micro-Computers (PCs);Mainframes &amp; Super Computers;Disk Drives;Monitors/Terminals;Portable Computers</v>
      </c>
    </row>
    <row r="96">
      <c r="A96" s="6" t="str">
        <v>80609W</v>
      </c>
      <c r="B96" s="6" t="str">
        <v>United States</v>
      </c>
      <c r="C96" s="6" t="str">
        <v>ScanSoft Inc</v>
      </c>
      <c r="D96" s="6" t="str">
        <v>ScanSoft Inc</v>
      </c>
      <c r="F96" s="6" t="str">
        <v>United States</v>
      </c>
      <c r="G96" s="6" t="str">
        <v>Caere Corp</v>
      </c>
      <c r="H96" s="6" t="str">
        <v>Prepackaged Software</v>
      </c>
      <c r="I96" s="6" t="str">
        <v>127646</v>
      </c>
      <c r="J96" s="6" t="str">
        <v>Caere Corp</v>
      </c>
      <c r="K96" s="6" t="str">
        <v>Caere Corp</v>
      </c>
      <c r="L96" s="7">
        <f>=DATE(2000,1,17)</f>
        <v>36541.99949074074</v>
      </c>
      <c r="M96" s="7">
        <f>=DATE(2000,3,13)</f>
        <v>36597.99949074074</v>
      </c>
      <c r="N96" s="8">
        <v>147.456</v>
      </c>
      <c r="O96" s="8">
        <v>147.456</v>
      </c>
      <c r="P96" s="8" t="str">
        <v>97.85</v>
      </c>
      <c r="R96" s="8">
        <v>9.086</v>
      </c>
      <c r="S96" s="8">
        <v>65.29</v>
      </c>
      <c r="T96" s="8">
        <v>-6.409</v>
      </c>
      <c r="U96" s="8">
        <v>14.554</v>
      </c>
      <c r="V96" s="8">
        <v>11.147</v>
      </c>
      <c r="W96" s="6" t="str">
        <v>Other Software (inq. Games)</v>
      </c>
      <c r="X96" s="6" t="str">
        <v>Data Processing Services;Applications Software(Business</v>
      </c>
      <c r="Y96" s="6" t="str">
        <v>Applications Software(Business;Data Processing Services</v>
      </c>
      <c r="Z96" s="6" t="str">
        <v>Applications Software(Business;Data Processing Services</v>
      </c>
      <c r="AA96" s="6" t="str">
        <v>Other Software (inq. Games)</v>
      </c>
      <c r="AB96" s="6" t="str">
        <v>Other Software (inq. Games)</v>
      </c>
      <c r="AC96" s="8">
        <v>147.456</v>
      </c>
      <c r="AD96" s="7">
        <f>=DATE(2000,1,17)</f>
        <v>36541.99949074074</v>
      </c>
      <c r="AE96" s="8">
        <v>160.4825105</v>
      </c>
      <c r="AF96" s="8" t="str">
        <v>97.85</v>
      </c>
      <c r="AG96" s="8" t="str">
        <v>97.85</v>
      </c>
    </row>
    <row r="97">
      <c r="A97" s="6" t="str">
        <v>594918</v>
      </c>
      <c r="B97" s="6" t="str">
        <v>United States</v>
      </c>
      <c r="C97" s="6" t="str">
        <v>Microsoft Corp</v>
      </c>
      <c r="D97" s="6" t="str">
        <v>Microsoft Corp</v>
      </c>
      <c r="F97" s="6" t="str">
        <v>United States</v>
      </c>
      <c r="G97" s="6" t="str">
        <v>Intertainer Inc</v>
      </c>
      <c r="H97" s="6" t="str">
        <v>Business Services</v>
      </c>
      <c r="I97" s="6" t="str">
        <v>45831N</v>
      </c>
      <c r="J97" s="6" t="str">
        <v>Intertainer Inc</v>
      </c>
      <c r="K97" s="6" t="str">
        <v>Intertainer Inc</v>
      </c>
      <c r="L97" s="7">
        <f>=DATE(2000,1,23)</f>
        <v>36547.99949074074</v>
      </c>
      <c r="M97" s="7">
        <f>=DATE(2000,1,24)</f>
        <v>36548.99949074074</v>
      </c>
      <c r="N97" s="8">
        <v>56</v>
      </c>
      <c r="O97" s="8">
        <v>56</v>
      </c>
      <c r="W97" s="6" t="str">
        <v>Applications Software(Business;Other Peripherals;Computer Consulting Services;Internet Services &amp; Software;Operating Systems;Monitors/Terminals</v>
      </c>
      <c r="X97" s="6" t="str">
        <v>Internet Services &amp; Software</v>
      </c>
      <c r="Y97" s="6" t="str">
        <v>Internet Services &amp; Software</v>
      </c>
      <c r="Z97" s="6" t="str">
        <v>Internet Services &amp; Software</v>
      </c>
      <c r="AA97" s="6" t="str">
        <v>Applications Software(Business;Monitors/Terminals;Computer Consulting Services;Internet Services &amp; Software;Other Peripherals;Operating Systems</v>
      </c>
      <c r="AB97" s="6" t="str">
        <v>Computer Consulting Services;Operating Systems;Monitors/Terminals;Applications Software(Business;Internet Services &amp; Software;Other Peripherals</v>
      </c>
      <c r="AC97" s="8">
        <v>56</v>
      </c>
      <c r="AD97" s="7">
        <f>=DATE(2000,1,23)</f>
        <v>36547.99949074074</v>
      </c>
    </row>
    <row r="98">
      <c r="A98" s="6" t="str">
        <v>023135</v>
      </c>
      <c r="B98" s="6" t="str">
        <v>United States</v>
      </c>
      <c r="C98" s="6" t="str">
        <v>Amazon.com Inc</v>
      </c>
      <c r="D98" s="6" t="str">
        <v>Amazon.com Inc</v>
      </c>
      <c r="F98" s="6" t="str">
        <v>United States</v>
      </c>
      <c r="G98" s="6" t="str">
        <v>Audible Inc</v>
      </c>
      <c r="H98" s="6" t="str">
        <v>Business Services</v>
      </c>
      <c r="I98" s="6" t="str">
        <v>05069A</v>
      </c>
      <c r="J98" s="6" t="str">
        <v>Audible Inc</v>
      </c>
      <c r="K98" s="6" t="str">
        <v>Audible Inc</v>
      </c>
      <c r="L98" s="7">
        <f>=DATE(2000,1,31)</f>
        <v>36555.99949074074</v>
      </c>
      <c r="M98" s="7">
        <f>=DATE(2000,4,1)</f>
        <v>36616.99949074074</v>
      </c>
      <c r="R98" s="8">
        <v>-13.5</v>
      </c>
      <c r="S98" s="8">
        <v>1.7</v>
      </c>
      <c r="T98" s="8">
        <v>37.9</v>
      </c>
      <c r="U98" s="8">
        <v>-26</v>
      </c>
      <c r="V98" s="8">
        <v>-10.4</v>
      </c>
      <c r="W98" s="6" t="str">
        <v>Primary Business not Hi-Tech</v>
      </c>
      <c r="X98" s="6" t="str">
        <v>Internet Services &amp; Software</v>
      </c>
      <c r="Y98" s="6" t="str">
        <v>Internet Services &amp; Software</v>
      </c>
      <c r="Z98" s="6" t="str">
        <v>Internet Services &amp; Software</v>
      </c>
      <c r="AA98" s="6" t="str">
        <v>Primary Business not Hi-Tech</v>
      </c>
      <c r="AB98" s="6" t="str">
        <v>Primary Business not Hi-Tech</v>
      </c>
    </row>
    <row r="99">
      <c r="A99" s="6" t="str">
        <v>023135</v>
      </c>
      <c r="B99" s="6" t="str">
        <v>United States</v>
      </c>
      <c r="C99" s="6" t="str">
        <v>Amazon.com Inc</v>
      </c>
      <c r="D99" s="6" t="str">
        <v>Amazon.com Inc</v>
      </c>
      <c r="F99" s="6" t="str">
        <v>United States</v>
      </c>
      <c r="G99" s="6" t="str">
        <v>Living.com Inc</v>
      </c>
      <c r="H99" s="6" t="str">
        <v>Business Services</v>
      </c>
      <c r="I99" s="6" t="str">
        <v>53840H</v>
      </c>
      <c r="J99" s="6" t="str">
        <v>Living.com Inc</v>
      </c>
      <c r="K99" s="6" t="str">
        <v>Living.com Inc</v>
      </c>
      <c r="L99" s="7">
        <f>=DATE(2000,2,1)</f>
        <v>36556.99949074074</v>
      </c>
      <c r="M99" s="7">
        <f>=DATE(2000,3,31)</f>
        <v>36615.99949074074</v>
      </c>
      <c r="W99" s="6" t="str">
        <v>Primary Business not Hi-Tech</v>
      </c>
      <c r="X99" s="6" t="str">
        <v>Communication/Network Software;Internet Services &amp; Software</v>
      </c>
      <c r="Y99" s="6" t="str">
        <v>Communication/Network Software;Internet Services &amp; Software</v>
      </c>
      <c r="Z99" s="6" t="str">
        <v>Internet Services &amp; Software;Communication/Network Software</v>
      </c>
      <c r="AA99" s="6" t="str">
        <v>Primary Business not Hi-Tech</v>
      </c>
      <c r="AB99" s="6" t="str">
        <v>Primary Business not Hi-Tech</v>
      </c>
    </row>
    <row r="100">
      <c r="A100" s="6" t="str">
        <v>302125</v>
      </c>
      <c r="B100" s="6" t="str">
        <v>United States</v>
      </c>
      <c r="C100" s="6" t="str">
        <v>Expedia Inc</v>
      </c>
      <c r="D100" s="6" t="str">
        <v>Microsoft Corp</v>
      </c>
      <c r="E100" s="6" t="str">
        <v>Expedia Inc</v>
      </c>
      <c r="F100" s="6" t="str">
        <v>United States</v>
      </c>
      <c r="G100" s="6" t="str">
        <v>Travelscape.com</v>
      </c>
      <c r="H100" s="6" t="str">
        <v>Business Services</v>
      </c>
      <c r="I100" s="6" t="str">
        <v>89417Q</v>
      </c>
      <c r="J100" s="6" t="str">
        <v>Travelscape.com</v>
      </c>
      <c r="K100" s="6" t="str">
        <v>Travelscape.com</v>
      </c>
      <c r="L100" s="7">
        <f>=DATE(2000,2,1)</f>
        <v>36556.99949074074</v>
      </c>
      <c r="M100" s="7">
        <f>=DATE(2000,3,17)</f>
        <v>36601.99949074074</v>
      </c>
      <c r="N100" s="8">
        <v>86.75</v>
      </c>
      <c r="O100" s="8">
        <v>89.75</v>
      </c>
      <c r="Q100" s="8" t="str">
        <v>70.85</v>
      </c>
      <c r="W100" s="6" t="str">
        <v>Internet Services &amp; Software</v>
      </c>
      <c r="X100" s="6" t="str">
        <v>Internet Services &amp; Software;Communication/Network Software</v>
      </c>
      <c r="Y100" s="6" t="str">
        <v>Communication/Network Software;Internet Services &amp; Software</v>
      </c>
      <c r="Z100" s="6" t="str">
        <v>Communication/Network Software;Internet Services &amp; Software</v>
      </c>
      <c r="AA100" s="6" t="str">
        <v>Internet Services &amp; Software;Computer Consulting Services;Applications Software(Business;Monitors/Terminals;Other Peripherals;Operating Systems</v>
      </c>
      <c r="AB100" s="6" t="str">
        <v>Operating Systems;Computer Consulting Services;Applications Software(Business;Internet Services &amp; Software;Other Peripherals;Monitors/Terminals</v>
      </c>
      <c r="AC100" s="8">
        <v>89.75</v>
      </c>
      <c r="AD100" s="7">
        <f>=DATE(2000,2,1)</f>
        <v>36556.99949074074</v>
      </c>
    </row>
    <row r="101">
      <c r="A101" s="6" t="str">
        <v>302125</v>
      </c>
      <c r="B101" s="6" t="str">
        <v>United States</v>
      </c>
      <c r="C101" s="6" t="str">
        <v>Expedia Inc</v>
      </c>
      <c r="D101" s="6" t="str">
        <v>Microsoft Corp</v>
      </c>
      <c r="E101" s="6" t="str">
        <v>Expedia Inc</v>
      </c>
      <c r="F101" s="6" t="str">
        <v>United States</v>
      </c>
      <c r="G101" s="6" t="str">
        <v>Vacationspot.com</v>
      </c>
      <c r="H101" s="6" t="str">
        <v>Business Services</v>
      </c>
      <c r="I101" s="6" t="str">
        <v>91855K</v>
      </c>
      <c r="J101" s="6" t="str">
        <v>Vacationspot.com</v>
      </c>
      <c r="K101" s="6" t="str">
        <v>Vacationspot.com</v>
      </c>
      <c r="L101" s="7">
        <f>=DATE(2000,2,1)</f>
        <v>36556.99949074074</v>
      </c>
      <c r="M101" s="7">
        <f>=DATE(2001,3,17)</f>
        <v>36966.99949074074</v>
      </c>
      <c r="N101" s="8">
        <v>68.25</v>
      </c>
      <c r="O101" s="8">
        <v>70.85</v>
      </c>
      <c r="Q101" s="8" t="str">
        <v>89.75</v>
      </c>
      <c r="W101" s="6" t="str">
        <v>Internet Services &amp; Software</v>
      </c>
      <c r="X101" s="6" t="str">
        <v>Internet Services &amp; Software;Communication/Network Software</v>
      </c>
      <c r="Y101" s="6" t="str">
        <v>Internet Services &amp; Software;Communication/Network Software</v>
      </c>
      <c r="Z101" s="6" t="str">
        <v>Communication/Network Software;Internet Services &amp; Software</v>
      </c>
      <c r="AA101" s="6" t="str">
        <v>Internet Services &amp; Software;Computer Consulting Services;Operating Systems;Applications Software(Business;Other Peripherals;Monitors/Terminals</v>
      </c>
      <c r="AB101" s="6" t="str">
        <v>Operating Systems;Monitors/Terminals;Other Peripherals;Computer Consulting Services;Applications Software(Business;Internet Services &amp; Software</v>
      </c>
      <c r="AC101" s="8">
        <v>70.85</v>
      </c>
      <c r="AD101" s="7">
        <f>=DATE(2000,2,1)</f>
        <v>36556.99949074074</v>
      </c>
    </row>
    <row r="102">
      <c r="A102" s="6" t="str">
        <v>023135</v>
      </c>
      <c r="B102" s="6" t="str">
        <v>United States</v>
      </c>
      <c r="C102" s="6" t="str">
        <v>Amazon.com Inc</v>
      </c>
      <c r="D102" s="6" t="str">
        <v>Amazon.com Inc</v>
      </c>
      <c r="F102" s="6" t="str">
        <v>United States</v>
      </c>
      <c r="G102" s="6" t="str">
        <v>Greg Manning Auctions Inc</v>
      </c>
      <c r="H102" s="6" t="str">
        <v>Business Services</v>
      </c>
      <c r="I102" s="6" t="str">
        <v>563823</v>
      </c>
      <c r="J102" s="6" t="str">
        <v>Collectibles Realty Management Inc</v>
      </c>
      <c r="K102" s="6" t="str">
        <v>Collectibles Realty Management Inc</v>
      </c>
      <c r="L102" s="7">
        <f>=DATE(2000,2,3)</f>
        <v>36558.99949074074</v>
      </c>
      <c r="M102" s="7">
        <f>=DATE(2000,2,3)</f>
        <v>36558.99949074074</v>
      </c>
      <c r="N102" s="8">
        <v>5</v>
      </c>
      <c r="O102" s="8">
        <v>5</v>
      </c>
      <c r="R102" s="8">
        <v>-1.543</v>
      </c>
      <c r="S102" s="8">
        <v>15.77</v>
      </c>
      <c r="T102" s="8">
        <v>6.578</v>
      </c>
      <c r="U102" s="8">
        <v>0.608</v>
      </c>
      <c r="V102" s="8">
        <v>-6.631</v>
      </c>
      <c r="W102" s="6" t="str">
        <v>Primary Business not Hi-Tech</v>
      </c>
      <c r="X102" s="6" t="str">
        <v>Internet Services &amp; Software</v>
      </c>
      <c r="Y102" s="6" t="str">
        <v>Primary Business not Hi-Tech</v>
      </c>
      <c r="Z102" s="6" t="str">
        <v>Primary Business not Hi-Tech</v>
      </c>
      <c r="AA102" s="6" t="str">
        <v>Primary Business not Hi-Tech</v>
      </c>
      <c r="AB102" s="6" t="str">
        <v>Primary Business not Hi-Tech</v>
      </c>
      <c r="AC102" s="8">
        <v>5</v>
      </c>
      <c r="AD102" s="7">
        <f>=DATE(2000,2,3)</f>
        <v>36558.99949074074</v>
      </c>
    </row>
    <row r="103">
      <c r="A103" s="6" t="str">
        <v>023135</v>
      </c>
      <c r="B103" s="6" t="str">
        <v>United States</v>
      </c>
      <c r="C103" s="6" t="str">
        <v>Amazon.com Inc</v>
      </c>
      <c r="D103" s="6" t="str">
        <v>Amazon.com Inc</v>
      </c>
      <c r="F103" s="6" t="str">
        <v>United States</v>
      </c>
      <c r="G103" s="6" t="str">
        <v>Basis Technology Corp</v>
      </c>
      <c r="H103" s="6" t="str">
        <v>Prepackaged Software</v>
      </c>
      <c r="I103" s="6" t="str">
        <v>07016Q</v>
      </c>
      <c r="J103" s="6" t="str">
        <v>Basis Technology Corp</v>
      </c>
      <c r="K103" s="6" t="str">
        <v>Basis Technology Corp</v>
      </c>
      <c r="L103" s="7">
        <f>=DATE(2000,2,18)</f>
        <v>36573.99949074074</v>
      </c>
      <c r="M103" s="7">
        <f>=DATE(2000,2,18)</f>
        <v>36573.99949074074</v>
      </c>
      <c r="W103" s="6" t="str">
        <v>Primary Business not Hi-Tech</v>
      </c>
      <c r="X103" s="6" t="str">
        <v>Other Software (inq. Games)</v>
      </c>
      <c r="Y103" s="6" t="str">
        <v>Other Software (inq. Games)</v>
      </c>
      <c r="Z103" s="6" t="str">
        <v>Other Software (inq. Games)</v>
      </c>
      <c r="AA103" s="6" t="str">
        <v>Primary Business not Hi-Tech</v>
      </c>
      <c r="AB103" s="6" t="str">
        <v>Primary Business not Hi-Tech</v>
      </c>
    </row>
    <row r="104">
      <c r="A104" s="6" t="str">
        <v>594918</v>
      </c>
      <c r="B104" s="6" t="str">
        <v>United States</v>
      </c>
      <c r="C104" s="6" t="str">
        <v>Microsoft Corp</v>
      </c>
      <c r="D104" s="6" t="str">
        <v>Microsoft Corp</v>
      </c>
      <c r="F104" s="6" t="str">
        <v>United States</v>
      </c>
      <c r="G104" s="6" t="str">
        <v>BroadBand Office Inc{BB0}</v>
      </c>
      <c r="H104" s="6" t="str">
        <v>Business Services</v>
      </c>
      <c r="I104" s="6" t="str">
        <v>11139W</v>
      </c>
      <c r="J104" s="6" t="str">
        <v>BroadBand Office Inc{BB0}</v>
      </c>
      <c r="K104" s="6" t="str">
        <v>BroadBand Office Inc{BB0}</v>
      </c>
      <c r="L104" s="7">
        <f>=DATE(2000,2,23)</f>
        <v>36578.99949074074</v>
      </c>
      <c r="M104" s="7">
        <f>=DATE(2000,2,23)</f>
        <v>36578.99949074074</v>
      </c>
      <c r="N104" s="8">
        <v>25</v>
      </c>
      <c r="O104" s="8">
        <v>25</v>
      </c>
      <c r="W104" s="6" t="str">
        <v>Operating Systems;Applications Software(Business;Computer Consulting Services;Other Peripherals;Internet Services &amp; Software;Monitors/Terminals</v>
      </c>
      <c r="X104" s="6" t="str">
        <v>Internet Services &amp; Software;Communication/Network Software</v>
      </c>
      <c r="Y104" s="6" t="str">
        <v>Communication/Network Software;Internet Services &amp; Software</v>
      </c>
      <c r="Z104" s="6" t="str">
        <v>Internet Services &amp; Software;Communication/Network Software</v>
      </c>
      <c r="AA104" s="6" t="str">
        <v>Monitors/Terminals;Applications Software(Business;Internet Services &amp; Software;Other Peripherals;Operating Systems;Computer Consulting Services</v>
      </c>
      <c r="AB104" s="6" t="str">
        <v>Monitors/Terminals;Other Peripherals;Internet Services &amp; Software;Operating Systems;Computer Consulting Services;Applications Software(Business</v>
      </c>
      <c r="AC104" s="8">
        <v>25</v>
      </c>
      <c r="AD104" s="7">
        <f>=DATE(2000,2,23)</f>
        <v>36578.99949074074</v>
      </c>
    </row>
    <row r="105">
      <c r="A105" s="6" t="str">
        <v>594918</v>
      </c>
      <c r="B105" s="6" t="str">
        <v>United States</v>
      </c>
      <c r="C105" s="6" t="str">
        <v>Microsoft Corp</v>
      </c>
      <c r="D105" s="6" t="str">
        <v>Microsoft Corp</v>
      </c>
      <c r="F105" s="6" t="str">
        <v>United States</v>
      </c>
      <c r="G105" s="6" t="str">
        <v>Realnames Corporation</v>
      </c>
      <c r="H105" s="6" t="str">
        <v>Business Services</v>
      </c>
      <c r="I105" s="6" t="str">
        <v>75605K</v>
      </c>
      <c r="J105" s="6" t="str">
        <v>Realnames Corporation</v>
      </c>
      <c r="K105" s="6" t="str">
        <v>Realnames Corporation</v>
      </c>
      <c r="L105" s="7">
        <f>=DATE(2000,3,13)</f>
        <v>36597.99949074074</v>
      </c>
      <c r="M105" s="7">
        <f>=DATE(2000,3,13)</f>
        <v>36597.99949074074</v>
      </c>
      <c r="W105" s="6" t="str">
        <v>Applications Software(Business;Monitors/Terminals;Other Peripherals;Computer Consulting Services;Internet Services &amp; Software;Operating Systems</v>
      </c>
      <c r="X105" s="6" t="str">
        <v>Internet Services &amp; Software</v>
      </c>
      <c r="Y105" s="6" t="str">
        <v>Internet Services &amp; Software</v>
      </c>
      <c r="Z105" s="6" t="str">
        <v>Internet Services &amp; Software</v>
      </c>
      <c r="AA105" s="6" t="str">
        <v>Internet Services &amp; Software;Operating Systems;Computer Consulting Services;Applications Software(Business;Other Peripherals;Monitors/Terminals</v>
      </c>
      <c r="AB105" s="6" t="str">
        <v>Computer Consulting Services;Operating Systems;Internet Services &amp; Software;Applications Software(Business;Other Peripherals;Monitors/Terminals</v>
      </c>
    </row>
    <row r="106">
      <c r="A106" s="6" t="str">
        <v>023135</v>
      </c>
      <c r="B106" s="6" t="str">
        <v>United States</v>
      </c>
      <c r="C106" s="6" t="str">
        <v>Amazon.com Inc</v>
      </c>
      <c r="D106" s="6" t="str">
        <v>Amazon.com Inc</v>
      </c>
      <c r="F106" s="6" t="str">
        <v>United States</v>
      </c>
      <c r="G106" s="6" t="str">
        <v>Eziba Inc</v>
      </c>
      <c r="H106" s="6" t="str">
        <v>Miscellaneous Retail Trade</v>
      </c>
      <c r="I106" s="6" t="str">
        <v>30194T</v>
      </c>
      <c r="J106" s="6" t="str">
        <v>Eziba Inc</v>
      </c>
      <c r="K106" s="6" t="str">
        <v>Eziba Inc</v>
      </c>
      <c r="L106" s="7">
        <f>=DATE(2000,3,28)</f>
        <v>36612.99949074074</v>
      </c>
      <c r="M106" s="7">
        <f>=DATE(2000,3,28)</f>
        <v>36612.99949074074</v>
      </c>
      <c r="N106" s="8">
        <v>17.5</v>
      </c>
      <c r="O106" s="8">
        <v>17.5</v>
      </c>
      <c r="W106" s="6" t="str">
        <v>Primary Business not Hi-Tech</v>
      </c>
      <c r="X106" s="6" t="str">
        <v>Internet Services &amp; Software</v>
      </c>
      <c r="Y106" s="6" t="str">
        <v>Internet Services &amp; Software</v>
      </c>
      <c r="Z106" s="6" t="str">
        <v>Internet Services &amp; Software</v>
      </c>
      <c r="AA106" s="6" t="str">
        <v>Primary Business not Hi-Tech</v>
      </c>
      <c r="AB106" s="6" t="str">
        <v>Primary Business not Hi-Tech</v>
      </c>
      <c r="AC106" s="8">
        <v>17.5</v>
      </c>
      <c r="AD106" s="7">
        <f>=DATE(2000,3,29)</f>
        <v>36613.99949074074</v>
      </c>
      <c r="AF106" s="8" t="str">
        <v>87.50</v>
      </c>
      <c r="AG106" s="8" t="str">
        <v>87.50</v>
      </c>
    </row>
    <row r="107">
      <c r="A107" s="6" t="str">
        <v>80609W</v>
      </c>
      <c r="B107" s="6" t="str">
        <v>United States</v>
      </c>
      <c r="C107" s="6" t="str">
        <v>ScanSoft Inc</v>
      </c>
      <c r="D107" s="6" t="str">
        <v>ScanSoft Inc</v>
      </c>
      <c r="F107" s="6" t="str">
        <v>United States</v>
      </c>
      <c r="G107" s="6" t="str">
        <v>EchoBahn.com</v>
      </c>
      <c r="H107" s="6" t="str">
        <v>Business Services</v>
      </c>
      <c r="I107" s="6" t="str">
        <v>27881Y</v>
      </c>
      <c r="J107" s="6" t="str">
        <v>EchoBahn.com</v>
      </c>
      <c r="K107" s="6" t="str">
        <v>EchoBahn.com</v>
      </c>
      <c r="L107" s="7">
        <f>=DATE(2000,5,3)</f>
        <v>36648.99949074074</v>
      </c>
      <c r="M107" s="7">
        <f>=DATE(2000,5,3)</f>
        <v>36648.99949074074</v>
      </c>
      <c r="W107" s="6" t="str">
        <v>Other Software (inq. Games)</v>
      </c>
      <c r="X107" s="6" t="str">
        <v>Internet Services &amp; Software</v>
      </c>
      <c r="Y107" s="6" t="str">
        <v>Internet Services &amp; Software</v>
      </c>
      <c r="Z107" s="6" t="str">
        <v>Internet Services &amp; Software</v>
      </c>
      <c r="AA107" s="6" t="str">
        <v>Other Software (inq. Games)</v>
      </c>
      <c r="AB107" s="6" t="str">
        <v>Other Software (inq. Games)</v>
      </c>
    </row>
    <row r="108">
      <c r="A108" s="6" t="str">
        <v>594918</v>
      </c>
      <c r="B108" s="6" t="str">
        <v>United States</v>
      </c>
      <c r="C108" s="6" t="str">
        <v>Microsoft Corp</v>
      </c>
      <c r="D108" s="6" t="str">
        <v>Microsoft Corp</v>
      </c>
      <c r="F108" s="6" t="str">
        <v>United States</v>
      </c>
      <c r="G108" s="6" t="str">
        <v>Bungie Software</v>
      </c>
      <c r="H108" s="6" t="str">
        <v>Prepackaged Software</v>
      </c>
      <c r="I108" s="6" t="str">
        <v>12057V</v>
      </c>
      <c r="J108" s="6" t="str">
        <v>Bungie Software</v>
      </c>
      <c r="K108" s="6" t="str">
        <v>Bungie Software</v>
      </c>
      <c r="L108" s="7">
        <f>=DATE(2000,6,19)</f>
        <v>36695.99949074074</v>
      </c>
      <c r="M108" s="7">
        <f>=DATE(2000,6,19)</f>
        <v>36695.99949074074</v>
      </c>
      <c r="W108" s="6" t="str">
        <v>Computer Consulting Services;Monitors/Terminals;Applications Software(Business;Operating Systems;Internet Services &amp; Software;Other Peripherals</v>
      </c>
      <c r="X108" s="6" t="str">
        <v>Database Software/Programming</v>
      </c>
      <c r="Y108" s="6" t="str">
        <v>Database Software/Programming</v>
      </c>
      <c r="Z108" s="6" t="str">
        <v>Database Software/Programming</v>
      </c>
      <c r="AA108" s="6" t="str">
        <v>Monitors/Terminals;Computer Consulting Services;Applications Software(Business;Other Peripherals;Internet Services &amp; Software;Operating Systems</v>
      </c>
      <c r="AB108" s="6" t="str">
        <v>Operating Systems;Internet Services &amp; Software;Other Peripherals;Monitors/Terminals;Applications Software(Business;Computer Consulting Services</v>
      </c>
    </row>
    <row r="109">
      <c r="A109" s="6" t="str">
        <v>594918</v>
      </c>
      <c r="B109" s="6" t="str">
        <v>United States</v>
      </c>
      <c r="C109" s="6" t="str">
        <v>Microsoft Corp</v>
      </c>
      <c r="D109" s="6" t="str">
        <v>Microsoft Corp</v>
      </c>
      <c r="F109" s="6" t="str">
        <v>United States</v>
      </c>
      <c r="G109" s="6" t="str">
        <v>NetGames USA</v>
      </c>
      <c r="H109" s="6" t="str">
        <v>Prepackaged Software</v>
      </c>
      <c r="I109" s="6" t="str">
        <v>4F2769</v>
      </c>
      <c r="J109" s="6" t="str">
        <v>NetGames USA</v>
      </c>
      <c r="K109" s="6" t="str">
        <v>NetGames USA</v>
      </c>
      <c r="L109" s="7">
        <f>=DATE(2000,7,12)</f>
        <v>36718.99949074074</v>
      </c>
      <c r="M109" s="7">
        <f>=DATE(2000,7,12)</f>
        <v>36718.99949074074</v>
      </c>
      <c r="W109" s="6" t="str">
        <v>Applications Software(Business;Internet Services &amp; Software;Monitors/Terminals;Operating Systems;Other Peripherals;Computer Consulting Services</v>
      </c>
      <c r="X109" s="6" t="str">
        <v>Other Software (inq. Games)</v>
      </c>
      <c r="Y109" s="6" t="str">
        <v>Other Software (inq. Games)</v>
      </c>
      <c r="Z109" s="6" t="str">
        <v>Other Software (inq. Games)</v>
      </c>
      <c r="AA109" s="6" t="str">
        <v>Monitors/Terminals;Internet Services &amp; Software;Operating Systems;Applications Software(Business;Other Peripherals;Computer Consulting Services</v>
      </c>
      <c r="AB109" s="6" t="str">
        <v>Other Peripherals;Monitors/Terminals;Operating Systems;Internet Services &amp; Software;Computer Consulting Services;Applications Software(Business</v>
      </c>
    </row>
    <row r="110">
      <c r="A110" s="6" t="str">
        <v>72605H</v>
      </c>
      <c r="B110" s="6" t="str">
        <v>United States</v>
      </c>
      <c r="C110" s="6" t="str">
        <v>PlaceWare Inc</v>
      </c>
      <c r="D110" s="6" t="str">
        <v>PlaceWare Inc</v>
      </c>
      <c r="F110" s="6" t="str">
        <v>United States</v>
      </c>
      <c r="G110" s="6" t="str">
        <v>Envoyglobal.com</v>
      </c>
      <c r="H110" s="6" t="str">
        <v>Business Services</v>
      </c>
      <c r="I110" s="6" t="str">
        <v>29401W</v>
      </c>
      <c r="J110" s="6" t="str">
        <v>Envoyglobal.com</v>
      </c>
      <c r="K110" s="6" t="str">
        <v>Envoyglobal.com</v>
      </c>
      <c r="L110" s="7">
        <f>=DATE(2000,7,24)</f>
        <v>36730.99949074074</v>
      </c>
      <c r="M110" s="7">
        <f>=DATE(2000,7,24)</f>
        <v>36730.99949074074</v>
      </c>
      <c r="W110" s="6" t="str">
        <v>Internet Services &amp; Software</v>
      </c>
      <c r="X110" s="6" t="str">
        <v>Internet Services &amp; Software;Communication/Network Software;Applications Software(Business</v>
      </c>
      <c r="Y110" s="6" t="str">
        <v>Communication/Network Software;Internet Services &amp; Software;Applications Software(Business</v>
      </c>
      <c r="Z110" s="6" t="str">
        <v>Internet Services &amp; Software;Communication/Network Software;Applications Software(Business</v>
      </c>
      <c r="AA110" s="6" t="str">
        <v>Internet Services &amp; Software</v>
      </c>
      <c r="AB110" s="6" t="str">
        <v>Internet Services &amp; Software</v>
      </c>
    </row>
    <row r="111">
      <c r="A111" s="6" t="str">
        <v>594918</v>
      </c>
      <c r="B111" s="6" t="str">
        <v>United States</v>
      </c>
      <c r="C111" s="6" t="str">
        <v>Microsoft Corp</v>
      </c>
      <c r="D111" s="6" t="str">
        <v>Microsoft Corp</v>
      </c>
      <c r="F111" s="6" t="str">
        <v>United States</v>
      </c>
      <c r="G111" s="6" t="str">
        <v>CAIS Internet Inc</v>
      </c>
      <c r="H111" s="6" t="str">
        <v>Business Services</v>
      </c>
      <c r="I111" s="6" t="str">
        <v>12476Q</v>
      </c>
      <c r="J111" s="6" t="str">
        <v>CAIS Internet Inc</v>
      </c>
      <c r="K111" s="6" t="str">
        <v>CAIS Internet Inc</v>
      </c>
      <c r="L111" s="7">
        <f>=DATE(2000,8,4)</f>
        <v>36741.99949074074</v>
      </c>
      <c r="M111" s="7">
        <f>=DATE(2000,8,4)</f>
        <v>36741.99949074074</v>
      </c>
      <c r="N111" s="8">
        <v>40</v>
      </c>
      <c r="O111" s="8">
        <v>40</v>
      </c>
      <c r="R111" s="8">
        <v>-104.5</v>
      </c>
      <c r="S111" s="8">
        <v>23</v>
      </c>
      <c r="T111" s="8">
        <v>137</v>
      </c>
      <c r="U111" s="8">
        <v>-172.8</v>
      </c>
      <c r="V111" s="8">
        <v>-42.7</v>
      </c>
      <c r="W111" s="6" t="str">
        <v>Internet Services &amp; Software;Operating Systems;Computer Consulting Services;Monitors/Terminals;Applications Software(Business;Other Peripherals</v>
      </c>
      <c r="X111" s="6" t="str">
        <v>Internet Services &amp; Software;Communication/Network Software;Data Processing Services</v>
      </c>
      <c r="Y111" s="6" t="str">
        <v>Data Processing Services;Communication/Network Software;Internet Services &amp; Software</v>
      </c>
      <c r="Z111" s="6" t="str">
        <v>Data Processing Services;Communication/Network Software;Internet Services &amp; Software</v>
      </c>
      <c r="AA111" s="6" t="str">
        <v>Monitors/Terminals;Applications Software(Business;Operating Systems;Other Peripherals;Computer Consulting Services;Internet Services &amp; Software</v>
      </c>
      <c r="AB111" s="6" t="str">
        <v>Monitors/Terminals;Operating Systems;Computer Consulting Services;Other Peripherals;Internet Services &amp; Software;Applications Software(Business</v>
      </c>
      <c r="AC111" s="8">
        <v>40</v>
      </c>
      <c r="AD111" s="7">
        <f>=DATE(2000,8,4)</f>
        <v>36741.99949074074</v>
      </c>
    </row>
    <row r="112">
      <c r="A112" s="6" t="str">
        <v>594918</v>
      </c>
      <c r="B112" s="6" t="str">
        <v>United States</v>
      </c>
      <c r="C112" s="6" t="str">
        <v>Microsoft Corp</v>
      </c>
      <c r="D112" s="6" t="str">
        <v>Microsoft Corp</v>
      </c>
      <c r="F112" s="6" t="str">
        <v>United States</v>
      </c>
      <c r="G112" s="6" t="str">
        <v>MongoMusic Inc</v>
      </c>
      <c r="H112" s="6" t="str">
        <v>Business Services</v>
      </c>
      <c r="I112" s="6" t="str">
        <v>60943W</v>
      </c>
      <c r="J112" s="6" t="str">
        <v>MongoMusic Inc</v>
      </c>
      <c r="K112" s="6" t="str">
        <v>MongoMusic Inc</v>
      </c>
      <c r="L112" s="7">
        <f>=DATE(2000,9,13)</f>
        <v>36781.99949074074</v>
      </c>
      <c r="M112" s="7">
        <f>=DATE(2000,9,13)</f>
        <v>36781.99949074074</v>
      </c>
      <c r="N112" s="8">
        <v>65</v>
      </c>
      <c r="O112" s="8">
        <v>65</v>
      </c>
      <c r="W112" s="6" t="str">
        <v>Operating Systems;Monitors/Terminals;Other Peripherals;Applications Software(Business;Computer Consulting Services;Internet Services &amp; Software</v>
      </c>
      <c r="X112" s="6" t="str">
        <v>Internet Services &amp; Software</v>
      </c>
      <c r="Y112" s="6" t="str">
        <v>Internet Services &amp; Software</v>
      </c>
      <c r="Z112" s="6" t="str">
        <v>Internet Services &amp; Software</v>
      </c>
      <c r="AA112" s="6" t="str">
        <v>Applications Software(Business;Monitors/Terminals;Other Peripherals;Computer Consulting Services;Internet Services &amp; Software;Operating Systems</v>
      </c>
      <c r="AB112" s="6" t="str">
        <v>Monitors/Terminals;Operating Systems;Applications Software(Business;Internet Services &amp; Software;Computer Consulting Services;Other Peripherals</v>
      </c>
      <c r="AC112" s="8">
        <v>65</v>
      </c>
      <c r="AD112" s="7">
        <f>=DATE(2000,9,13)</f>
        <v>36781.99949074074</v>
      </c>
    </row>
    <row r="113">
      <c r="A113" s="6" t="str">
        <v>05707L</v>
      </c>
      <c r="B113" s="6" t="str">
        <v>United States</v>
      </c>
      <c r="C113" s="6" t="str">
        <v>BET.com LLC</v>
      </c>
      <c r="D113" s="6" t="str">
        <v>BET Holdings II Inc</v>
      </c>
      <c r="F113" s="6" t="str">
        <v>United States</v>
      </c>
      <c r="G113" s="6" t="str">
        <v>RS1W Inc</v>
      </c>
      <c r="H113" s="6" t="str">
        <v>Business Services</v>
      </c>
      <c r="I113" s="6" t="str">
        <v>75110N</v>
      </c>
      <c r="J113" s="6" t="str">
        <v>RS1W Inc</v>
      </c>
      <c r="K113" s="6" t="str">
        <v>RS1W Inc</v>
      </c>
      <c r="L113" s="7">
        <f>=DATE(2000,9,14)</f>
        <v>36782.99949074074</v>
      </c>
      <c r="M113" s="7">
        <f>=DATE(2000,10,3)</f>
        <v>36801.99949074074</v>
      </c>
      <c r="W113" s="6" t="str">
        <v>Internet Services &amp; Software</v>
      </c>
      <c r="X113" s="6" t="str">
        <v>Internet Services &amp; Software</v>
      </c>
      <c r="Y113" s="6" t="str">
        <v>Internet Services &amp; Software</v>
      </c>
      <c r="Z113" s="6" t="str">
        <v>Internet Services &amp; Software</v>
      </c>
      <c r="AA113" s="6" t="str">
        <v>Primary Business not Hi-Tech</v>
      </c>
      <c r="AB113" s="6" t="str">
        <v>Primary Business not Hi-Tech</v>
      </c>
    </row>
    <row r="114">
      <c r="A114" s="6" t="str">
        <v>594918</v>
      </c>
      <c r="B114" s="6" t="str">
        <v>United States</v>
      </c>
      <c r="C114" s="6" t="str">
        <v>Microsoft Corp</v>
      </c>
      <c r="D114" s="6" t="str">
        <v>Microsoft Corp</v>
      </c>
      <c r="F114" s="6" t="str">
        <v>United States</v>
      </c>
      <c r="G114" s="6" t="str">
        <v>Pacific Microsonics Inc</v>
      </c>
      <c r="H114" s="6" t="str">
        <v>Electronic and Electrical Equipment</v>
      </c>
      <c r="I114" s="6" t="str">
        <v>69455F</v>
      </c>
      <c r="J114" s="6" t="str">
        <v>Pacific Microsonics Inc</v>
      </c>
      <c r="K114" s="6" t="str">
        <v>Pacific Microsonics Inc</v>
      </c>
      <c r="L114" s="7">
        <f>=DATE(2000,9,27)</f>
        <v>36795.99949074074</v>
      </c>
      <c r="M114" s="7">
        <f>=DATE(2000,9,27)</f>
        <v>36795.99949074074</v>
      </c>
      <c r="W114" s="6" t="str">
        <v>Applications Software(Business;Internet Services &amp; Software;Other Peripherals;Operating Systems;Monitors/Terminals;Computer Consulting Services</v>
      </c>
      <c r="X114" s="6" t="str">
        <v>Other High Technology Industry;Other Computer Related Svcs</v>
      </c>
      <c r="Y114" s="6" t="str">
        <v>Other Computer Related Svcs;Other High Technology Industry</v>
      </c>
      <c r="Z114" s="6" t="str">
        <v>Other High Technology Industry;Other Computer Related Svcs</v>
      </c>
      <c r="AA114" s="6" t="str">
        <v>Operating Systems;Monitors/Terminals;Other Peripherals;Internet Services &amp; Software;Computer Consulting Services;Applications Software(Business</v>
      </c>
      <c r="AB114" s="6" t="str">
        <v>Other Peripherals;Internet Services &amp; Software;Monitors/Terminals;Operating Systems;Applications Software(Business;Computer Consulting Services</v>
      </c>
    </row>
    <row r="115">
      <c r="A115" s="6" t="str">
        <v>73959W</v>
      </c>
      <c r="B115" s="6" t="str">
        <v>United States</v>
      </c>
      <c r="C115" s="6" t="str">
        <v>PowerSchool Inc</v>
      </c>
      <c r="D115" s="6" t="str">
        <v>PowerSchool Inc</v>
      </c>
      <c r="F115" s="6" t="str">
        <v>United States</v>
      </c>
      <c r="G115" s="6" t="str">
        <v>Nordex International Inc</v>
      </c>
      <c r="H115" s="6" t="str">
        <v>Business Services</v>
      </c>
      <c r="I115" s="6" t="str">
        <v>65580L</v>
      </c>
      <c r="J115" s="6" t="str">
        <v>Nordex International Inc</v>
      </c>
      <c r="K115" s="6" t="str">
        <v>Nordex International Inc</v>
      </c>
      <c r="L115" s="7">
        <f>=DATE(2000,10,10)</f>
        <v>36808.99949074074</v>
      </c>
      <c r="M115" s="7">
        <f>=DATE(2000,10,10)</f>
        <v>36808.99949074074</v>
      </c>
      <c r="W115" s="6" t="str">
        <v>Internet Services &amp; Software;Communication/Network Software</v>
      </c>
      <c r="X115" s="6" t="str">
        <v>Programming Services;Applications Software(Business</v>
      </c>
      <c r="Y115" s="6" t="str">
        <v>Applications Software(Business;Programming Services</v>
      </c>
      <c r="Z115" s="6" t="str">
        <v>Applications Software(Business;Programming Services</v>
      </c>
      <c r="AA115" s="6" t="str">
        <v>Communication/Network Software;Internet Services &amp; Software</v>
      </c>
      <c r="AB115" s="6" t="str">
        <v>Communication/Network Software;Internet Services &amp; Software</v>
      </c>
    </row>
    <row r="116">
      <c r="A116" s="6" t="str">
        <v>05707L</v>
      </c>
      <c r="B116" s="6" t="str">
        <v>United States</v>
      </c>
      <c r="C116" s="6" t="str">
        <v>BET.com LLC</v>
      </c>
      <c r="D116" s="6" t="str">
        <v>BET Holdings II Inc</v>
      </c>
      <c r="F116" s="6" t="str">
        <v>United States</v>
      </c>
      <c r="G116" s="6" t="str">
        <v>360HIPHOP.com</v>
      </c>
      <c r="H116" s="6" t="str">
        <v>Business Services</v>
      </c>
      <c r="I116" s="6" t="str">
        <v>88567R</v>
      </c>
      <c r="J116" s="6" t="str">
        <v>360HIPHOP.com</v>
      </c>
      <c r="K116" s="6" t="str">
        <v>360HIPHOP.com</v>
      </c>
      <c r="L116" s="7">
        <f>=DATE(2000,10,11)</f>
        <v>36809.99949074074</v>
      </c>
      <c r="M116" s="7">
        <f>=DATE(2000,10,11)</f>
        <v>36809.99949074074</v>
      </c>
      <c r="W116" s="6" t="str">
        <v>Internet Services &amp; Software</v>
      </c>
      <c r="X116" s="6" t="str">
        <v>Internet Services &amp; Software</v>
      </c>
      <c r="Y116" s="6" t="str">
        <v>Internet Services &amp; Software</v>
      </c>
      <c r="Z116" s="6" t="str">
        <v>Internet Services &amp; Software</v>
      </c>
      <c r="AA116" s="6" t="str">
        <v>Primary Business not Hi-Tech</v>
      </c>
      <c r="AB116" s="6" t="str">
        <v>Primary Business not Hi-Tech</v>
      </c>
    </row>
    <row r="117">
      <c r="A117" s="6" t="str">
        <v>925653</v>
      </c>
      <c r="B117" s="6" t="str">
        <v>United States</v>
      </c>
      <c r="C117" s="6" t="str">
        <v>Vicinity Corp</v>
      </c>
      <c r="D117" s="6" t="str">
        <v>Vicinity Corp</v>
      </c>
      <c r="F117" s="6" t="str">
        <v>United States</v>
      </c>
      <c r="G117" s="6" t="str">
        <v>NetCreate Systems</v>
      </c>
      <c r="H117" s="6" t="str">
        <v>Prepackaged Software</v>
      </c>
      <c r="I117" s="6" t="str">
        <v>64084Y</v>
      </c>
      <c r="J117" s="6" t="str">
        <v>NetCreate Systems</v>
      </c>
      <c r="K117" s="6" t="str">
        <v>NetCreate Systems</v>
      </c>
      <c r="L117" s="7">
        <f>=DATE(2000,10,26)</f>
        <v>36824.99949074074</v>
      </c>
      <c r="M117" s="7">
        <f>=DATE(2000,10,26)</f>
        <v>36824.99949074074</v>
      </c>
      <c r="W117" s="6" t="str">
        <v>Communication/Network Software;Applications Software(Business;Utilities/File Mgmt Software;Networking Systems (LAN,WAN);Other Computer Related Svcs;Internet Services &amp; Software</v>
      </c>
      <c r="X117" s="6" t="str">
        <v>Communication/Network Software;Internet Services &amp; Software</v>
      </c>
      <c r="Y117" s="6" t="str">
        <v>Communication/Network Software;Internet Services &amp; Software</v>
      </c>
      <c r="Z117" s="6" t="str">
        <v>Internet Services &amp; Software;Communication/Network Software</v>
      </c>
      <c r="AA117" s="6" t="str">
        <v>Networking Systems (LAN,WAN);Other Computer Related Svcs;Communication/Network Software;Utilities/File Mgmt Software;Applications Software(Business;Internet Services &amp; Software</v>
      </c>
      <c r="AB117" s="6" t="str">
        <v>Other Computer Related Svcs;Internet Services &amp; Software;Utilities/File Mgmt Software;Communication/Network Software;Applications Software(Business;Networking Systems (LAN,WAN)</v>
      </c>
    </row>
    <row r="118">
      <c r="A118" s="6" t="str">
        <v>594918</v>
      </c>
      <c r="B118" s="6" t="str">
        <v>United States</v>
      </c>
      <c r="C118" s="6" t="str">
        <v>Microsoft Corp</v>
      </c>
      <c r="D118" s="6" t="str">
        <v>Microsoft Corp</v>
      </c>
      <c r="F118" s="6" t="str">
        <v>United States</v>
      </c>
      <c r="G118" s="6" t="str">
        <v>Chyron Corp</v>
      </c>
      <c r="H118" s="6" t="str">
        <v>Measuring, Medical, Photo Equipment; Clocks</v>
      </c>
      <c r="I118" s="6" t="str">
        <v>171605</v>
      </c>
      <c r="J118" s="6" t="str">
        <v>Interpublic Group of Cos Inc</v>
      </c>
      <c r="K118" s="6" t="str">
        <v>MWW Group Inc</v>
      </c>
      <c r="L118" s="7">
        <f>=DATE(2000,11,29)</f>
        <v>36858.99949074074</v>
      </c>
      <c r="M118" s="7">
        <f>=DATE(2000,11,29)</f>
        <v>36858.99949074074</v>
      </c>
      <c r="N118" s="8">
        <v>6</v>
      </c>
      <c r="O118" s="8">
        <v>6</v>
      </c>
      <c r="P118" s="8" t="str">
        <v>71.95</v>
      </c>
      <c r="R118" s="8">
        <v>-8.3</v>
      </c>
      <c r="S118" s="8">
        <v>57.5</v>
      </c>
      <c r="T118" s="8">
        <v>15.9</v>
      </c>
      <c r="U118" s="8">
        <v>-0.4</v>
      </c>
      <c r="V118" s="8">
        <v>-3.5</v>
      </c>
      <c r="W118" s="6" t="str">
        <v>Applications Software(Business;Other Peripherals;Operating Systems;Monitors/Terminals;Computer Consulting Services;Internet Services &amp; Software</v>
      </c>
      <c r="X118" s="6" t="str">
        <v>Telecommunications Equipment;CAD/CAM/CAE/Graphics Systems;Other Telecommunications Equip</v>
      </c>
      <c r="Y118" s="6" t="str">
        <v>Primary Business not Hi-Tech</v>
      </c>
      <c r="Z118" s="6" t="str">
        <v>Primary Business not Hi-Tech;Internet Services &amp; Software;Computer Consulting Services</v>
      </c>
      <c r="AA118" s="6" t="str">
        <v>Other Peripherals;Computer Consulting Services;Internet Services &amp; Software;Applications Software(Business;Monitors/Terminals;Operating Systems</v>
      </c>
      <c r="AB118" s="6" t="str">
        <v>Other Peripherals;Applications Software(Business;Monitors/Terminals;Operating Systems;Computer Consulting Services;Internet Services &amp; Software</v>
      </c>
      <c r="AC118" s="8">
        <v>6</v>
      </c>
      <c r="AD118" s="7">
        <f>=DATE(2000,12,8)</f>
        <v>36867.99949074074</v>
      </c>
      <c r="AE118" s="8">
        <v>68.748017034</v>
      </c>
      <c r="AF118" s="8" t="str">
        <v>71.95</v>
      </c>
      <c r="AG118" s="8" t="str">
        <v>71.95</v>
      </c>
    </row>
    <row r="119">
      <c r="A119" s="6" t="str">
        <v>84764M</v>
      </c>
      <c r="B119" s="6" t="str">
        <v>United States</v>
      </c>
      <c r="C119" s="6" t="str">
        <v>SpeechWorks International Inc</v>
      </c>
      <c r="D119" s="6" t="str">
        <v>SpeechWorks International Inc</v>
      </c>
      <c r="F119" s="6" t="str">
        <v>United States</v>
      </c>
      <c r="G119" s="6" t="str">
        <v>Eloquent Technology Inc</v>
      </c>
      <c r="H119" s="6" t="str">
        <v>Prepackaged Software</v>
      </c>
      <c r="I119" s="6" t="str">
        <v>29017J</v>
      </c>
      <c r="J119" s="6" t="str">
        <v>Eloquent Technology Inc</v>
      </c>
      <c r="K119" s="6" t="str">
        <v>Eloquent Technology Inc</v>
      </c>
      <c r="L119" s="7">
        <f>=DATE(2000,12,21)</f>
        <v>36880.99949074074</v>
      </c>
      <c r="M119" s="7">
        <f>=DATE(2001,1,5)</f>
        <v>36895.99949074074</v>
      </c>
      <c r="N119" s="8">
        <v>13.425</v>
      </c>
      <c r="O119" s="8">
        <v>16.9125</v>
      </c>
      <c r="W119" s="6" t="str">
        <v>Applications Software(Business;Programming Services;Communication/Network Software</v>
      </c>
      <c r="X119" s="6" t="str">
        <v>Programming Services;Other Software (inq. Games)</v>
      </c>
      <c r="Y119" s="6" t="str">
        <v>Other Software (inq. Games);Programming Services</v>
      </c>
      <c r="Z119" s="6" t="str">
        <v>Other Software (inq. Games);Programming Services</v>
      </c>
      <c r="AA119" s="6" t="str">
        <v>Applications Software(Business;Programming Services;Communication/Network Software</v>
      </c>
      <c r="AB119" s="6" t="str">
        <v>Communication/Network Software;Programming Services;Applications Software(Business</v>
      </c>
      <c r="AC119" s="8">
        <v>16.9125</v>
      </c>
      <c r="AD119" s="7">
        <f>=DATE(2000,12,21)</f>
        <v>36880.99949074074</v>
      </c>
    </row>
    <row r="120">
      <c r="A120" s="6" t="str">
        <v>594918</v>
      </c>
      <c r="B120" s="6" t="str">
        <v>United States</v>
      </c>
      <c r="C120" s="6" t="str">
        <v>Microsoft Corp</v>
      </c>
      <c r="D120" s="6" t="str">
        <v>Microsoft Corp</v>
      </c>
      <c r="F120" s="6" t="str">
        <v>United States</v>
      </c>
      <c r="G120" s="6" t="str">
        <v>Great Plains Software Inc</v>
      </c>
      <c r="H120" s="6" t="str">
        <v>Prepackaged Software</v>
      </c>
      <c r="I120" s="6" t="str">
        <v>39119E</v>
      </c>
      <c r="J120" s="6" t="str">
        <v>Great Plains Software Inc</v>
      </c>
      <c r="K120" s="6" t="str">
        <v>Great Plains Software Inc</v>
      </c>
      <c r="L120" s="7">
        <f>=DATE(2000,12,21)</f>
        <v>36880.99949074074</v>
      </c>
      <c r="M120" s="7">
        <f>=DATE(2001,4,5)</f>
        <v>36985.99949074074</v>
      </c>
      <c r="N120" s="8">
        <v>1146.692</v>
      </c>
      <c r="O120" s="8">
        <v>939.884</v>
      </c>
      <c r="P120" s="8" t="str">
        <v>910.97</v>
      </c>
      <c r="R120" s="8">
        <v>-20.8</v>
      </c>
      <c r="S120" s="8">
        <v>222.2</v>
      </c>
      <c r="T120" s="8">
        <v>4.4</v>
      </c>
      <c r="U120" s="8">
        <v>-19.8</v>
      </c>
      <c r="V120" s="8">
        <v>23.2</v>
      </c>
      <c r="W120" s="6" t="str">
        <v>Monitors/Terminals;Computer Consulting Services;Operating Systems;Internet Services &amp; Software;Other Peripherals;Applications Software(Business</v>
      </c>
      <c r="X120" s="6" t="str">
        <v>Other Software (inq. Games);Applications Software(Business</v>
      </c>
      <c r="Y120" s="6" t="str">
        <v>Applications Software(Business;Other Software (inq. Games)</v>
      </c>
      <c r="Z120" s="6" t="str">
        <v>Applications Software(Business;Other Software (inq. Games)</v>
      </c>
      <c r="AA120" s="6" t="str">
        <v>Other Peripherals;Operating Systems;Computer Consulting Services;Applications Software(Business;Internet Services &amp; Software;Monitors/Terminals</v>
      </c>
      <c r="AB120" s="6" t="str">
        <v>Applications Software(Business;Monitors/Terminals;Internet Services &amp; Software;Operating Systems;Computer Consulting Services;Other Peripherals</v>
      </c>
      <c r="AC120" s="8">
        <v>939.884</v>
      </c>
      <c r="AD120" s="7">
        <f>=DATE(2000,12,21)</f>
        <v>36880.99949074074</v>
      </c>
      <c r="AE120" s="8">
        <v>976.6262396</v>
      </c>
      <c r="AF120" s="8" t="str">
        <v>910.98</v>
      </c>
      <c r="AG120" s="8" t="str">
        <v>1,117.78</v>
      </c>
    </row>
    <row r="121">
      <c r="A121" s="6" t="str">
        <v>591610</v>
      </c>
      <c r="B121" s="6" t="str">
        <v>United States</v>
      </c>
      <c r="C121" s="6" t="str">
        <v>Metro-Goldwyn-Mayer Inc</v>
      </c>
      <c r="D121" s="6" t="str">
        <v>Metro-Goldwyn-Mayer Inc</v>
      </c>
      <c r="F121" s="6" t="str">
        <v>United States</v>
      </c>
      <c r="G121" s="6" t="str">
        <v>Rainbow Media Corp (Cablevision Systems Corp)</v>
      </c>
      <c r="H121" s="6" t="str">
        <v>Radio and Television Broadcasting Stations</v>
      </c>
      <c r="I121" s="6" t="str">
        <v>750813</v>
      </c>
      <c r="J121" s="6" t="str">
        <v>Cablevision Systems Corp</v>
      </c>
      <c r="K121" s="6" t="str">
        <v>Cablevision Systems Corp</v>
      </c>
      <c r="L121" s="7">
        <f>=DATE(2001,2,1)</f>
        <v>36922.99949074074</v>
      </c>
      <c r="M121" s="7">
        <f>=DATE(2001,4,3)</f>
        <v>36983.99949074074</v>
      </c>
      <c r="N121" s="8">
        <v>825</v>
      </c>
      <c r="O121" s="8">
        <v>825</v>
      </c>
      <c r="W121" s="6" t="str">
        <v>Primary Business not Hi-Tech</v>
      </c>
      <c r="X121" s="6" t="str">
        <v>Satellite Communications</v>
      </c>
      <c r="Y121" s="6" t="str">
        <v>Networking Systems (LAN,WAN);Cellular Communications;Internet Services &amp; Software;Satellite Communications</v>
      </c>
      <c r="Z121" s="6" t="str">
        <v>Networking Systems (LAN,WAN);Internet Services &amp; Software;Satellite Communications;Cellular Communications</v>
      </c>
      <c r="AA121" s="6" t="str">
        <v>Primary Business not Hi-Tech</v>
      </c>
      <c r="AB121" s="6" t="str">
        <v>Primary Business not Hi-Tech</v>
      </c>
      <c r="AC121" s="8">
        <v>825</v>
      </c>
      <c r="AD121" s="7">
        <f>=DATE(2001,2,1)</f>
        <v>36922.99949074074</v>
      </c>
      <c r="AF121" s="8" t="str">
        <v>4,125.00</v>
      </c>
      <c r="AG121" s="8" t="str">
        <v>4,125.00</v>
      </c>
    </row>
    <row r="122">
      <c r="A122" s="6" t="str">
        <v>594918</v>
      </c>
      <c r="B122" s="6" t="str">
        <v>United States</v>
      </c>
      <c r="C122" s="6" t="str">
        <v>Microsoft Corp</v>
      </c>
      <c r="D122" s="6" t="str">
        <v>Microsoft Corp</v>
      </c>
      <c r="F122" s="6" t="str">
        <v>United States</v>
      </c>
      <c r="G122" s="6" t="str">
        <v>Audible Inc</v>
      </c>
      <c r="H122" s="6" t="str">
        <v>Business Services</v>
      </c>
      <c r="I122" s="6" t="str">
        <v>05069A</v>
      </c>
      <c r="J122" s="6" t="str">
        <v>Audible Inc</v>
      </c>
      <c r="K122" s="6" t="str">
        <v>Audible Inc</v>
      </c>
      <c r="L122" s="7">
        <f>=DATE(2001,2,12)</f>
        <v>36933.99949074074</v>
      </c>
      <c r="M122" s="7">
        <f>=DATE(2001,2,12)</f>
        <v>36933.99949074074</v>
      </c>
      <c r="N122" s="8">
        <v>10</v>
      </c>
      <c r="O122" s="8">
        <v>10</v>
      </c>
      <c r="R122" s="8">
        <v>-32.3</v>
      </c>
      <c r="S122" s="8">
        <v>4.5</v>
      </c>
      <c r="T122" s="8">
        <v>0.9</v>
      </c>
      <c r="U122" s="8">
        <v>19.8</v>
      </c>
      <c r="V122" s="8">
        <v>-18.6</v>
      </c>
      <c r="W122" s="6" t="str">
        <v>Monitors/Terminals;Computer Consulting Services;Applications Software(Business;Operating Systems;Internet Services &amp; Software;Other Peripherals</v>
      </c>
      <c r="X122" s="6" t="str">
        <v>Internet Services &amp; Software</v>
      </c>
      <c r="Y122" s="6" t="str">
        <v>Internet Services &amp; Software</v>
      </c>
      <c r="Z122" s="6" t="str">
        <v>Internet Services &amp; Software</v>
      </c>
      <c r="AA122" s="6" t="str">
        <v>Operating Systems;Monitors/Terminals;Internet Services &amp; Software;Computer Consulting Services;Applications Software(Business;Other Peripherals</v>
      </c>
      <c r="AB122" s="6" t="str">
        <v>Internet Services &amp; Software;Applications Software(Business;Computer Consulting Services;Other Peripherals;Operating Systems;Monitors/Terminals</v>
      </c>
      <c r="AC122" s="8">
        <v>10</v>
      </c>
      <c r="AD122" s="7">
        <f>=DATE(2001,2,12)</f>
        <v>36933.99949074074</v>
      </c>
    </row>
    <row r="123">
      <c r="A123" s="6" t="str">
        <v>38259P</v>
      </c>
      <c r="B123" s="6" t="str">
        <v>United States</v>
      </c>
      <c r="C123" s="6" t="str">
        <v>Google Inc</v>
      </c>
      <c r="D123" s="6" t="str">
        <v>Alphabet Inc</v>
      </c>
      <c r="F123" s="6" t="str">
        <v>United States</v>
      </c>
      <c r="G123" s="6" t="str">
        <v>Deja.com Inc-Usenet Discussion Service</v>
      </c>
      <c r="H123" s="6" t="str">
        <v>Business Services</v>
      </c>
      <c r="I123" s="6" t="str">
        <v>24483H</v>
      </c>
      <c r="J123" s="6" t="str">
        <v>Deja.com Inc</v>
      </c>
      <c r="K123" s="6" t="str">
        <v>Deja.com Inc</v>
      </c>
      <c r="L123" s="7">
        <f>=DATE(2001,2,12)</f>
        <v>36933.99949074074</v>
      </c>
      <c r="M123" s="7">
        <f>=DATE(2001,2,12)</f>
        <v>36933.99949074074</v>
      </c>
      <c r="W123" s="6" t="str">
        <v>Internet Services &amp; Software</v>
      </c>
      <c r="X123" s="6" t="str">
        <v>Internet Services &amp; Software</v>
      </c>
      <c r="Y123" s="6" t="str">
        <v>Internet Services &amp; Software</v>
      </c>
      <c r="Z123" s="6" t="str">
        <v>Internet Services &amp; Software</v>
      </c>
      <c r="AA123" s="6" t="str">
        <v>Telecommunications Equipment;Programming Services;Computer Consulting Services;Internet Services &amp; Software;Primary Business not Hi-Tech</v>
      </c>
      <c r="AB123" s="6" t="str">
        <v>Programming Services;Computer Consulting Services;Telecommunications Equipment;Primary Business not Hi-Tech;Internet Services &amp; Software</v>
      </c>
    </row>
    <row r="124">
      <c r="A124" s="6" t="str">
        <v>30262G</v>
      </c>
      <c r="B124" s="6" t="str">
        <v>United States</v>
      </c>
      <c r="C124" s="6" t="str">
        <v>FRx Software Corp(Great Software Inc)</v>
      </c>
      <c r="D124" s="6" t="str">
        <v>Great Plains Software Inc</v>
      </c>
      <c r="F124" s="6" t="str">
        <v>United States</v>
      </c>
      <c r="G124" s="6" t="str">
        <v>ebudgets.com</v>
      </c>
      <c r="H124" s="6" t="str">
        <v>Prepackaged Software</v>
      </c>
      <c r="I124" s="6" t="str">
        <v>27899T</v>
      </c>
      <c r="J124" s="6" t="str">
        <v>ebudgets.com</v>
      </c>
      <c r="K124" s="6" t="str">
        <v>ebudgets.com</v>
      </c>
      <c r="L124" s="7">
        <f>=DATE(2001,3,14)</f>
        <v>36963.99949074074</v>
      </c>
      <c r="M124" s="7">
        <f>=DATE(2001,3,30)</f>
        <v>36979.99949074074</v>
      </c>
      <c r="W124" s="6" t="str">
        <v>Other Computer Related Svcs;Other Software (inq. Games);Applications Software(Business</v>
      </c>
      <c r="X124" s="6" t="str">
        <v>Communication/Network Software;Internet Services &amp; Software</v>
      </c>
      <c r="Y124" s="6" t="str">
        <v>Communication/Network Software;Internet Services &amp; Software</v>
      </c>
      <c r="Z124" s="6" t="str">
        <v>Communication/Network Software;Internet Services &amp; Software</v>
      </c>
      <c r="AA124" s="6" t="str">
        <v>Applications Software(Business;Other Software (inq. Games)</v>
      </c>
      <c r="AB124" s="6" t="str">
        <v>Other Software (inq. Games);Applications Software(Business</v>
      </c>
    </row>
    <row r="125">
      <c r="A125" s="6" t="str">
        <v>037833</v>
      </c>
      <c r="B125" s="6" t="str">
        <v>United States</v>
      </c>
      <c r="C125" s="6" t="str">
        <v>Apple Computer Inc</v>
      </c>
      <c r="D125" s="6" t="str">
        <v>Apple Computer Inc</v>
      </c>
      <c r="F125" s="6" t="str">
        <v>United States</v>
      </c>
      <c r="G125" s="6" t="str">
        <v>PowerSchool Inc</v>
      </c>
      <c r="H125" s="6" t="str">
        <v>Business Services</v>
      </c>
      <c r="I125" s="6" t="str">
        <v>73959W</v>
      </c>
      <c r="J125" s="6" t="str">
        <v>PowerSchool Inc</v>
      </c>
      <c r="K125" s="6" t="str">
        <v>PowerSchool Inc</v>
      </c>
      <c r="L125" s="7">
        <f>=DATE(2001,3,14)</f>
        <v>36963.99949074074</v>
      </c>
      <c r="M125" s="7">
        <f>=DATE(2001,12,31)</f>
        <v>37255.99949074074</v>
      </c>
      <c r="N125" s="8">
        <v>62</v>
      </c>
      <c r="O125" s="8">
        <v>62</v>
      </c>
      <c r="W125" s="6" t="str">
        <v>Micro-Computers (PCs);Disk Drives;Other Software (inq. Games);Monitors/Terminals;Printers;Other Peripherals;Mainframes &amp; Super Computers;Portable Computers</v>
      </c>
      <c r="X125" s="6" t="str">
        <v>Communication/Network Software;Internet Services &amp; Software</v>
      </c>
      <c r="Y125" s="6" t="str">
        <v>Internet Services &amp; Software;Communication/Network Software</v>
      </c>
      <c r="Z125" s="6" t="str">
        <v>Internet Services &amp; Software;Communication/Network Software</v>
      </c>
      <c r="AA125" s="6" t="str">
        <v>Other Peripherals;Mainframes &amp; Super Computers;Micro-Computers (PCs);Portable Computers;Other Software (inq. Games);Monitors/Terminals;Printers;Disk Drives</v>
      </c>
      <c r="AB125" s="6" t="str">
        <v>Other Software (inq. Games);Printers;Portable Computers;Mainframes &amp; Super Computers;Monitors/Terminals;Other Peripherals;Disk Drives;Micro-Computers (PCs)</v>
      </c>
      <c r="AC125" s="8">
        <v>62</v>
      </c>
      <c r="AD125" s="7">
        <f>=DATE(2001,3,14)</f>
        <v>36963.99949074074</v>
      </c>
    </row>
    <row r="126">
      <c r="A126" s="6" t="str">
        <v>59530F</v>
      </c>
      <c r="B126" s="6" t="str">
        <v>United States</v>
      </c>
      <c r="C126" s="6" t="str">
        <v>Microsoft Great Plains Business Solutions</v>
      </c>
      <c r="D126" s="6" t="str">
        <v>Microsoft Corp</v>
      </c>
      <c r="F126" s="6" t="str">
        <v>United States</v>
      </c>
      <c r="G126" s="6" t="str">
        <v>CEP Systems Inc-Certain Assets</v>
      </c>
      <c r="H126" s="6" t="str">
        <v>Prepackaged Software</v>
      </c>
      <c r="I126" s="6" t="str">
        <v>12754K</v>
      </c>
      <c r="J126" s="6" t="str">
        <v>CEP Systems Inc</v>
      </c>
      <c r="K126" s="6" t="str">
        <v>CEP Systems Inc</v>
      </c>
      <c r="L126" s="7">
        <f>=DATE(2001,5,7)</f>
        <v>37017.99949074074</v>
      </c>
      <c r="M126" s="7">
        <f>=DATE(2001,5,7)</f>
        <v>37017.99949074074</v>
      </c>
      <c r="W126" s="6" t="str">
        <v>Applications Software(Business;Other Software (inq. Games)</v>
      </c>
      <c r="X126" s="6" t="str">
        <v>Other Software (inq. Games)</v>
      </c>
      <c r="Y126" s="6" t="str">
        <v>Other Software (inq. Games)</v>
      </c>
      <c r="Z126" s="6" t="str">
        <v>Other Software (inq. Games)</v>
      </c>
      <c r="AA126" s="6" t="str">
        <v>Computer Consulting Services;Applications Software(Business;Monitors/Terminals;Internet Services &amp; Software;Other Peripherals;Operating Systems</v>
      </c>
      <c r="AB126" s="6" t="str">
        <v>Applications Software(Business;Operating Systems;Internet Services &amp; Software;Computer Consulting Services;Other Peripherals;Monitors/Terminals</v>
      </c>
    </row>
    <row r="127">
      <c r="A127" s="6" t="str">
        <v>64120Z</v>
      </c>
      <c r="B127" s="6" t="str">
        <v>United States</v>
      </c>
      <c r="C127" s="6" t="str">
        <v>Network Innovations Corp (Apple Computer Inc)</v>
      </c>
      <c r="D127" s="6" t="str">
        <v>Apple Computer Inc</v>
      </c>
      <c r="F127" s="6" t="str">
        <v>United States</v>
      </c>
      <c r="G127" s="6" t="str">
        <v>bluebuzz.com Inc</v>
      </c>
      <c r="H127" s="6" t="str">
        <v>Business Services</v>
      </c>
      <c r="I127" s="6" t="str">
        <v>09610F</v>
      </c>
      <c r="J127" s="6" t="str">
        <v>bluebuzz.com Inc</v>
      </c>
      <c r="K127" s="6" t="str">
        <v>bluebuzz.com Inc</v>
      </c>
      <c r="L127" s="7">
        <f>=DATE(2001,5,11)</f>
        <v>37021.99949074074</v>
      </c>
      <c r="M127" s="7">
        <f>=DATE(2001,5,11)</f>
        <v>37021.99949074074</v>
      </c>
      <c r="W127" s="6" t="str">
        <v>Other Software (inq. Games)</v>
      </c>
      <c r="X127" s="6" t="str">
        <v>Internet Services &amp; Software;Communication/Network Software</v>
      </c>
      <c r="Y127" s="6" t="str">
        <v>Internet Services &amp; Software;Communication/Network Software</v>
      </c>
      <c r="Z127" s="6" t="str">
        <v>Communication/Network Software;Internet Services &amp; Software</v>
      </c>
      <c r="AA127" s="6" t="str">
        <v>Disk Drives;Other Peripherals;Other Software (inq. Games);Printers;Mainframes &amp; Super Computers;Monitors/Terminals;Portable Computers;Micro-Computers (PCs)</v>
      </c>
      <c r="AB127" s="6" t="str">
        <v>Monitors/Terminals;Disk Drives;Mainframes &amp; Super Computers;Printers;Micro-Computers (PCs);Portable Computers;Other Software (inq. Games);Other Peripherals</v>
      </c>
    </row>
    <row r="128">
      <c r="A128" s="6" t="str">
        <v>037833</v>
      </c>
      <c r="B128" s="6" t="str">
        <v>United States</v>
      </c>
      <c r="C128" s="6" t="str">
        <v>Apple Computer Inc</v>
      </c>
      <c r="D128" s="6" t="str">
        <v>Apple Computer Inc</v>
      </c>
      <c r="F128" s="6" t="str">
        <v>United States</v>
      </c>
      <c r="G128" s="6" t="str">
        <v>Spruce Technologies Inc(Japan Information Processing Service Co)</v>
      </c>
      <c r="H128" s="6" t="str">
        <v>Prepackaged Software</v>
      </c>
      <c r="I128" s="6" t="str">
        <v>85208C</v>
      </c>
      <c r="J128" s="6" t="str">
        <v>Japan Information Processing Service Co Ltd</v>
      </c>
      <c r="K128" s="6" t="str">
        <v>Japan Information Processing Service Co Ltd</v>
      </c>
      <c r="L128" s="7">
        <f>=DATE(2001,6,29)</f>
        <v>37070.99949074074</v>
      </c>
      <c r="M128" s="7">
        <f>=DATE(2001,7,9)</f>
        <v>37080.99949074074</v>
      </c>
      <c r="W128" s="6" t="str">
        <v>Micro-Computers (PCs);Disk Drives;Other Software (inq. Games);Monitors/Terminals;Mainframes &amp; Super Computers;Other Peripherals;Printers;Portable Computers</v>
      </c>
      <c r="X128" s="6" t="str">
        <v>Other Software (inq. Games)</v>
      </c>
      <c r="Y128" s="6" t="str">
        <v>Data Processing Services</v>
      </c>
      <c r="Z128" s="6" t="str">
        <v>Data Processing Services</v>
      </c>
      <c r="AA128" s="6" t="str">
        <v>Monitors/Terminals;Portable Computers;Mainframes &amp; Super Computers;Micro-Computers (PCs);Disk Drives;Other Peripherals;Other Software (inq. Games);Printers</v>
      </c>
      <c r="AB128" s="6" t="str">
        <v>Mainframes &amp; Super Computers;Portable Computers;Other Software (inq. Games);Micro-Computers (PCs);Disk Drives;Monitors/Terminals;Printers;Other Peripherals</v>
      </c>
    </row>
    <row r="129">
      <c r="A129" s="6" t="str">
        <v>38259P</v>
      </c>
      <c r="B129" s="6" t="str">
        <v>United States</v>
      </c>
      <c r="C129" s="6" t="str">
        <v>Google Inc</v>
      </c>
      <c r="D129" s="6" t="str">
        <v>Alphabet Inc</v>
      </c>
      <c r="F129" s="6" t="str">
        <v>United States</v>
      </c>
      <c r="G129" s="6" t="str">
        <v>Outride Inc-Technology Assets</v>
      </c>
      <c r="H129" s="6" t="str">
        <v>Business Services</v>
      </c>
      <c r="I129" s="6" t="str">
        <v>69024T</v>
      </c>
      <c r="J129" s="6" t="str">
        <v>Outride Inc</v>
      </c>
      <c r="K129" s="6" t="str">
        <v>Outride Inc</v>
      </c>
      <c r="L129" s="7">
        <f>=DATE(2001,9,20)</f>
        <v>37153.99949074074</v>
      </c>
      <c r="M129" s="7">
        <f>=DATE(2001,9,20)</f>
        <v>37153.99949074074</v>
      </c>
      <c r="W129" s="6" t="str">
        <v>Internet Services &amp; Software</v>
      </c>
      <c r="X129" s="6" t="str">
        <v>Internet Services &amp; Software</v>
      </c>
      <c r="Y129" s="6" t="str">
        <v>Internet Services &amp; Software</v>
      </c>
      <c r="Z129" s="6" t="str">
        <v>Internet Services &amp; Software</v>
      </c>
      <c r="AA129" s="6" t="str">
        <v>Programming Services;Primary Business not Hi-Tech;Internet Services &amp; Software;Computer Consulting Services;Telecommunications Equipment</v>
      </c>
      <c r="AB129" s="6" t="str">
        <v>Computer Consulting Services;Internet Services &amp; Software;Programming Services;Telecommunications Equipment;Primary Business not Hi-Tech</v>
      </c>
    </row>
    <row r="130">
      <c r="A130" s="6" t="str">
        <v>03156X</v>
      </c>
      <c r="B130" s="6" t="str">
        <v>United States</v>
      </c>
      <c r="C130" s="6" t="str">
        <v>Amicore</v>
      </c>
      <c r="D130" s="6" t="str">
        <v>Pfizer Inc</v>
      </c>
      <c r="F130" s="6" t="str">
        <v>United States</v>
      </c>
      <c r="G130" s="6" t="str">
        <v>PenChart Corp</v>
      </c>
      <c r="H130" s="6" t="str">
        <v>Prepackaged Software</v>
      </c>
      <c r="I130" s="6" t="str">
        <v>70662K</v>
      </c>
      <c r="J130" s="6" t="str">
        <v>PenChart Corp</v>
      </c>
      <c r="K130" s="6" t="str">
        <v>PenChart Corp</v>
      </c>
      <c r="L130" s="7">
        <f>=DATE(2001,10,10)</f>
        <v>37173.99949074074</v>
      </c>
      <c r="M130" s="7">
        <f>=DATE(2001,10,10)</f>
        <v>37173.99949074074</v>
      </c>
      <c r="W130" s="6" t="str">
        <v>Other Software (inq. Games)</v>
      </c>
      <c r="X130" s="6" t="str">
        <v>Other Software (inq. Games)</v>
      </c>
      <c r="Y130" s="6" t="str">
        <v>Other Software (inq. Games)</v>
      </c>
      <c r="Z130" s="6" t="str">
        <v>Other Software (inq. Games)</v>
      </c>
      <c r="AA130" s="6" t="str">
        <v>Other Biotechnology;Medicinal Chemicals;Over-The-Counter Drugs;Vaccines/Specialty Drugs;General Pharmaceuticals</v>
      </c>
      <c r="AB130" s="6" t="str">
        <v>Medicinal Chemicals;Vaccines/Specialty Drugs;General Pharmaceuticals;Other Biotechnology;Over-The-Counter Drugs</v>
      </c>
    </row>
    <row r="131">
      <c r="A131" s="6" t="str">
        <v>023135</v>
      </c>
      <c r="B131" s="6" t="str">
        <v>United States</v>
      </c>
      <c r="C131" s="6" t="str">
        <v>Amazon.com Inc</v>
      </c>
      <c r="D131" s="6" t="str">
        <v>Amazon.com Inc</v>
      </c>
      <c r="E131" s="6" t="str">
        <v>Frys Electronics</v>
      </c>
      <c r="F131" s="6" t="str">
        <v>United States</v>
      </c>
      <c r="G131" s="6" t="str">
        <v>Egghead.com Inc d</v>
      </c>
      <c r="H131" s="6" t="str">
        <v>Miscellaneous Retail Trade</v>
      </c>
      <c r="I131" s="6" t="str">
        <v>282329</v>
      </c>
      <c r="J131" s="6" t="str">
        <v>Egghead.com Inc d</v>
      </c>
      <c r="K131" s="6" t="str">
        <v>Egghead.com Inc d</v>
      </c>
      <c r="L131" s="7">
        <f>=DATE(2001,12,4)</f>
        <v>37228.99949074074</v>
      </c>
      <c r="M131" s="7">
        <f>=DATE(2001,12,4)</f>
        <v>37228.99949074074</v>
      </c>
      <c r="N131" s="8">
        <v>6.1</v>
      </c>
      <c r="O131" s="8">
        <v>6.1</v>
      </c>
      <c r="R131" s="8">
        <v>-45.3</v>
      </c>
      <c r="S131" s="8">
        <v>405.6</v>
      </c>
      <c r="T131" s="8">
        <v>4.2</v>
      </c>
      <c r="U131" s="8">
        <v>1.3</v>
      </c>
      <c r="V131" s="8">
        <v>-46.1</v>
      </c>
      <c r="W131" s="6" t="str">
        <v>Primary Business not Hi-Tech</v>
      </c>
      <c r="X131" s="6" t="str">
        <v>Internet Services &amp; Software</v>
      </c>
      <c r="Y131" s="6" t="str">
        <v>Internet Services &amp; Software</v>
      </c>
      <c r="Z131" s="6" t="str">
        <v>Internet Services &amp; Software</v>
      </c>
      <c r="AA131" s="6" t="str">
        <v>Primary Business not Hi-Tech</v>
      </c>
      <c r="AB131" s="6" t="str">
        <v>Primary Business not Hi-Tech</v>
      </c>
      <c r="AC131" s="8">
        <v>6.1</v>
      </c>
      <c r="AD131" s="7">
        <f>=DATE(2001,12,4)</f>
        <v>37228.99949074074</v>
      </c>
    </row>
    <row r="132">
      <c r="A132" s="6" t="str">
        <v>037833</v>
      </c>
      <c r="B132" s="6" t="str">
        <v>United States</v>
      </c>
      <c r="C132" s="6" t="str">
        <v>Apple Computer Inc</v>
      </c>
      <c r="D132" s="6" t="str">
        <v>Apple Computer Inc</v>
      </c>
      <c r="F132" s="6" t="str">
        <v>United States</v>
      </c>
      <c r="G132" s="6" t="str">
        <v>Nothing Real LLC</v>
      </c>
      <c r="H132" s="6" t="str">
        <v>Prepackaged Software</v>
      </c>
      <c r="I132" s="6" t="str">
        <v>66813V</v>
      </c>
      <c r="J132" s="6" t="str">
        <v>Nothing Real LLC</v>
      </c>
      <c r="K132" s="6" t="str">
        <v>Nothing Real LLC</v>
      </c>
      <c r="L132" s="7">
        <f>=DATE(2002,2,1)</f>
        <v>37287.99949074074</v>
      </c>
      <c r="M132" s="7">
        <f>=DATE(2002,2,1)</f>
        <v>37287.99949074074</v>
      </c>
      <c r="N132" s="8">
        <v>15</v>
      </c>
      <c r="O132" s="8">
        <v>15</v>
      </c>
      <c r="W132" s="6" t="str">
        <v>Mainframes &amp; Super Computers;Monitors/Terminals;Portable Computers;Other Peripherals;Disk Drives;Printers;Other Software (inq. Games);Micro-Computers (PCs)</v>
      </c>
      <c r="X132" s="6" t="str">
        <v>Other Software (inq. Games)</v>
      </c>
      <c r="Y132" s="6" t="str">
        <v>Other Software (inq. Games)</v>
      </c>
      <c r="Z132" s="6" t="str">
        <v>Other Software (inq. Games)</v>
      </c>
      <c r="AA132" s="6" t="str">
        <v>Printers;Monitors/Terminals;Other Software (inq. Games);Mainframes &amp; Super Computers;Disk Drives;Other Peripherals;Portable Computers;Micro-Computers (PCs)</v>
      </c>
      <c r="AB132" s="6" t="str">
        <v>Other Peripherals;Monitors/Terminals;Printers;Disk Drives;Micro-Computers (PCs);Other Software (inq. Games);Portable Computers;Mainframes &amp; Super Computers</v>
      </c>
      <c r="AC132" s="8">
        <v>15</v>
      </c>
      <c r="AD132" s="7">
        <f>=DATE(2002,2,1)</f>
        <v>37287.99949074074</v>
      </c>
    </row>
    <row r="133">
      <c r="A133" s="6" t="str">
        <v>594918</v>
      </c>
      <c r="B133" s="6" t="str">
        <v>United States</v>
      </c>
      <c r="C133" s="6" t="str">
        <v>Microsoft Corp</v>
      </c>
      <c r="D133" s="6" t="str">
        <v>Microsoft Corp</v>
      </c>
      <c r="F133" s="6" t="str">
        <v>United States</v>
      </c>
      <c r="G133" s="6" t="str">
        <v>USA Networks Inc</v>
      </c>
      <c r="H133" s="6" t="str">
        <v>Radio and Television Broadcasting Stations</v>
      </c>
      <c r="I133" s="6" t="str">
        <v>U9032T</v>
      </c>
      <c r="J133" s="6" t="str">
        <v>USA Networks Inc</v>
      </c>
      <c r="K133" s="6" t="str">
        <v>USA Networks Inc</v>
      </c>
      <c r="L133" s="7">
        <f>=DATE(2002,2,14)</f>
        <v>37300.99949074074</v>
      </c>
      <c r="M133" s="7">
        <f>=DATE(2002,2,14)</f>
        <v>37300.99949074074</v>
      </c>
      <c r="R133" s="8">
        <v>-125.052</v>
      </c>
      <c r="S133" s="8">
        <v>5284.807</v>
      </c>
      <c r="T133" s="8">
        <v>64.008</v>
      </c>
      <c r="U133" s="8">
        <v>51.935</v>
      </c>
      <c r="V133" s="8">
        <v>621.874</v>
      </c>
      <c r="W133" s="6" t="str">
        <v>Computer Consulting Services;Other Peripherals;Applications Software(Business;Internet Services &amp; Software;Operating Systems;Monitors/Terminals</v>
      </c>
      <c r="X133" s="6" t="str">
        <v>Internet Services &amp; Software</v>
      </c>
      <c r="Y133" s="6" t="str">
        <v>Internet Services &amp; Software</v>
      </c>
      <c r="Z133" s="6" t="str">
        <v>Internet Services &amp; Software</v>
      </c>
      <c r="AA133" s="6" t="str">
        <v>Applications Software(Business;Internet Services &amp; Software;Operating Systems;Computer Consulting Services;Other Peripherals;Monitors/Terminals</v>
      </c>
      <c r="AB133" s="6" t="str">
        <v>Operating Systems;Monitors/Terminals;Applications Software(Business;Internet Services &amp; Software;Computer Consulting Services;Other Peripherals</v>
      </c>
    </row>
    <row r="134">
      <c r="A134" s="6" t="str">
        <v>037833</v>
      </c>
      <c r="B134" s="6" t="str">
        <v>United States</v>
      </c>
      <c r="C134" s="6" t="str">
        <v>Apple Computer Inc</v>
      </c>
      <c r="D134" s="6" t="str">
        <v>Apple Computer Inc</v>
      </c>
      <c r="F134" s="6" t="str">
        <v>United States</v>
      </c>
      <c r="G134" s="6" t="str">
        <v>Zayante Inc</v>
      </c>
      <c r="H134" s="6" t="str">
        <v>Prepackaged Software</v>
      </c>
      <c r="I134" s="6" t="str">
        <v>98919J</v>
      </c>
      <c r="J134" s="6" t="str">
        <v>Zayante Inc</v>
      </c>
      <c r="K134" s="6" t="str">
        <v>Zayante Inc</v>
      </c>
      <c r="L134" s="7">
        <f>=DATE(2002,4,4)</f>
        <v>37349.99949074074</v>
      </c>
      <c r="M134" s="7">
        <f>=DATE(2002,4,4)</f>
        <v>37349.99949074074</v>
      </c>
      <c r="N134" s="8">
        <v>13</v>
      </c>
      <c r="O134" s="8">
        <v>13</v>
      </c>
      <c r="W134" s="6" t="str">
        <v>Other Peripherals;Micro-Computers (PCs);Printers;Portable Computers;Disk Drives;Mainframes &amp; Super Computers;Other Software (inq. Games);Monitors/Terminals</v>
      </c>
      <c r="X134" s="6" t="str">
        <v>Programming Services;Other Software (inq. Games)</v>
      </c>
      <c r="Y134" s="6" t="str">
        <v>Other Software (inq. Games);Programming Services</v>
      </c>
      <c r="Z134" s="6" t="str">
        <v>Programming Services;Other Software (inq. Games)</v>
      </c>
      <c r="AA134" s="6" t="str">
        <v>Micro-Computers (PCs);Other Software (inq. Games);Portable Computers;Monitors/Terminals;Mainframes &amp; Super Computers;Other Peripherals;Disk Drives;Printers</v>
      </c>
      <c r="AB134" s="6" t="str">
        <v>Other Software (inq. Games);Disk Drives;Portable Computers;Monitors/Terminals;Other Peripherals;Mainframes &amp; Super Computers;Printers;Micro-Computers (PCs)</v>
      </c>
      <c r="AC134" s="8">
        <v>13</v>
      </c>
      <c r="AD134" s="7">
        <f>=DATE(2002,4,8)</f>
        <v>37353.99949074074</v>
      </c>
    </row>
    <row r="135">
      <c r="A135" s="6" t="str">
        <v>03156X</v>
      </c>
      <c r="B135" s="6" t="str">
        <v>United States</v>
      </c>
      <c r="C135" s="6" t="str">
        <v>Amicore</v>
      </c>
      <c r="D135" s="6" t="str">
        <v>Pfizer Inc</v>
      </c>
      <c r="F135" s="6" t="str">
        <v>United States</v>
      </c>
      <c r="G135" s="6" t="str">
        <v>CareWide Inc-Certain Assets</v>
      </c>
      <c r="H135" s="6" t="str">
        <v>Business Services</v>
      </c>
      <c r="I135" s="6" t="str">
        <v>14175V</v>
      </c>
      <c r="J135" s="6" t="str">
        <v>CareWide Inc</v>
      </c>
      <c r="K135" s="6" t="str">
        <v>CareWide Inc</v>
      </c>
      <c r="L135" s="7">
        <f>=DATE(2002,4,10)</f>
        <v>37355.99949074074</v>
      </c>
      <c r="M135" s="7">
        <f>=DATE(2002,4,10)</f>
        <v>37355.99949074074</v>
      </c>
      <c r="W135" s="6" t="str">
        <v>Other Software (inq. Games)</v>
      </c>
      <c r="X135" s="6" t="str">
        <v>Primary Business not Hi-Tech;Applications Software(Business</v>
      </c>
      <c r="Y135" s="6" t="str">
        <v>Applications Software(Business;Primary Business not Hi-Tech</v>
      </c>
      <c r="Z135" s="6" t="str">
        <v>Primary Business not Hi-Tech;Applications Software(Business</v>
      </c>
      <c r="AA135" s="6" t="str">
        <v>Vaccines/Specialty Drugs;General Pharmaceuticals;Other Biotechnology;Medicinal Chemicals;Over-The-Counter Drugs</v>
      </c>
      <c r="AB135" s="6" t="str">
        <v>Other Biotechnology;Vaccines/Specialty Drugs;Medicinal Chemicals;Over-The-Counter Drugs;General Pharmaceuticals</v>
      </c>
    </row>
    <row r="136">
      <c r="A136" s="6" t="str">
        <v>594918</v>
      </c>
      <c r="B136" s="6" t="str">
        <v>United States</v>
      </c>
      <c r="C136" s="6" t="str">
        <v>Microsoft Corp</v>
      </c>
      <c r="D136" s="6" t="str">
        <v>Microsoft Corp</v>
      </c>
      <c r="F136" s="6" t="str">
        <v>United States</v>
      </c>
      <c r="G136" s="6" t="str">
        <v>Sales Management Systems Inc</v>
      </c>
      <c r="H136" s="6" t="str">
        <v>Prepackaged Software</v>
      </c>
      <c r="I136" s="6" t="str">
        <v>79463R</v>
      </c>
      <c r="J136" s="6" t="str">
        <v>Sales Management Systems Inc</v>
      </c>
      <c r="K136" s="6" t="str">
        <v>Sales Management Systems Inc</v>
      </c>
      <c r="L136" s="7">
        <f>=DATE(2002,5,22)</f>
        <v>37397.99949074074</v>
      </c>
      <c r="M136" s="7">
        <f>=DATE(2002,5,22)</f>
        <v>37397.99949074074</v>
      </c>
      <c r="W136" s="6" t="str">
        <v>Computer Consulting Services;Other Peripherals;Applications Software(Business;Operating Systems;Internet Services &amp; Software;Monitors/Terminals</v>
      </c>
      <c r="X136" s="6" t="str">
        <v>Other Software (inq. Games)</v>
      </c>
      <c r="Y136" s="6" t="str">
        <v>Other Software (inq. Games)</v>
      </c>
      <c r="Z136" s="6" t="str">
        <v>Other Software (inq. Games)</v>
      </c>
      <c r="AA136" s="6" t="str">
        <v>Computer Consulting Services;Internet Services &amp; Software;Operating Systems;Monitors/Terminals;Applications Software(Business;Other Peripherals</v>
      </c>
      <c r="AB136" s="6" t="str">
        <v>Operating Systems;Other Peripherals;Monitors/Terminals;Applications Software(Business;Computer Consulting Services;Internet Services &amp; Software</v>
      </c>
    </row>
    <row r="137">
      <c r="A137" s="6" t="str">
        <v>38018F</v>
      </c>
      <c r="B137" s="6" t="str">
        <v>United States</v>
      </c>
      <c r="C137" s="6" t="str">
        <v>Go Toast LLC</v>
      </c>
      <c r="D137" s="6" t="str">
        <v>Go Toast LLC</v>
      </c>
      <c r="F137" s="6" t="str">
        <v>United States</v>
      </c>
      <c r="G137" s="6" t="str">
        <v>Clickpatrol.com-Certain Assets</v>
      </c>
      <c r="H137" s="6" t="str">
        <v>Business Services</v>
      </c>
      <c r="I137" s="6" t="str">
        <v>18890V</v>
      </c>
      <c r="J137" s="6" t="str">
        <v>ClickPatrol.com</v>
      </c>
      <c r="K137" s="6" t="str">
        <v>ClickPatrol.com</v>
      </c>
      <c r="L137" s="7">
        <f>=DATE(2002,6,3)</f>
        <v>37409.99949074074</v>
      </c>
      <c r="M137" s="7">
        <f>=DATE(2002,6,3)</f>
        <v>37409.99949074074</v>
      </c>
      <c r="W137" s="6" t="str">
        <v>Communication/Network Software;Internet Services &amp; Software</v>
      </c>
      <c r="X137" s="6" t="str">
        <v>Communication/Network Software;Internet Services &amp; Software</v>
      </c>
      <c r="Y137" s="6" t="str">
        <v>Communication/Network Software;Internet Services &amp; Software</v>
      </c>
      <c r="Z137" s="6" t="str">
        <v>Internet Services &amp; Software;Communication/Network Software</v>
      </c>
      <c r="AA137" s="6" t="str">
        <v>Internet Services &amp; Software;Communication/Network Software</v>
      </c>
      <c r="AB137" s="6" t="str">
        <v>Internet Services &amp; Software;Communication/Network Software</v>
      </c>
    </row>
    <row r="138">
      <c r="A138" s="6" t="str">
        <v>037833</v>
      </c>
      <c r="B138" s="6" t="str">
        <v>United States</v>
      </c>
      <c r="C138" s="6" t="str">
        <v>Apple Computer Inc</v>
      </c>
      <c r="D138" s="6" t="str">
        <v>Apple Computer Inc</v>
      </c>
      <c r="F138" s="6" t="str">
        <v>United States</v>
      </c>
      <c r="G138" s="6" t="str">
        <v>Silicon Grail Corp-Chalice &amp; Rayz Digital Effects Products</v>
      </c>
      <c r="H138" s="6" t="str">
        <v>Prepackaged Software</v>
      </c>
      <c r="I138" s="6" t="str">
        <v>82701T</v>
      </c>
      <c r="J138" s="6" t="str">
        <v>Silicon Grail Corp</v>
      </c>
      <c r="K138" s="6" t="str">
        <v>Silicon Grail Corp</v>
      </c>
      <c r="L138" s="7">
        <f>=DATE(2002,6,11)</f>
        <v>37417.99949074074</v>
      </c>
      <c r="M138" s="7">
        <f>=DATE(2002,6,11)</f>
        <v>37417.99949074074</v>
      </c>
      <c r="W138" s="6" t="str">
        <v>Portable Computers;Other Software (inq. Games);Micro-Computers (PCs);Other Peripherals;Mainframes &amp; Super Computers;Monitors/Terminals;Disk Drives;Printers</v>
      </c>
      <c r="X138" s="6" t="str">
        <v>Other Software (inq. Games)</v>
      </c>
      <c r="Y138" s="6" t="str">
        <v>Other Software (inq. Games)</v>
      </c>
      <c r="Z138" s="6" t="str">
        <v>Other Software (inq. Games)</v>
      </c>
      <c r="AA138" s="6" t="str">
        <v>Printers;Portable Computers;Other Software (inq. Games);Mainframes &amp; Super Computers;Other Peripherals;Micro-Computers (PCs);Monitors/Terminals;Disk Drives</v>
      </c>
      <c r="AB138" s="6" t="str">
        <v>Micro-Computers (PCs);Monitors/Terminals;Mainframes &amp; Super Computers;Printers;Other Peripherals;Disk Drives;Other Software (inq. Games);Portable Computers</v>
      </c>
    </row>
    <row r="139">
      <c r="A139" s="6" t="str">
        <v>037833</v>
      </c>
      <c r="B139" s="6" t="str">
        <v>United States</v>
      </c>
      <c r="C139" s="6" t="str">
        <v>Apple Computer Inc</v>
      </c>
      <c r="D139" s="6" t="str">
        <v>Apple Computer Inc</v>
      </c>
      <c r="F139" s="6" t="str">
        <v>United States</v>
      </c>
      <c r="G139" s="6" t="str">
        <v>Propel Software Corp</v>
      </c>
      <c r="H139" s="6" t="str">
        <v>Prepackaged Software</v>
      </c>
      <c r="I139" s="6" t="str">
        <v>74343K</v>
      </c>
      <c r="J139" s="6" t="str">
        <v>Propel Software Corp</v>
      </c>
      <c r="K139" s="6" t="str">
        <v>Propel Software Corp</v>
      </c>
      <c r="L139" s="7">
        <f>=DATE(2002,6,20)</f>
        <v>37426.99949074074</v>
      </c>
      <c r="M139" s="7">
        <f>=DATE(2002,6,20)</f>
        <v>37426.99949074074</v>
      </c>
      <c r="W139" s="6" t="str">
        <v>Disk Drives;Micro-Computers (PCs);Other Software (inq. Games);Mainframes &amp; Super Computers;Portable Computers;Other Peripherals;Printers;Monitors/Terminals</v>
      </c>
      <c r="X139" s="6" t="str">
        <v>Other Software (inq. Games)</v>
      </c>
      <c r="Y139" s="6" t="str">
        <v>Other Software (inq. Games)</v>
      </c>
      <c r="Z139" s="6" t="str">
        <v>Other Software (inq. Games)</v>
      </c>
      <c r="AA139" s="6" t="str">
        <v>Portable Computers;Other Software (inq. Games);Other Peripherals;Micro-Computers (PCs);Printers;Monitors/Terminals;Disk Drives;Mainframes &amp; Super Computers</v>
      </c>
      <c r="AB139" s="6" t="str">
        <v>Micro-Computers (PCs);Portable Computers;Monitors/Terminals;Mainframes &amp; Super Computers;Other Software (inq. Games);Disk Drives;Other Peripherals;Printers</v>
      </c>
    </row>
    <row r="140">
      <c r="A140" s="6" t="str">
        <v>84764M</v>
      </c>
      <c r="B140" s="6" t="str">
        <v>United States</v>
      </c>
      <c r="C140" s="6" t="str">
        <v>SpeechWorks International Inc</v>
      </c>
      <c r="D140" s="6" t="str">
        <v>SpeechWorks International Inc</v>
      </c>
      <c r="F140" s="6" t="str">
        <v>United States</v>
      </c>
      <c r="G140" s="6" t="str">
        <v>T-Netix Inc-SpeakEZ Voice Print Technology</v>
      </c>
      <c r="H140" s="6" t="str">
        <v>Prepackaged Software</v>
      </c>
      <c r="I140" s="6" t="str">
        <v>87454Q</v>
      </c>
      <c r="J140" s="6" t="str">
        <v>T Netix Inc</v>
      </c>
      <c r="K140" s="6" t="str">
        <v>T Netix Inc</v>
      </c>
      <c r="L140" s="7">
        <f>=DATE(2002,7,23)</f>
        <v>37459.99949074074</v>
      </c>
      <c r="M140" s="7">
        <f>=DATE(2002,7,23)</f>
        <v>37459.99949074074</v>
      </c>
      <c r="W140" s="6" t="str">
        <v>Programming Services;Communication/Network Software;Applications Software(Business</v>
      </c>
      <c r="X140" s="6" t="str">
        <v>Other Software (inq. Games);Communication/Network Software</v>
      </c>
      <c r="Y140" s="6" t="str">
        <v>Communication/Network Software;Internet Services &amp; Software</v>
      </c>
      <c r="Z140" s="6" t="str">
        <v>Internet Services &amp; Software;Communication/Network Software</v>
      </c>
      <c r="AA140" s="6" t="str">
        <v>Programming Services;Communication/Network Software;Applications Software(Business</v>
      </c>
      <c r="AB140" s="6" t="str">
        <v>Programming Services;Applications Software(Business;Communication/Network Software</v>
      </c>
    </row>
    <row r="141">
      <c r="A141" s="6" t="str">
        <v>97659L</v>
      </c>
      <c r="B141" s="6" t="str">
        <v>United States</v>
      </c>
      <c r="C141" s="6" t="str">
        <v>Wireless Knowledge LLC</v>
      </c>
      <c r="D141" s="6" t="str">
        <v>Microsoft Corp</v>
      </c>
      <c r="F141" s="6" t="str">
        <v>United States</v>
      </c>
      <c r="G141" s="6" t="str">
        <v>Mobilocity Inc</v>
      </c>
      <c r="H141" s="6" t="str">
        <v>Business Services</v>
      </c>
      <c r="I141" s="6" t="str">
        <v>60725K</v>
      </c>
      <c r="J141" s="6" t="str">
        <v>Mobilocity Inc</v>
      </c>
      <c r="K141" s="6" t="str">
        <v>Mobilocity Inc</v>
      </c>
      <c r="L141" s="7">
        <f>=DATE(2002,7,29)</f>
        <v>37465.99949074074</v>
      </c>
      <c r="M141" s="7">
        <f>=DATE(2002,7,29)</f>
        <v>37465.99949074074</v>
      </c>
      <c r="W141" s="6" t="str">
        <v>Internet Services &amp; Software</v>
      </c>
      <c r="X141" s="6" t="str">
        <v>Computer Consulting Services</v>
      </c>
      <c r="Y141" s="6" t="str">
        <v>Computer Consulting Services</v>
      </c>
      <c r="Z141" s="6" t="str">
        <v>Computer Consulting Services</v>
      </c>
      <c r="AA141" s="6" t="str">
        <v>Operating Systems;Monitors/Terminals;Internet Services &amp; Software;Other Peripherals;Applications Software(Business;Computer Consulting Services</v>
      </c>
      <c r="AB141" s="6" t="str">
        <v>Applications Software(Business;Monitors/Terminals;Computer Consulting Services;Operating Systems;Internet Services &amp; Software;Other Peripherals</v>
      </c>
    </row>
    <row r="142">
      <c r="A142" s="6" t="str">
        <v>594918</v>
      </c>
      <c r="B142" s="6" t="str">
        <v>United States</v>
      </c>
      <c r="C142" s="6" t="str">
        <v>Microsoft Corp</v>
      </c>
      <c r="D142" s="6" t="str">
        <v>Microsoft Corp</v>
      </c>
      <c r="F142" s="6" t="str">
        <v>United States</v>
      </c>
      <c r="G142" s="6" t="str">
        <v>XDegrees Inc</v>
      </c>
      <c r="H142" s="6" t="str">
        <v>Prepackaged Software</v>
      </c>
      <c r="I142" s="6" t="str">
        <v>98449W</v>
      </c>
      <c r="J142" s="6" t="str">
        <v>XDegrees Inc</v>
      </c>
      <c r="K142" s="6" t="str">
        <v>XDegrees Inc</v>
      </c>
      <c r="L142" s="7">
        <f>=DATE(2002,9,10)</f>
        <v>37508.99949074074</v>
      </c>
      <c r="M142" s="7">
        <f>=DATE(2002,9,10)</f>
        <v>37508.99949074074</v>
      </c>
      <c r="W142" s="6" t="str">
        <v>Monitors/Terminals;Other Peripherals;Operating Systems;Computer Consulting Services;Applications Software(Business;Internet Services &amp; Software</v>
      </c>
      <c r="X142" s="6" t="str">
        <v>Other Software (inq. Games)</v>
      </c>
      <c r="Y142" s="6" t="str">
        <v>Other Software (inq. Games)</v>
      </c>
      <c r="Z142" s="6" t="str">
        <v>Other Software (inq. Games)</v>
      </c>
      <c r="AA142" s="6" t="str">
        <v>Operating Systems;Computer Consulting Services;Other Peripherals;Monitors/Terminals;Applications Software(Business;Internet Services &amp; Software</v>
      </c>
      <c r="AB142" s="6" t="str">
        <v>Applications Software(Business;Other Peripherals;Computer Consulting Services;Operating Systems;Monitors/Terminals;Internet Services &amp; Software</v>
      </c>
    </row>
    <row r="143">
      <c r="A143" s="6" t="str">
        <v>594918</v>
      </c>
      <c r="B143" s="6" t="str">
        <v>United States</v>
      </c>
      <c r="C143" s="6" t="str">
        <v>Microsoft Corp</v>
      </c>
      <c r="D143" s="6" t="str">
        <v>Microsoft Corp</v>
      </c>
      <c r="E143" s="6" t="str">
        <v>Mercanti Systems Inc(Moloco)</v>
      </c>
      <c r="F143" s="6" t="str">
        <v>United States</v>
      </c>
      <c r="G143" s="6" t="str">
        <v>Vicinity Corp</v>
      </c>
      <c r="H143" s="6" t="str">
        <v>Business Services</v>
      </c>
      <c r="I143" s="6" t="str">
        <v>925653</v>
      </c>
      <c r="J143" s="6" t="str">
        <v>Vicinity Corp</v>
      </c>
      <c r="K143" s="6" t="str">
        <v>Vicinity Corp</v>
      </c>
      <c r="L143" s="7">
        <f>=DATE(2002,10,22)</f>
        <v>37550.99949074074</v>
      </c>
      <c r="M143" s="7">
        <f>=DATE(2002,12,13)</f>
        <v>37602.99949074074</v>
      </c>
      <c r="N143" s="8">
        <v>95.849</v>
      </c>
      <c r="O143" s="8">
        <v>95.849</v>
      </c>
      <c r="P143" s="8" t="str">
        <v>11.69</v>
      </c>
      <c r="Q143" s="8" t="str">
        <v>75.75</v>
      </c>
      <c r="R143" s="8">
        <v>-12.583</v>
      </c>
      <c r="S143" s="8">
        <v>17.737</v>
      </c>
      <c r="T143" s="8">
        <v>-2.747</v>
      </c>
      <c r="U143" s="8">
        <v>9.29</v>
      </c>
      <c r="V143" s="8">
        <v>-6.2</v>
      </c>
      <c r="W143" s="6" t="str">
        <v>Monitors/Terminals;Other Peripherals;Internet Services &amp; Software;Operating Systems;Applications Software(Business;Computer Consulting Services</v>
      </c>
      <c r="X143" s="6" t="str">
        <v>Other Computer Related Svcs;Communication/Network Software;Internet Services &amp; Software;Applications Software(Business;Networking Systems (LAN,WAN);Utilities/File Mgmt Software</v>
      </c>
      <c r="Y143" s="6" t="str">
        <v>Applications Software(Business;Internet Services &amp; Software;Networking Systems (LAN,WAN);Other Computer Related Svcs;Utilities/File Mgmt Software;Communication/Network Software</v>
      </c>
      <c r="Z143" s="6" t="str">
        <v>Networking Systems (LAN,WAN);Internet Services &amp; Software;Other Computer Related Svcs;Applications Software(Business;Communication/Network Software;Utilities/File Mgmt Software</v>
      </c>
      <c r="AA143" s="6" t="str">
        <v>Internet Services &amp; Software;Computer Consulting Services;Monitors/Terminals;Applications Software(Business;Other Peripherals;Operating Systems</v>
      </c>
      <c r="AB143" s="6" t="str">
        <v>Computer Consulting Services;Other Peripherals;Internet Services &amp; Software;Operating Systems;Applications Software(Business;Monitors/Terminals</v>
      </c>
      <c r="AC143" s="8">
        <v>95.849</v>
      </c>
      <c r="AD143" s="7">
        <f>=DATE(2002,10,22)</f>
        <v>37550.99949074074</v>
      </c>
      <c r="AE143" s="8">
        <v>102.54064005</v>
      </c>
      <c r="AF143" s="8" t="str">
        <v>12.28</v>
      </c>
      <c r="AG143" s="8" t="str">
        <v>11.69</v>
      </c>
    </row>
    <row r="144">
      <c r="A144" s="6" t="str">
        <v>00453N</v>
      </c>
      <c r="B144" s="6" t="str">
        <v>United States</v>
      </c>
      <c r="C144" s="6" t="str">
        <v>Accipiter Solutions Inc</v>
      </c>
      <c r="D144" s="6" t="str">
        <v>Accipiter Solutions Inc</v>
      </c>
      <c r="F144" s="6" t="str">
        <v>United States</v>
      </c>
      <c r="G144" s="6" t="str">
        <v>Engage Inc-Internet Advertising Business</v>
      </c>
      <c r="H144" s="6" t="str">
        <v>Advertising Services</v>
      </c>
      <c r="I144" s="6" t="str">
        <v>29323W</v>
      </c>
      <c r="J144" s="6" t="str">
        <v>Engage Inc</v>
      </c>
      <c r="K144" s="6" t="str">
        <v>Engage Inc</v>
      </c>
      <c r="L144" s="7">
        <f>=DATE(2002,11,6)</f>
        <v>37565.99949074074</v>
      </c>
      <c r="M144" s="7">
        <f>=DATE(2002,11,6)</f>
        <v>37565.99949074074</v>
      </c>
      <c r="W144" s="6" t="str">
        <v>Internet Services &amp; Software</v>
      </c>
      <c r="X144" s="6" t="str">
        <v>Internet Services &amp; Software</v>
      </c>
      <c r="Y144" s="6" t="str">
        <v>Applications Software(Business</v>
      </c>
      <c r="Z144" s="6" t="str">
        <v>Applications Software(Business</v>
      </c>
      <c r="AA144" s="6" t="str">
        <v>Internet Services &amp; Software</v>
      </c>
      <c r="AB144" s="6" t="str">
        <v>Internet Services &amp; Software</v>
      </c>
    </row>
    <row r="145">
      <c r="A145" s="6" t="str">
        <v>594918</v>
      </c>
      <c r="B145" s="6" t="str">
        <v>United States</v>
      </c>
      <c r="C145" s="6" t="str">
        <v>Microsoft Corp</v>
      </c>
      <c r="D145" s="6" t="str">
        <v>Microsoft Corp</v>
      </c>
      <c r="F145" s="6" t="str">
        <v>United States</v>
      </c>
      <c r="G145" s="6" t="str">
        <v>PlaceWare Inc</v>
      </c>
      <c r="H145" s="6" t="str">
        <v>Business Services</v>
      </c>
      <c r="I145" s="6" t="str">
        <v>72605H</v>
      </c>
      <c r="J145" s="6" t="str">
        <v>PlaceWare Inc</v>
      </c>
      <c r="K145" s="6" t="str">
        <v>PlaceWare Inc</v>
      </c>
      <c r="L145" s="7">
        <f>=DATE(2003,1,21)</f>
        <v>37641.99949074074</v>
      </c>
      <c r="M145" s="7">
        <f>=DATE(2003,4,30)</f>
        <v>37740.99949074074</v>
      </c>
      <c r="N145" s="8">
        <v>200</v>
      </c>
      <c r="O145" s="8">
        <v>200</v>
      </c>
      <c r="W145" s="6" t="str">
        <v>Applications Software(Business;Operating Systems;Computer Consulting Services;Monitors/Terminals;Internet Services &amp; Software;Other Peripherals</v>
      </c>
      <c r="X145" s="6" t="str">
        <v>Internet Services &amp; Software</v>
      </c>
      <c r="Y145" s="6" t="str">
        <v>Internet Services &amp; Software</v>
      </c>
      <c r="Z145" s="6" t="str">
        <v>Internet Services &amp; Software</v>
      </c>
      <c r="AA145" s="6" t="str">
        <v>Monitors/Terminals;Computer Consulting Services;Applications Software(Business;Internet Services &amp; Software;Operating Systems;Other Peripherals</v>
      </c>
      <c r="AB145" s="6" t="str">
        <v>Monitors/Terminals;Operating Systems;Other Peripherals;Applications Software(Business;Internet Services &amp; Software;Computer Consulting Services</v>
      </c>
      <c r="AC145" s="8">
        <v>200</v>
      </c>
      <c r="AD145" s="7">
        <f>=DATE(2003,1,31)</f>
        <v>37651.99949074074</v>
      </c>
    </row>
    <row r="146">
      <c r="A146" s="6" t="str">
        <v>38259P</v>
      </c>
      <c r="B146" s="6" t="str">
        <v>United States</v>
      </c>
      <c r="C146" s="6" t="str">
        <v>Google Inc</v>
      </c>
      <c r="D146" s="6" t="str">
        <v>Alphabet Inc</v>
      </c>
      <c r="F146" s="6" t="str">
        <v>United States</v>
      </c>
      <c r="G146" s="6" t="str">
        <v>Pyra Labs</v>
      </c>
      <c r="H146" s="6" t="str">
        <v>Prepackaged Software</v>
      </c>
      <c r="I146" s="6" t="str">
        <v>74806F</v>
      </c>
      <c r="J146" s="6" t="str">
        <v>Pyra Labs</v>
      </c>
      <c r="K146" s="6" t="str">
        <v>Pyra Labs</v>
      </c>
      <c r="L146" s="7">
        <f>=DATE(2003,2,15)</f>
        <v>37666.99949074074</v>
      </c>
      <c r="M146" s="7">
        <f>=DATE(2003,2,15)</f>
        <v>37666.99949074074</v>
      </c>
      <c r="W146" s="6" t="str">
        <v>Internet Services &amp; Software</v>
      </c>
      <c r="X146" s="6" t="str">
        <v>Other Software (inq. Games)</v>
      </c>
      <c r="Y146" s="6" t="str">
        <v>Other Software (inq. Games)</v>
      </c>
      <c r="Z146" s="6" t="str">
        <v>Other Software (inq. Games)</v>
      </c>
      <c r="AA146" s="6" t="str">
        <v>Internet Services &amp; Software;Programming Services;Telecommunications Equipment;Computer Consulting Services;Primary Business not Hi-Tech</v>
      </c>
      <c r="AB146" s="6" t="str">
        <v>Computer Consulting Services;Primary Business not Hi-Tech;Telecommunications Equipment;Internet Services &amp; Software;Programming Services</v>
      </c>
    </row>
    <row r="147">
      <c r="A147" s="6" t="str">
        <v>594918</v>
      </c>
      <c r="B147" s="6" t="str">
        <v>United States</v>
      </c>
      <c r="C147" s="6" t="str">
        <v>Microsoft Corp</v>
      </c>
      <c r="D147" s="6" t="str">
        <v>Microsoft Corp</v>
      </c>
      <c r="F147" s="6" t="str">
        <v>United States</v>
      </c>
      <c r="G147" s="6" t="str">
        <v>Connectix Corp-Assets</v>
      </c>
      <c r="H147" s="6" t="str">
        <v>Prepackaged Software</v>
      </c>
      <c r="I147" s="6" t="str">
        <v>20788Q</v>
      </c>
      <c r="J147" s="6" t="str">
        <v>Microsoft Corp</v>
      </c>
      <c r="K147" s="6" t="str">
        <v>Microsoft Corp</v>
      </c>
      <c r="L147" s="7">
        <f>=DATE(2003,2,25)</f>
        <v>37676.99949074074</v>
      </c>
      <c r="M147" s="7">
        <f>=DATE(2003,2,25)</f>
        <v>37676.99949074074</v>
      </c>
      <c r="W147" s="6" t="str">
        <v>Computer Consulting Services;Monitors/Terminals;Applications Software(Business;Operating Systems;Other Peripherals;Internet Services &amp; Software</v>
      </c>
      <c r="X147" s="6" t="str">
        <v>Other Software (inq. Games)</v>
      </c>
      <c r="Y147" s="6" t="str">
        <v>Computer Consulting Services;Applications Software(Business;Internet Services &amp; Software;Other Peripherals;Monitors/Terminals;Operating Systems</v>
      </c>
      <c r="Z147" s="6" t="str">
        <v>Monitors/Terminals;Internet Services &amp; Software;Other Peripherals;Operating Systems;Applications Software(Business;Computer Consulting Services</v>
      </c>
      <c r="AA147" s="6" t="str">
        <v>Monitors/Terminals;Applications Software(Business;Operating Systems;Computer Consulting Services;Other Peripherals;Internet Services &amp; Software</v>
      </c>
      <c r="AB147" s="6" t="str">
        <v>Internet Services &amp; Software;Other Peripherals;Monitors/Terminals;Applications Software(Business;Computer Consulting Services;Operating Systems</v>
      </c>
    </row>
    <row r="148">
      <c r="A148" s="6" t="str">
        <v>92586F</v>
      </c>
      <c r="B148" s="6" t="str">
        <v>United States</v>
      </c>
      <c r="C148" s="6" t="str">
        <v>Vicarious Visions Inc</v>
      </c>
      <c r="D148" s="6" t="str">
        <v>Vicarious Visions Inc</v>
      </c>
      <c r="F148" s="6" t="str">
        <v>United States</v>
      </c>
      <c r="G148" s="6" t="str">
        <v>Intrinsic Graphics Inc</v>
      </c>
      <c r="H148" s="6" t="str">
        <v>Prepackaged Software</v>
      </c>
      <c r="I148" s="6" t="str">
        <v>46179R</v>
      </c>
      <c r="J148" s="6" t="str">
        <v>Intrinsic Graphics Inc</v>
      </c>
      <c r="K148" s="6" t="str">
        <v>Intrinsic Graphics Inc</v>
      </c>
      <c r="L148" s="7">
        <f>=DATE(2003,4,14)</f>
        <v>37724.99949074074</v>
      </c>
      <c r="M148" s="7">
        <f>=DATE(2003,7,1)</f>
        <v>37802.99949074074</v>
      </c>
      <c r="W148" s="6" t="str">
        <v>Other Software (inq. Games)</v>
      </c>
      <c r="X148" s="6" t="str">
        <v>Other Software (inq. Games)</v>
      </c>
      <c r="Y148" s="6" t="str">
        <v>Other Software (inq. Games)</v>
      </c>
      <c r="Z148" s="6" t="str">
        <v>Other Software (inq. Games)</v>
      </c>
      <c r="AA148" s="6" t="str">
        <v>Other Software (inq. Games)</v>
      </c>
      <c r="AB148" s="6" t="str">
        <v>Other Software (inq. Games)</v>
      </c>
    </row>
    <row r="149">
      <c r="A149" s="6" t="str">
        <v>38259P</v>
      </c>
      <c r="B149" s="6" t="str">
        <v>United States</v>
      </c>
      <c r="C149" s="6" t="str">
        <v>Google Inc</v>
      </c>
      <c r="D149" s="6" t="str">
        <v>Alphabet Inc</v>
      </c>
      <c r="F149" s="6" t="str">
        <v>United States</v>
      </c>
      <c r="G149" s="6" t="str">
        <v>Applied Semantics Inc</v>
      </c>
      <c r="H149" s="6" t="str">
        <v>Prepackaged Software</v>
      </c>
      <c r="I149" s="6" t="str">
        <v>03869H</v>
      </c>
      <c r="J149" s="6" t="str">
        <v>Applied Semantics Inc</v>
      </c>
      <c r="K149" s="6" t="str">
        <v>Applied Semantics Inc</v>
      </c>
      <c r="L149" s="7">
        <f>=DATE(2003,4,23)</f>
        <v>37733.99949074074</v>
      </c>
      <c r="M149" s="7">
        <f>=DATE(2003,4,23)</f>
        <v>37733.99949074074</v>
      </c>
      <c r="W149" s="6" t="str">
        <v>Internet Services &amp; Software</v>
      </c>
      <c r="X149" s="6" t="str">
        <v>Applications Software(Business</v>
      </c>
      <c r="Y149" s="6" t="str">
        <v>Applications Software(Business</v>
      </c>
      <c r="Z149" s="6" t="str">
        <v>Applications Software(Business</v>
      </c>
      <c r="AA149" s="6" t="str">
        <v>Telecommunications Equipment;Computer Consulting Services;Internet Services &amp; Software;Primary Business not Hi-Tech;Programming Services</v>
      </c>
      <c r="AB149" s="6" t="str">
        <v>Computer Consulting Services;Internet Services &amp; Software;Telecommunications Equipment;Primary Business not Hi-Tech;Programming Services</v>
      </c>
    </row>
    <row r="150">
      <c r="A150" s="6" t="str">
        <v>01864J</v>
      </c>
      <c r="B150" s="6" t="str">
        <v>United States</v>
      </c>
      <c r="C150" s="6" t="str">
        <v>Avanade Inc</v>
      </c>
      <c r="D150" s="6" t="str">
        <v>Microsoft Corp</v>
      </c>
      <c r="F150" s="6" t="str">
        <v>United States</v>
      </c>
      <c r="G150" s="6" t="str">
        <v>G.A. Sullivan</v>
      </c>
      <c r="H150" s="6" t="str">
        <v>Prepackaged Software</v>
      </c>
      <c r="I150" s="6" t="str">
        <v>36301T</v>
      </c>
      <c r="J150" s="6" t="str">
        <v>G.A. Sullivan</v>
      </c>
      <c r="K150" s="6" t="str">
        <v>G.A. Sullivan</v>
      </c>
      <c r="L150" s="7">
        <f>=DATE(2003,5,27)</f>
        <v>37767.99949074074</v>
      </c>
      <c r="M150" s="7">
        <f>=DATE(2003,5,27)</f>
        <v>37767.99949074074</v>
      </c>
      <c r="W150" s="6" t="str">
        <v>Computer Consulting Services;Other Computer Related Svcs;Other Software (inq. Games)</v>
      </c>
      <c r="X150" s="6" t="str">
        <v>Applications Software(Business;Other Software (inq. Games);Other Computer Systems;Other Computer Related Svcs</v>
      </c>
      <c r="Y150" s="6" t="str">
        <v>Other Software (inq. Games);Other Computer Related Svcs;Other Computer Systems;Applications Software(Business</v>
      </c>
      <c r="Z150" s="6" t="str">
        <v>Other Software (inq. Games);Other Computer Systems;Applications Software(Business;Other Computer Related Svcs</v>
      </c>
      <c r="AA150" s="6" t="str">
        <v>Applications Software(Business;Internet Services &amp; Software;Other Peripherals;Computer Consulting Services;Operating Systems;Monitors/Terminals</v>
      </c>
      <c r="AB150" s="6" t="str">
        <v>Monitors/Terminals;Other Peripherals;Internet Services &amp; Software;Operating Systems;Applications Software(Business;Computer Consulting Services</v>
      </c>
    </row>
    <row r="151">
      <c r="A151" s="6" t="str">
        <v>92696Q</v>
      </c>
      <c r="B151" s="6" t="str">
        <v>United States</v>
      </c>
      <c r="C151" s="6" t="str">
        <v>Viecore Inc</v>
      </c>
      <c r="D151" s="6" t="str">
        <v>Viecore Inc</v>
      </c>
      <c r="F151" s="6" t="str">
        <v>United States</v>
      </c>
      <c r="G151" s="6" t="str">
        <v>Unixpros Inc</v>
      </c>
      <c r="H151" s="6" t="str">
        <v>Business Services</v>
      </c>
      <c r="I151" s="6" t="str">
        <v>91535Z</v>
      </c>
      <c r="J151" s="6" t="str">
        <v>Eclipse Networks Inc</v>
      </c>
      <c r="K151" s="6" t="str">
        <v>Eclipse Networks Inc</v>
      </c>
      <c r="L151" s="7">
        <f>=DATE(2003,6,18)</f>
        <v>37789.99949074074</v>
      </c>
      <c r="M151" s="7">
        <f>=DATE(2003,6,18)</f>
        <v>37789.99949074074</v>
      </c>
      <c r="W151" s="6" t="str">
        <v>Database Software/Programming</v>
      </c>
      <c r="X151" s="6" t="str">
        <v>CAD/CAM/CAE/Graphics Systems;Programming Services</v>
      </c>
      <c r="Y151" s="6" t="str">
        <v>Computer Consulting Services</v>
      </c>
      <c r="Z151" s="6" t="str">
        <v>Computer Consulting Services</v>
      </c>
      <c r="AA151" s="6" t="str">
        <v>Database Software/Programming</v>
      </c>
      <c r="AB151" s="6" t="str">
        <v>Database Software/Programming</v>
      </c>
    </row>
    <row r="152">
      <c r="A152" s="6" t="str">
        <v>594918</v>
      </c>
      <c r="B152" s="6" t="str">
        <v>United States</v>
      </c>
      <c r="C152" s="6" t="str">
        <v>Microsoft Corp</v>
      </c>
      <c r="D152" s="6" t="str">
        <v>Microsoft Corp</v>
      </c>
      <c r="F152" s="6" t="str">
        <v>United States</v>
      </c>
      <c r="G152" s="6" t="str">
        <v>3DO Co-High Heat Baseball Product Line</v>
      </c>
      <c r="H152" s="6" t="str">
        <v>Prepackaged Software</v>
      </c>
      <c r="I152" s="6" t="str">
        <v>88573F</v>
      </c>
      <c r="J152" s="6" t="str">
        <v>3DO Co</v>
      </c>
      <c r="K152" s="6" t="str">
        <v>3DO Co</v>
      </c>
      <c r="L152" s="7">
        <f>=DATE(2003,8,29)</f>
        <v>37861.99949074074</v>
      </c>
      <c r="M152" s="7">
        <f>=DATE(2003,8,29)</f>
        <v>37861.99949074074</v>
      </c>
      <c r="N152" s="8">
        <v>0.45</v>
      </c>
      <c r="O152" s="8">
        <v>0.45</v>
      </c>
      <c r="W152" s="6" t="str">
        <v>Operating Systems;Monitors/Terminals;Internet Services &amp; Software;Computer Consulting Services;Other Peripherals;Applications Software(Business</v>
      </c>
      <c r="X152" s="6" t="str">
        <v>Other Software (inq. Games)</v>
      </c>
      <c r="Y152" s="6" t="str">
        <v>Other Computer Systems;Other Software (inq. Games)</v>
      </c>
      <c r="Z152" s="6" t="str">
        <v>Other Computer Systems;Other Software (inq. Games)</v>
      </c>
      <c r="AA152" s="6" t="str">
        <v>Other Peripherals;Monitors/Terminals;Computer Consulting Services;Internet Services &amp; Software;Operating Systems;Applications Software(Business</v>
      </c>
      <c r="AB152" s="6" t="str">
        <v>Other Peripherals;Internet Services &amp; Software;Monitors/Terminals;Operating Systems;Computer Consulting Services;Applications Software(Business</v>
      </c>
      <c r="AC152" s="8">
        <v>0.45</v>
      </c>
      <c r="AD152" s="7">
        <f>=DATE(2003,8,29)</f>
        <v>37861.99949074074</v>
      </c>
    </row>
    <row r="153">
      <c r="A153" s="6" t="str">
        <v>38259P</v>
      </c>
      <c r="B153" s="6" t="str">
        <v>United States</v>
      </c>
      <c r="C153" s="6" t="str">
        <v>Google Inc</v>
      </c>
      <c r="D153" s="6" t="str">
        <v>Alphabet Inc</v>
      </c>
      <c r="F153" s="6" t="str">
        <v>United States</v>
      </c>
      <c r="G153" s="6" t="str">
        <v>Kaltix Corp</v>
      </c>
      <c r="H153" s="6" t="str">
        <v>Prepackaged Software</v>
      </c>
      <c r="I153" s="6" t="str">
        <v>48430T</v>
      </c>
      <c r="J153" s="6" t="str">
        <v>Kaltix Corp</v>
      </c>
      <c r="K153" s="6" t="str">
        <v>Kaltix Corp</v>
      </c>
      <c r="L153" s="7">
        <f>=DATE(2003,9,30)</f>
        <v>37893.99949074074</v>
      </c>
      <c r="M153" s="7">
        <f>=DATE(2003,9,30)</f>
        <v>37893.99949074074</v>
      </c>
      <c r="W153" s="6" t="str">
        <v>Internet Services &amp; Software</v>
      </c>
      <c r="X153" s="6" t="str">
        <v>Communication/Network Software;Internet Services &amp; Software</v>
      </c>
      <c r="Y153" s="6" t="str">
        <v>Communication/Network Software;Internet Services &amp; Software</v>
      </c>
      <c r="Z153" s="6" t="str">
        <v>Communication/Network Software;Internet Services &amp; Software</v>
      </c>
      <c r="AA153" s="6" t="str">
        <v>Primary Business not Hi-Tech;Telecommunications Equipment;Internet Services &amp; Software;Programming Services;Computer Consulting Services</v>
      </c>
      <c r="AB153" s="6" t="str">
        <v>Telecommunications Equipment;Internet Services &amp; Software;Primary Business not Hi-Tech;Computer Consulting Services;Programming Services</v>
      </c>
    </row>
    <row r="154">
      <c r="A154" s="6" t="str">
        <v>38259P</v>
      </c>
      <c r="B154" s="6" t="str">
        <v>United States</v>
      </c>
      <c r="C154" s="6" t="str">
        <v>Google Inc</v>
      </c>
      <c r="D154" s="6" t="str">
        <v>Alphabet Inc</v>
      </c>
      <c r="F154" s="6" t="str">
        <v>United States</v>
      </c>
      <c r="G154" s="6" t="str">
        <v>Sprinks</v>
      </c>
      <c r="H154" s="6" t="str">
        <v>Advertising Services</v>
      </c>
      <c r="I154" s="6" t="str">
        <v>85163C</v>
      </c>
      <c r="J154" s="6" t="str">
        <v>PRIMEDIA Inc</v>
      </c>
      <c r="K154" s="6" t="str">
        <v>PRIMEDIA Inc</v>
      </c>
      <c r="L154" s="7">
        <f>=DATE(2003,10,24)</f>
        <v>37917.99949074074</v>
      </c>
      <c r="M154" s="7">
        <f>=DATE(2003,10,24)</f>
        <v>37917.99949074074</v>
      </c>
      <c r="W154" s="6" t="str">
        <v>Internet Services &amp; Software</v>
      </c>
      <c r="X154" s="6" t="str">
        <v>Internet Services &amp; Software</v>
      </c>
      <c r="Y154" s="6" t="str">
        <v>Internet Services &amp; Software;Primary Business not Hi-Tech</v>
      </c>
      <c r="Z154" s="6" t="str">
        <v>Primary Business not Hi-Tech;Internet Services &amp; Software</v>
      </c>
      <c r="AA154" s="6" t="str">
        <v>Primary Business not Hi-Tech;Computer Consulting Services;Programming Services;Telecommunications Equipment;Internet Services &amp; Software</v>
      </c>
      <c r="AB154" s="6" t="str">
        <v>Programming Services;Telecommunications Equipment;Computer Consulting Services;Internet Services &amp; Software;Primary Business not Hi-Tech</v>
      </c>
    </row>
    <row r="155">
      <c r="A155" s="6" t="str">
        <v>04930W</v>
      </c>
      <c r="B155" s="6" t="str">
        <v>United States</v>
      </c>
      <c r="C155" s="6" t="str">
        <v>Atlas DMT</v>
      </c>
      <c r="D155" s="6" t="str">
        <v>aQuantive Inc</v>
      </c>
      <c r="F155" s="6" t="str">
        <v>United States</v>
      </c>
      <c r="G155" s="6" t="str">
        <v>Go Toast LLC</v>
      </c>
      <c r="H155" s="6" t="str">
        <v>Business Services</v>
      </c>
      <c r="I155" s="6" t="str">
        <v>38018F</v>
      </c>
      <c r="J155" s="6" t="str">
        <v>Go Toast LLC</v>
      </c>
      <c r="K155" s="6" t="str">
        <v>Go Toast LLC</v>
      </c>
      <c r="L155" s="7">
        <f>=DATE(2003,12,15)</f>
        <v>37969.99949074074</v>
      </c>
      <c r="M155" s="7">
        <f>=DATE(2003,12,15)</f>
        <v>37969.99949074074</v>
      </c>
      <c r="W155" s="6" t="str">
        <v>Internet Services &amp; Software</v>
      </c>
      <c r="X155" s="6" t="str">
        <v>Internet Services &amp; Software;Communication/Network Software</v>
      </c>
      <c r="Y155" s="6" t="str">
        <v>Internet Services &amp; Software;Communication/Network Software</v>
      </c>
      <c r="Z155" s="6" t="str">
        <v>Communication/Network Software;Internet Services &amp; Software</v>
      </c>
      <c r="AA155" s="6" t="str">
        <v>Internet Services &amp; Software</v>
      </c>
      <c r="AB155" s="6" t="str">
        <v>Internet Services &amp; Software</v>
      </c>
    </row>
    <row r="156">
      <c r="A156" s="6" t="str">
        <v>38259P</v>
      </c>
      <c r="B156" s="6" t="str">
        <v>United States</v>
      </c>
      <c r="C156" s="6" t="str">
        <v>Google Inc</v>
      </c>
      <c r="D156" s="6" t="str">
        <v>Alphabet Inc</v>
      </c>
      <c r="F156" s="6" t="str">
        <v>United States</v>
      </c>
      <c r="G156" s="6" t="str">
        <v>Neotonic Software</v>
      </c>
      <c r="H156" s="6" t="str">
        <v>Prepackaged Software</v>
      </c>
      <c r="I156" s="6" t="str">
        <v>64230Z</v>
      </c>
      <c r="J156" s="6" t="str">
        <v>Neotonic Software</v>
      </c>
      <c r="K156" s="6" t="str">
        <v>Neotonic Software</v>
      </c>
      <c r="L156" s="7">
        <f>=DATE(2003,12,31)</f>
        <v>37985.99949074074</v>
      </c>
      <c r="M156" s="7">
        <f>=DATE(2003,12,31)</f>
        <v>37985.99949074074</v>
      </c>
      <c r="W156" s="6" t="str">
        <v>Internet Services &amp; Software</v>
      </c>
      <c r="X156" s="6" t="str">
        <v>Other Software (inq. Games);Applications Software(Business</v>
      </c>
      <c r="Y156" s="6" t="str">
        <v>Applications Software(Business;Other Software (inq. Games)</v>
      </c>
      <c r="Z156" s="6" t="str">
        <v>Applications Software(Business;Other Software (inq. Games)</v>
      </c>
      <c r="AA156" s="6" t="str">
        <v>Telecommunications Equipment;Programming Services;Internet Services &amp; Software;Primary Business not Hi-Tech;Computer Consulting Services</v>
      </c>
      <c r="AB156" s="6" t="str">
        <v>Telecommunications Equipment;Programming Services;Internet Services &amp; Software;Primary Business not Hi-Tech;Computer Consulting Services</v>
      </c>
    </row>
    <row r="157">
      <c r="A157" s="6" t="str">
        <v>04930W</v>
      </c>
      <c r="B157" s="6" t="str">
        <v>United States</v>
      </c>
      <c r="C157" s="6" t="str">
        <v>Atlas DMT</v>
      </c>
      <c r="D157" s="6" t="str">
        <v>aQuantive Inc</v>
      </c>
      <c r="F157" s="6" t="str">
        <v>United States</v>
      </c>
      <c r="G157" s="6" t="str">
        <v>NetConversions Inc</v>
      </c>
      <c r="H157" s="6" t="str">
        <v>Business Services</v>
      </c>
      <c r="I157" s="6" t="str">
        <v>64180L</v>
      </c>
      <c r="J157" s="6" t="str">
        <v>NetConversions Inc</v>
      </c>
      <c r="K157" s="6" t="str">
        <v>NetConversions Inc</v>
      </c>
      <c r="L157" s="7">
        <f>=DATE(2004,2,11)</f>
        <v>38027.99949074074</v>
      </c>
      <c r="M157" s="7">
        <f>=DATE(2004,2,11)</f>
        <v>38027.99949074074</v>
      </c>
      <c r="N157" s="8">
        <v>7</v>
      </c>
      <c r="O157" s="8">
        <v>7</v>
      </c>
      <c r="W157" s="6" t="str">
        <v>Internet Services &amp; Software</v>
      </c>
      <c r="X157" s="6" t="str">
        <v>Communication/Network Software;Internet Services &amp; Software</v>
      </c>
      <c r="Y157" s="6" t="str">
        <v>Communication/Network Software;Internet Services &amp; Software</v>
      </c>
      <c r="Z157" s="6" t="str">
        <v>Internet Services &amp; Software;Communication/Network Software</v>
      </c>
      <c r="AA157" s="6" t="str">
        <v>Internet Services &amp; Software</v>
      </c>
      <c r="AB157" s="6" t="str">
        <v>Internet Services &amp; Software</v>
      </c>
      <c r="AC157" s="8">
        <v>7</v>
      </c>
      <c r="AD157" s="7">
        <f>=DATE(2004,2,11)</f>
        <v>38027.99949074074</v>
      </c>
    </row>
    <row r="158">
      <c r="A158" s="6" t="str">
        <v>59533X</v>
      </c>
      <c r="B158" s="6" t="str">
        <v>United States</v>
      </c>
      <c r="C158" s="6" t="str">
        <v>Microsoft Business Solutions</v>
      </c>
      <c r="D158" s="6" t="str">
        <v>Microsoft Corp</v>
      </c>
      <c r="F158" s="6" t="str">
        <v>United States</v>
      </c>
      <c r="G158" s="6" t="str">
        <v>Encore Business Solutions Inc-IP Assets</v>
      </c>
      <c r="H158" s="6" t="str">
        <v>Business Services</v>
      </c>
      <c r="I158" s="6" t="str">
        <v>29521Z</v>
      </c>
      <c r="J158" s="6" t="str">
        <v>Encore Business Solutions Inc</v>
      </c>
      <c r="K158" s="6" t="str">
        <v>Encore Business Solutions Inc</v>
      </c>
      <c r="L158" s="7">
        <f>=DATE(2004,4,22)</f>
        <v>38098.99949074074</v>
      </c>
      <c r="M158" s="7">
        <f>=DATE(2004,4,22)</f>
        <v>38098.99949074074</v>
      </c>
      <c r="W158" s="6" t="str">
        <v>Communication/Network Software;Internet Services &amp; Software</v>
      </c>
      <c r="X158" s="6" t="str">
        <v>Computer Consulting Services</v>
      </c>
      <c r="Y158" s="6" t="str">
        <v>Computer Consulting Services</v>
      </c>
      <c r="Z158" s="6" t="str">
        <v>Computer Consulting Services</v>
      </c>
      <c r="AA158" s="6" t="str">
        <v>Internet Services &amp; Software;Applications Software(Business;Monitors/Terminals;Operating Systems;Other Peripherals;Computer Consulting Services</v>
      </c>
      <c r="AB158" s="6" t="str">
        <v>Computer Consulting Services;Other Peripherals;Operating Systems;Monitors/Terminals;Internet Services &amp; Software;Applications Software(Business</v>
      </c>
    </row>
    <row r="159">
      <c r="A159" s="6" t="str">
        <v>594918</v>
      </c>
      <c r="B159" s="6" t="str">
        <v>United States</v>
      </c>
      <c r="C159" s="6" t="str">
        <v>Microsoft Corp</v>
      </c>
      <c r="D159" s="6" t="str">
        <v>Microsoft Corp</v>
      </c>
      <c r="F159" s="6" t="str">
        <v>United States</v>
      </c>
      <c r="G159" s="6" t="str">
        <v>ActiveViews Inc</v>
      </c>
      <c r="H159" s="6" t="str">
        <v>Business Services</v>
      </c>
      <c r="I159" s="6" t="str">
        <v>00585J</v>
      </c>
      <c r="J159" s="6" t="str">
        <v>ActiveViews Inc</v>
      </c>
      <c r="K159" s="6" t="str">
        <v>ActiveViews Inc</v>
      </c>
      <c r="L159" s="7">
        <f>=DATE(2004,4,26)</f>
        <v>38102.99949074074</v>
      </c>
      <c r="M159" s="7">
        <f>=DATE(2004,4,26)</f>
        <v>38102.99949074074</v>
      </c>
      <c r="W159" s="6" t="str">
        <v>Operating Systems;Monitors/Terminals;Other Peripherals;Applications Software(Business;Internet Services &amp; Software;Computer Consulting Services</v>
      </c>
      <c r="X159" s="6" t="str">
        <v>Computer Consulting Services;Programming Services;Other Computer Related Svcs</v>
      </c>
      <c r="Y159" s="6" t="str">
        <v>Programming Services;Computer Consulting Services;Other Computer Related Svcs</v>
      </c>
      <c r="Z159" s="6" t="str">
        <v>Programming Services;Other Computer Related Svcs;Computer Consulting Services</v>
      </c>
      <c r="AA159" s="6" t="str">
        <v>Applications Software(Business;Operating Systems;Internet Services &amp; Software;Computer Consulting Services;Other Peripherals;Monitors/Terminals</v>
      </c>
      <c r="AB159" s="6" t="str">
        <v>Internet Services &amp; Software;Monitors/Terminals;Other Peripherals;Operating Systems;Computer Consulting Services;Applications Software(Business</v>
      </c>
    </row>
    <row r="160">
      <c r="A160" s="6" t="str">
        <v>38259P</v>
      </c>
      <c r="B160" s="6" t="str">
        <v>United States</v>
      </c>
      <c r="C160" s="6" t="str">
        <v>Google Inc</v>
      </c>
      <c r="D160" s="6" t="str">
        <v>Alphabet Inc</v>
      </c>
      <c r="F160" s="6" t="str">
        <v>United States</v>
      </c>
      <c r="G160" s="6" t="str">
        <v>Ignite Logic</v>
      </c>
      <c r="H160" s="6" t="str">
        <v>Prepackaged Software</v>
      </c>
      <c r="I160" s="6" t="str">
        <v>46786F</v>
      </c>
      <c r="J160" s="6" t="str">
        <v>Ignite Logic</v>
      </c>
      <c r="K160" s="6" t="str">
        <v>Ignite Logic</v>
      </c>
      <c r="L160" s="7">
        <f>=DATE(2004,5,3)</f>
        <v>38109.99949074074</v>
      </c>
      <c r="M160" s="7">
        <f>=DATE(2004,5,3)</f>
        <v>38109.99949074074</v>
      </c>
      <c r="W160" s="6" t="str">
        <v>Internet Services &amp; Software</v>
      </c>
      <c r="X160" s="6" t="str">
        <v>Communication/Network Software;Internet Services &amp; Software</v>
      </c>
      <c r="Y160" s="6" t="str">
        <v>Communication/Network Software;Internet Services &amp; Software</v>
      </c>
      <c r="Z160" s="6" t="str">
        <v>Communication/Network Software;Internet Services &amp; Software</v>
      </c>
      <c r="AA160" s="6" t="str">
        <v>Telecommunications Equipment;Programming Services;Primary Business not Hi-Tech;Internet Services &amp; Software;Computer Consulting Services</v>
      </c>
      <c r="AB160" s="6" t="str">
        <v>Telecommunications Equipment;Programming Services;Internet Services &amp; Software;Computer Consulting Services;Primary Business not Hi-Tech</v>
      </c>
    </row>
    <row r="161">
      <c r="A161" s="6" t="str">
        <v>03839G</v>
      </c>
      <c r="B161" s="6" t="str">
        <v>United States</v>
      </c>
      <c r="C161" s="6" t="str">
        <v>aQuantive Inc</v>
      </c>
      <c r="D161" s="6" t="str">
        <v>aQuantive Inc</v>
      </c>
      <c r="F161" s="6" t="str">
        <v>United States</v>
      </c>
      <c r="G161" s="6" t="str">
        <v>SBI.Razorfish</v>
      </c>
      <c r="H161" s="6" t="str">
        <v>Business Services</v>
      </c>
      <c r="I161" s="6" t="str">
        <v>78740E</v>
      </c>
      <c r="J161" s="6" t="str">
        <v>SBI Group Inc</v>
      </c>
      <c r="K161" s="6" t="str">
        <v>SBI Group Inc</v>
      </c>
      <c r="L161" s="7">
        <f>=DATE(2004,6,28)</f>
        <v>38165.99949074074</v>
      </c>
      <c r="M161" s="7">
        <f>=DATE(2004,7,27)</f>
        <v>38194.99949074074</v>
      </c>
      <c r="N161" s="8">
        <v>160</v>
      </c>
      <c r="O161" s="8">
        <v>160</v>
      </c>
      <c r="R161" s="8">
        <v>-4.284</v>
      </c>
      <c r="S161" s="8">
        <v>45.363</v>
      </c>
      <c r="T161" s="8">
        <v>6.307</v>
      </c>
      <c r="U161" s="8">
        <v>-2.592</v>
      </c>
      <c r="V161" s="8">
        <v>-5.664</v>
      </c>
      <c r="W161" s="6" t="str">
        <v>Internet Services &amp; Software</v>
      </c>
      <c r="X161" s="6" t="str">
        <v>Other Software (inq. Games);Database Software/Programming;Applications Software(Business;Other Computer Related Svcs;Programming Services;Other Computer Systems;Computer Consulting Services;Internet Services &amp; Software;Communication/Network Software</v>
      </c>
      <c r="Y161" s="6" t="str">
        <v>Other Computer Related Svcs;Computer Consulting Services;Programming Services</v>
      </c>
      <c r="Z161" s="6" t="str">
        <v>Programming Services;Computer Consulting Services;Other Computer Related Svcs</v>
      </c>
      <c r="AA161" s="6" t="str">
        <v>Internet Services &amp; Software</v>
      </c>
      <c r="AB161" s="6" t="str">
        <v>Internet Services &amp; Software</v>
      </c>
      <c r="AC161" s="8">
        <v>160</v>
      </c>
      <c r="AD161" s="7">
        <f>=DATE(2004,6,28)</f>
        <v>38165.99949074074</v>
      </c>
    </row>
    <row r="162">
      <c r="A162" s="6" t="str">
        <v>38259P</v>
      </c>
      <c r="B162" s="6" t="str">
        <v>United States</v>
      </c>
      <c r="C162" s="6" t="str">
        <v>Google Inc</v>
      </c>
      <c r="D162" s="6" t="str">
        <v>Alphabet Inc</v>
      </c>
      <c r="F162" s="6" t="str">
        <v>United States</v>
      </c>
      <c r="G162" s="6" t="str">
        <v>Picasa Inc</v>
      </c>
      <c r="H162" s="6" t="str">
        <v>Prepackaged Software</v>
      </c>
      <c r="I162" s="6" t="str">
        <v>71935W</v>
      </c>
      <c r="J162" s="6" t="str">
        <v>Picasa Inc</v>
      </c>
      <c r="K162" s="6" t="str">
        <v>Picasa Inc</v>
      </c>
      <c r="L162" s="7">
        <f>=DATE(2004,7,13)</f>
        <v>38180.99949074074</v>
      </c>
      <c r="M162" s="7">
        <f>=DATE(2004,7,13)</f>
        <v>38180.99949074074</v>
      </c>
      <c r="W162" s="6" t="str">
        <v>Internet Services &amp; Software</v>
      </c>
      <c r="X162" s="6" t="str">
        <v>Other Software (inq. Games)</v>
      </c>
      <c r="Y162" s="6" t="str">
        <v>Other Software (inq. Games)</v>
      </c>
      <c r="Z162" s="6" t="str">
        <v>Other Software (inq. Games)</v>
      </c>
      <c r="AA162" s="6" t="str">
        <v>Programming Services;Primary Business not Hi-Tech;Computer Consulting Services;Telecommunications Equipment;Internet Services &amp; Software</v>
      </c>
      <c r="AB162" s="6" t="str">
        <v>Primary Business not Hi-Tech;Programming Services;Telecommunications Equipment;Computer Consulting Services;Internet Services &amp; Software</v>
      </c>
    </row>
    <row r="163">
      <c r="A163" s="6" t="str">
        <v>59493Z</v>
      </c>
      <c r="B163" s="6" t="str">
        <v>United States</v>
      </c>
      <c r="C163" s="6" t="str">
        <v>Microsoft Network LLC{MSN}</v>
      </c>
      <c r="D163" s="6" t="str">
        <v>Microsoft Corp</v>
      </c>
      <c r="F163" s="6" t="str">
        <v>United States</v>
      </c>
      <c r="G163" s="6" t="str">
        <v>Lookout Software LLC</v>
      </c>
      <c r="H163" s="6" t="str">
        <v>Prepackaged Software</v>
      </c>
      <c r="I163" s="6" t="str">
        <v>54343J</v>
      </c>
      <c r="J163" s="6" t="str">
        <v>Lookout Software LLC</v>
      </c>
      <c r="K163" s="6" t="str">
        <v>Lookout Software LLC</v>
      </c>
      <c r="L163" s="7">
        <f>=DATE(2004,7,16)</f>
        <v>38183.99949074074</v>
      </c>
      <c r="M163" s="7">
        <f>=DATE(2004,7,16)</f>
        <v>38183.99949074074</v>
      </c>
      <c r="W163" s="6" t="str">
        <v>Communication/Network Software;Internet Services &amp; Software</v>
      </c>
      <c r="X163" s="6" t="str">
        <v>Applications Software(Business</v>
      </c>
      <c r="Y163" s="6" t="str">
        <v>Applications Software(Business</v>
      </c>
      <c r="Z163" s="6" t="str">
        <v>Applications Software(Business</v>
      </c>
      <c r="AA163" s="6" t="str">
        <v>Internet Services &amp; Software;Operating Systems;Other Peripherals;Monitors/Terminals;Applications Software(Business;Computer Consulting Services</v>
      </c>
      <c r="AB163" s="6" t="str">
        <v>Operating Systems;Applications Software(Business;Computer Consulting Services;Internet Services &amp; Software;Other Peripherals;Monitors/Terminals</v>
      </c>
    </row>
    <row r="164">
      <c r="A164" s="6" t="str">
        <v>594918</v>
      </c>
      <c r="B164" s="6" t="str">
        <v>United States</v>
      </c>
      <c r="C164" s="6" t="str">
        <v>Microsoft Corp</v>
      </c>
      <c r="D164" s="6" t="str">
        <v>Microsoft Corp</v>
      </c>
      <c r="F164" s="6" t="str">
        <v>United States</v>
      </c>
      <c r="G164" s="6" t="str">
        <v>Microsoft Corp</v>
      </c>
      <c r="H164" s="6" t="str">
        <v>Prepackaged Software</v>
      </c>
      <c r="I164" s="6" t="str">
        <v>594918</v>
      </c>
      <c r="J164" s="6" t="str">
        <v>Microsoft Corp</v>
      </c>
      <c r="K164" s="6" t="str">
        <v>Microsoft Corp</v>
      </c>
      <c r="L164" s="7">
        <f>=DATE(2004,7,20)</f>
        <v>38187.99949074074</v>
      </c>
      <c r="M164" s="7">
        <f>=DATE(2006,7,20)</f>
        <v>38917.99949074074</v>
      </c>
      <c r="N164" s="8">
        <v>30000</v>
      </c>
      <c r="O164" s="8">
        <v>30000</v>
      </c>
      <c r="R164" s="8">
        <v>8168</v>
      </c>
      <c r="S164" s="8">
        <v>36835</v>
      </c>
      <c r="T164" s="8">
        <v>-2364</v>
      </c>
      <c r="U164" s="8">
        <v>-2745</v>
      </c>
      <c r="V164" s="8">
        <v>14626</v>
      </c>
      <c r="W164" s="6" t="str">
        <v>Operating Systems;Other Peripherals;Applications Software(Business;Monitors/Terminals;Internet Services &amp; Software;Computer Consulting Services</v>
      </c>
      <c r="X164" s="6" t="str">
        <v>Applications Software(Business;Monitors/Terminals;Operating Systems;Internet Services &amp; Software;Other Peripherals;Computer Consulting Services</v>
      </c>
      <c r="Y164" s="6" t="str">
        <v>Operating Systems;Applications Software(Business;Internet Services &amp; Software;Monitors/Terminals;Other Peripherals;Computer Consulting Services</v>
      </c>
      <c r="Z164" s="6" t="str">
        <v>Other Peripherals;Internet Services &amp; Software;Operating Systems;Applications Software(Business;Monitors/Terminals;Computer Consulting Services</v>
      </c>
      <c r="AA164" s="6" t="str">
        <v>Monitors/Terminals;Computer Consulting Services;Operating Systems;Applications Software(Business;Internet Services &amp; Software;Other Peripherals</v>
      </c>
      <c r="AB164" s="6" t="str">
        <v>Operating Systems;Internet Services &amp; Software;Monitors/Terminals;Computer Consulting Services;Applications Software(Business;Other Peripherals</v>
      </c>
      <c r="AC164" s="8">
        <v>30000</v>
      </c>
      <c r="AD164" s="7">
        <f>=DATE(2004,7,20)</f>
        <v>38187.99949074074</v>
      </c>
    </row>
    <row r="165">
      <c r="A165" s="6" t="str">
        <v>395150</v>
      </c>
      <c r="B165" s="6" t="str">
        <v>United States</v>
      </c>
      <c r="C165" s="6" t="str">
        <v>Greenfield Online Inc</v>
      </c>
      <c r="D165" s="6" t="str">
        <v>Greenfield Online Inc</v>
      </c>
      <c r="F165" s="6" t="str">
        <v>United States</v>
      </c>
      <c r="G165" s="6" t="str">
        <v>OpinionSurveys.com-Online Panel</v>
      </c>
      <c r="H165" s="6" t="str">
        <v>Business Services</v>
      </c>
      <c r="I165" s="6" t="str">
        <v>68427Z</v>
      </c>
      <c r="J165" s="6" t="str">
        <v>Dohring Co</v>
      </c>
      <c r="K165" s="6" t="str">
        <v>OpinionSureveys.com</v>
      </c>
      <c r="L165" s="7">
        <f>=DATE(2004,8,19)</f>
        <v>38217.99949074074</v>
      </c>
      <c r="M165" s="7">
        <f>=DATE(2004,10,22)</f>
        <v>38281.99949074074</v>
      </c>
      <c r="W165" s="6" t="str">
        <v>Internet Services &amp; Software</v>
      </c>
      <c r="X165" s="6" t="str">
        <v>Internet Services &amp; Software</v>
      </c>
      <c r="Y165" s="6" t="str">
        <v>Internet Services &amp; Software</v>
      </c>
      <c r="Z165" s="6" t="str">
        <v>Primary Business not Hi-Tech</v>
      </c>
      <c r="AA165" s="6" t="str">
        <v>Internet Services &amp; Software</v>
      </c>
      <c r="AB165" s="6" t="str">
        <v>Internet Services &amp; Software</v>
      </c>
    </row>
    <row r="166">
      <c r="A166" s="6" t="str">
        <v>35911X</v>
      </c>
      <c r="B166" s="6" t="str">
        <v>United States</v>
      </c>
      <c r="C166" s="6" t="str">
        <v>FrontBridge Technologies Inc</v>
      </c>
      <c r="D166" s="6" t="str">
        <v>FrontBridge Technologies Inc</v>
      </c>
      <c r="F166" s="6" t="str">
        <v>United States</v>
      </c>
      <c r="G166" s="6" t="str">
        <v>MessageRite Inc</v>
      </c>
      <c r="H166" s="6" t="str">
        <v>Business Services</v>
      </c>
      <c r="I166" s="6" t="str">
        <v>59086L</v>
      </c>
      <c r="J166" s="6" t="str">
        <v>MessageRite Inc</v>
      </c>
      <c r="K166" s="6" t="str">
        <v>MessageRite Inc</v>
      </c>
      <c r="L166" s="7">
        <f>=DATE(2004,8,30)</f>
        <v>38228.99949074074</v>
      </c>
      <c r="M166" s="7">
        <f>=DATE(2004,8,30)</f>
        <v>38228.99949074074</v>
      </c>
      <c r="W166" s="6" t="str">
        <v>Other Computer Related Svcs</v>
      </c>
      <c r="X166" s="6" t="str">
        <v>Communication/Network Software;Data Processing Services</v>
      </c>
      <c r="Y166" s="6" t="str">
        <v>Communication/Network Software;Data Processing Services</v>
      </c>
      <c r="Z166" s="6" t="str">
        <v>Communication/Network Software;Data Processing Services</v>
      </c>
      <c r="AA166" s="6" t="str">
        <v>Other Computer Related Svcs</v>
      </c>
      <c r="AB166" s="6" t="str">
        <v>Other Computer Related Svcs</v>
      </c>
    </row>
    <row r="167">
      <c r="A167" s="6" t="str">
        <v>38259P</v>
      </c>
      <c r="B167" s="6" t="str">
        <v>United States</v>
      </c>
      <c r="C167" s="6" t="str">
        <v>Google Inc</v>
      </c>
      <c r="D167" s="6" t="str">
        <v>Alphabet Inc</v>
      </c>
      <c r="F167" s="6" t="str">
        <v>United States</v>
      </c>
      <c r="G167" s="6" t="str">
        <v>Keyhole Corp</v>
      </c>
      <c r="H167" s="6" t="str">
        <v>Prepackaged Software</v>
      </c>
      <c r="I167" s="6" t="str">
        <v>48446C</v>
      </c>
      <c r="J167" s="6" t="str">
        <v>Keyhole Corp</v>
      </c>
      <c r="K167" s="6" t="str">
        <v>Keyhole Corp</v>
      </c>
      <c r="L167" s="7">
        <f>=DATE(2004,10,27)</f>
        <v>38286.99949074074</v>
      </c>
      <c r="M167" s="7">
        <f>=DATE(2004,10,27)</f>
        <v>38286.99949074074</v>
      </c>
      <c r="W167" s="6" t="str">
        <v>Programming Services;Internet Services &amp; Software</v>
      </c>
      <c r="X167" s="6" t="str">
        <v>Other Software (inq. Games)</v>
      </c>
      <c r="Y167" s="6" t="str">
        <v>Other Software (inq. Games)</v>
      </c>
      <c r="Z167" s="6" t="str">
        <v>Other Software (inq. Games)</v>
      </c>
      <c r="AA167" s="6" t="str">
        <v>Programming Services;Internet Services &amp; Software;Primary Business not Hi-Tech;Telecommunications Equipment;Computer Consulting Services</v>
      </c>
      <c r="AB167" s="6" t="str">
        <v>Programming Services;Telecommunications Equipment;Computer Consulting Services;Primary Business not Hi-Tech;Internet Services &amp; Software</v>
      </c>
    </row>
    <row r="168">
      <c r="A168" s="6" t="str">
        <v>594918</v>
      </c>
      <c r="B168" s="6" t="str">
        <v>United States</v>
      </c>
      <c r="C168" s="6" t="str">
        <v>Microsoft Corp</v>
      </c>
      <c r="D168" s="6" t="str">
        <v>Microsoft Corp</v>
      </c>
      <c r="F168" s="6" t="str">
        <v>United States</v>
      </c>
      <c r="G168" s="6" t="str">
        <v>GIANT Co Software Inc</v>
      </c>
      <c r="H168" s="6" t="str">
        <v>Business Services</v>
      </c>
      <c r="I168" s="6" t="str">
        <v>37451F</v>
      </c>
      <c r="J168" s="6" t="str">
        <v>GIANT Co Software Inc</v>
      </c>
      <c r="K168" s="6" t="str">
        <v>GIANT Co Software Inc</v>
      </c>
      <c r="L168" s="7">
        <f>=DATE(2004,12,16)</f>
        <v>38336.99949074074</v>
      </c>
      <c r="M168" s="7">
        <f>=DATE(2004,12,16)</f>
        <v>38336.99949074074</v>
      </c>
      <c r="W168" s="6" t="str">
        <v>Computer Consulting Services;Operating Systems;Applications Software(Business;Monitors/Terminals;Other Peripherals;Internet Services &amp; Software</v>
      </c>
      <c r="X168" s="6" t="str">
        <v>Utilities/File Mgmt Software;Internet Services &amp; Software</v>
      </c>
      <c r="Y168" s="6" t="str">
        <v>Utilities/File Mgmt Software;Internet Services &amp; Software</v>
      </c>
      <c r="Z168" s="6" t="str">
        <v>Internet Services &amp; Software;Utilities/File Mgmt Software</v>
      </c>
      <c r="AA168" s="6" t="str">
        <v>Operating Systems;Other Peripherals;Applications Software(Business;Computer Consulting Services;Monitors/Terminals;Internet Services &amp; Software</v>
      </c>
      <c r="AB168" s="6" t="str">
        <v>Internet Services &amp; Software;Computer Consulting Services;Applications Software(Business;Monitors/Terminals;Other Peripherals;Operating Systems</v>
      </c>
    </row>
    <row r="169">
      <c r="A169" s="6" t="str">
        <v>38259P</v>
      </c>
      <c r="B169" s="6" t="str">
        <v>United States</v>
      </c>
      <c r="C169" s="6" t="str">
        <v>Google Inc</v>
      </c>
      <c r="D169" s="6" t="str">
        <v>Alphabet Inc</v>
      </c>
      <c r="F169" s="6" t="str">
        <v>United States</v>
      </c>
      <c r="G169" s="6" t="str">
        <v>PhatBits</v>
      </c>
      <c r="H169" s="6" t="str">
        <v>Prepackaged Software</v>
      </c>
      <c r="I169" s="6" t="str">
        <v>71753P</v>
      </c>
      <c r="J169" s="6" t="str">
        <v>PhatBits</v>
      </c>
      <c r="K169" s="6" t="str">
        <v>PhatBits</v>
      </c>
      <c r="L169" s="7">
        <f>=DATE(2005,1,1)</f>
        <v>38352.99949074074</v>
      </c>
      <c r="M169" s="7">
        <f>=DATE(2005,6,30)</f>
        <v>38532.99949074074</v>
      </c>
      <c r="W169" s="6" t="str">
        <v>Programming Services;Internet Services &amp; Software</v>
      </c>
      <c r="X169" s="6" t="str">
        <v>Other Software (inq. Games)</v>
      </c>
      <c r="Y169" s="6" t="str">
        <v>Other Software (inq. Games)</v>
      </c>
      <c r="Z169" s="6" t="str">
        <v>Other Software (inq. Games)</v>
      </c>
      <c r="AA169" s="6" t="str">
        <v>Internet Services &amp; Software;Computer Consulting Services;Telecommunications Equipment;Programming Services;Primary Business not Hi-Tech</v>
      </c>
      <c r="AB169" s="6" t="str">
        <v>Computer Consulting Services;Programming Services;Internet Services &amp; Software;Primary Business not Hi-Tech;Telecommunications Equipment</v>
      </c>
    </row>
    <row r="170">
      <c r="A170" s="6" t="str">
        <v>395150</v>
      </c>
      <c r="B170" s="6" t="str">
        <v>United States</v>
      </c>
      <c r="C170" s="6" t="str">
        <v>Greenfield Online Inc</v>
      </c>
      <c r="D170" s="6" t="str">
        <v>Greenfield Online Inc</v>
      </c>
      <c r="F170" s="6" t="str">
        <v>United States</v>
      </c>
      <c r="G170" s="6" t="str">
        <v>Rapidata.net Inc</v>
      </c>
      <c r="H170" s="6" t="str">
        <v>Business Services</v>
      </c>
      <c r="I170" s="6" t="str">
        <v>75344E</v>
      </c>
      <c r="J170" s="6" t="str">
        <v>Rapidata.net Inc</v>
      </c>
      <c r="K170" s="6" t="str">
        <v>Rapidata.net Inc</v>
      </c>
      <c r="L170" s="7">
        <f>=DATE(2005,1,26)</f>
        <v>38377.99949074074</v>
      </c>
      <c r="M170" s="7">
        <f>=DATE(2005,1,26)</f>
        <v>38377.99949074074</v>
      </c>
      <c r="N170" s="8">
        <v>5.5</v>
      </c>
      <c r="O170" s="8">
        <v>5.5</v>
      </c>
      <c r="S170" s="8">
        <v>2.1</v>
      </c>
      <c r="W170" s="6" t="str">
        <v>Internet Services &amp; Software</v>
      </c>
      <c r="X170" s="6" t="str">
        <v>Internet Services &amp; Software;Research &amp; Development Firm</v>
      </c>
      <c r="Y170" s="6" t="str">
        <v>Research &amp; Development Firm;Internet Services &amp; Software</v>
      </c>
      <c r="Z170" s="6" t="str">
        <v>Research &amp; Development Firm;Internet Services &amp; Software</v>
      </c>
      <c r="AA170" s="6" t="str">
        <v>Internet Services &amp; Software</v>
      </c>
      <c r="AB170" s="6" t="str">
        <v>Internet Services &amp; Software</v>
      </c>
      <c r="AC170" s="8">
        <v>5.5</v>
      </c>
      <c r="AD170" s="7">
        <f>=DATE(2005,1,26)</f>
        <v>38377.99949074074</v>
      </c>
    </row>
    <row r="171">
      <c r="A171" s="6" t="str">
        <v>594918</v>
      </c>
      <c r="B171" s="6" t="str">
        <v>United States</v>
      </c>
      <c r="C171" s="6" t="str">
        <v>Microsoft Corp</v>
      </c>
      <c r="D171" s="6" t="str">
        <v>Microsoft Corp</v>
      </c>
      <c r="F171" s="6" t="str">
        <v>United States</v>
      </c>
      <c r="G171" s="6" t="str">
        <v>Sybari Software Inc</v>
      </c>
      <c r="H171" s="6" t="str">
        <v>Prepackaged Software</v>
      </c>
      <c r="I171" s="6" t="str">
        <v>871128</v>
      </c>
      <c r="J171" s="6" t="str">
        <v>Sybari Software Inc</v>
      </c>
      <c r="K171" s="6" t="str">
        <v>Sybari Software Inc</v>
      </c>
      <c r="L171" s="7">
        <f>=DATE(2005,2,8)</f>
        <v>38390.99949074074</v>
      </c>
      <c r="M171" s="7">
        <f>=DATE(2005,6,21)</f>
        <v>38523.99949074074</v>
      </c>
      <c r="W171" s="6" t="str">
        <v>Other Peripherals;Operating Systems;Computer Consulting Services;Applications Software(Business;Monitors/Terminals;Internet Services &amp; Software</v>
      </c>
      <c r="X171" s="6" t="str">
        <v>Other Software (inq. Games)</v>
      </c>
      <c r="Y171" s="6" t="str">
        <v>Other Software (inq. Games)</v>
      </c>
      <c r="Z171" s="6" t="str">
        <v>Other Software (inq. Games)</v>
      </c>
      <c r="AA171" s="6" t="str">
        <v>Other Peripherals;Operating Systems;Applications Software(Business;Internet Services &amp; Software;Monitors/Terminals;Computer Consulting Services</v>
      </c>
      <c r="AB171" s="6" t="str">
        <v>Computer Consulting Services;Other Peripherals;Applications Software(Business;Monitors/Terminals;Operating Systems;Internet Services &amp; Software</v>
      </c>
    </row>
    <row r="172">
      <c r="A172" s="6" t="str">
        <v>395150</v>
      </c>
      <c r="B172" s="6" t="str">
        <v>United States</v>
      </c>
      <c r="C172" s="6" t="str">
        <v>Greenfield Online Inc</v>
      </c>
      <c r="D172" s="6" t="str">
        <v>Greenfield Online Inc</v>
      </c>
      <c r="F172" s="6" t="str">
        <v>United States</v>
      </c>
      <c r="G172" s="6" t="str">
        <v>Zing Wireless Inc</v>
      </c>
      <c r="H172" s="6" t="str">
        <v>Business Services</v>
      </c>
      <c r="I172" s="6" t="str">
        <v>99015H</v>
      </c>
      <c r="J172" s="6" t="str">
        <v>Zing Wireless Inc</v>
      </c>
      <c r="K172" s="6" t="str">
        <v>Zing Wireless Inc</v>
      </c>
      <c r="L172" s="7">
        <f>=DATE(2005,2,9)</f>
        <v>38391.99949074074</v>
      </c>
      <c r="M172" s="7">
        <f>=DATE(2005,2,9)</f>
        <v>38391.99949074074</v>
      </c>
      <c r="N172" s="8">
        <v>30</v>
      </c>
      <c r="O172" s="8">
        <v>30</v>
      </c>
      <c r="S172" s="8">
        <v>13</v>
      </c>
      <c r="W172" s="6" t="str">
        <v>Internet Services &amp; Software</v>
      </c>
      <c r="X172" s="6" t="str">
        <v>Internet Services &amp; Software</v>
      </c>
      <c r="Y172" s="6" t="str">
        <v>Internet Services &amp; Software</v>
      </c>
      <c r="Z172" s="6" t="str">
        <v>Internet Services &amp; Software</v>
      </c>
      <c r="AA172" s="6" t="str">
        <v>Internet Services &amp; Software</v>
      </c>
      <c r="AB172" s="6" t="str">
        <v>Internet Services &amp; Software</v>
      </c>
      <c r="AC172" s="8">
        <v>30</v>
      </c>
      <c r="AD172" s="7">
        <f>=DATE(2005,2,9)</f>
        <v>38391.99949074074</v>
      </c>
    </row>
    <row r="173">
      <c r="A173" s="6" t="str">
        <v>01864J</v>
      </c>
      <c r="B173" s="6" t="str">
        <v>United States</v>
      </c>
      <c r="C173" s="6" t="str">
        <v>Avanade Inc</v>
      </c>
      <c r="D173" s="6" t="str">
        <v>Microsoft Corp</v>
      </c>
      <c r="F173" s="6" t="str">
        <v>United States</v>
      </c>
      <c r="G173" s="6" t="str">
        <v>en'tegrate</v>
      </c>
      <c r="H173" s="6" t="str">
        <v>Prepackaged Software</v>
      </c>
      <c r="I173" s="6" t="str">
        <v>29535A</v>
      </c>
      <c r="J173" s="6" t="str">
        <v>en'tegrate</v>
      </c>
      <c r="K173" s="6" t="str">
        <v>en'tegrate</v>
      </c>
      <c r="L173" s="7">
        <f>=DATE(2005,3,2)</f>
        <v>38412.99949074074</v>
      </c>
      <c r="M173" s="7">
        <f>=DATE(2005,3,2)</f>
        <v>38412.99949074074</v>
      </c>
      <c r="W173" s="6" t="str">
        <v>Other Computer Related Svcs;Computer Consulting Services;Other Software (inq. Games)</v>
      </c>
      <c r="X173" s="6" t="str">
        <v>Other Software (inq. Games)</v>
      </c>
      <c r="Y173" s="6" t="str">
        <v>Other Software (inq. Games)</v>
      </c>
      <c r="Z173" s="6" t="str">
        <v>Other Software (inq. Games)</v>
      </c>
      <c r="AA173" s="6" t="str">
        <v>Applications Software(Business;Other Peripherals;Internet Services &amp; Software;Monitors/Terminals;Computer Consulting Services;Operating Systems</v>
      </c>
      <c r="AB173" s="6" t="str">
        <v>Other Peripherals;Monitors/Terminals;Internet Services &amp; Software;Applications Software(Business;Operating Systems;Computer Consulting Services</v>
      </c>
    </row>
    <row r="174">
      <c r="A174" s="6" t="str">
        <v>594918</v>
      </c>
      <c r="B174" s="6" t="str">
        <v>United States</v>
      </c>
      <c r="C174" s="6" t="str">
        <v>Microsoft Corp</v>
      </c>
      <c r="D174" s="6" t="str">
        <v>Microsoft Corp</v>
      </c>
      <c r="F174" s="6" t="str">
        <v>United States</v>
      </c>
      <c r="G174" s="6" t="str">
        <v>Groove Networks Inc</v>
      </c>
      <c r="H174" s="6" t="str">
        <v>Prepackaged Software</v>
      </c>
      <c r="I174" s="6" t="str">
        <v>39882Z</v>
      </c>
      <c r="J174" s="6" t="str">
        <v>Groove Networks Inc</v>
      </c>
      <c r="K174" s="6" t="str">
        <v>Groove Networks Inc</v>
      </c>
      <c r="L174" s="7">
        <f>=DATE(2005,3,10)</f>
        <v>38420.99949074074</v>
      </c>
      <c r="M174" s="7">
        <f>=DATE(2005,4,9)</f>
        <v>38450.99949074074</v>
      </c>
      <c r="S174" s="8">
        <v>59</v>
      </c>
      <c r="W174" s="6" t="str">
        <v>Monitors/Terminals;Other Peripherals;Computer Consulting Services;Internet Services &amp; Software;Applications Software(Business;Operating Systems</v>
      </c>
      <c r="X174" s="6" t="str">
        <v>Applications Software(Home);Applications Software(Business;Communication/Network Software</v>
      </c>
      <c r="Y174" s="6" t="str">
        <v>Communication/Network Software;Applications Software(Home);Applications Software(Business</v>
      </c>
      <c r="Z174" s="6" t="str">
        <v>Applications Software(Business;Applications Software(Home);Communication/Network Software</v>
      </c>
      <c r="AA174" s="6" t="str">
        <v>Other Peripherals;Computer Consulting Services;Monitors/Terminals;Applications Software(Business;Internet Services &amp; Software;Operating Systems</v>
      </c>
      <c r="AB174" s="6" t="str">
        <v>Monitors/Terminals;Other Peripherals;Applications Software(Business;Operating Systems;Computer Consulting Services;Internet Services &amp; Software</v>
      </c>
    </row>
    <row r="175">
      <c r="A175" s="6" t="str">
        <v>38259P</v>
      </c>
      <c r="B175" s="6" t="str">
        <v>United States</v>
      </c>
      <c r="C175" s="6" t="str">
        <v>Google Inc</v>
      </c>
      <c r="D175" s="6" t="str">
        <v>Alphabet Inc</v>
      </c>
      <c r="F175" s="6" t="str">
        <v>United States</v>
      </c>
      <c r="G175" s="6" t="str">
        <v>Urchin Software Corp</v>
      </c>
      <c r="H175" s="6" t="str">
        <v>Prepackaged Software</v>
      </c>
      <c r="I175" s="6" t="str">
        <v>91706L</v>
      </c>
      <c r="J175" s="6" t="str">
        <v>Urchin Software Corp</v>
      </c>
      <c r="K175" s="6" t="str">
        <v>Urchin Software Corp</v>
      </c>
      <c r="L175" s="7">
        <f>=DATE(2005,3,28)</f>
        <v>38438.99949074074</v>
      </c>
      <c r="M175" s="7">
        <f>=DATE(2005,5,3)</f>
        <v>38474.99949074074</v>
      </c>
      <c r="W175" s="6" t="str">
        <v>Programming Services;Internet Services &amp; Software</v>
      </c>
      <c r="X175" s="6" t="str">
        <v>Other Software (inq. Games)</v>
      </c>
      <c r="Y175" s="6" t="str">
        <v>Other Software (inq. Games)</v>
      </c>
      <c r="Z175" s="6" t="str">
        <v>Other Software (inq. Games)</v>
      </c>
      <c r="AA175" s="6" t="str">
        <v>Primary Business not Hi-Tech;Computer Consulting Services;Internet Services &amp; Software;Programming Services;Telecommunications Equipment</v>
      </c>
      <c r="AB175" s="6" t="str">
        <v>Internet Services &amp; Software;Programming Services;Computer Consulting Services;Telecommunications Equipment;Primary Business not Hi-Tech</v>
      </c>
    </row>
    <row r="176">
      <c r="A176" s="6" t="str">
        <v>38259P</v>
      </c>
      <c r="B176" s="6" t="str">
        <v>United States</v>
      </c>
      <c r="C176" s="6" t="str">
        <v>Google Inc</v>
      </c>
      <c r="D176" s="6" t="str">
        <v>Alphabet Inc</v>
      </c>
      <c r="F176" s="6" t="str">
        <v>United States</v>
      </c>
      <c r="G176" s="6" t="str">
        <v>Zipdash Inc</v>
      </c>
      <c r="H176" s="6" t="str">
        <v>Prepackaged Software</v>
      </c>
      <c r="I176" s="6" t="str">
        <v>99152J</v>
      </c>
      <c r="J176" s="6" t="str">
        <v>Zipdash Inc</v>
      </c>
      <c r="K176" s="6" t="str">
        <v>Zipdash Inc</v>
      </c>
      <c r="L176" s="7">
        <f>=DATE(2005,3,31)</f>
        <v>38441.99949074074</v>
      </c>
      <c r="M176" s="7">
        <f>=DATE(2005,3,31)</f>
        <v>38441.99949074074</v>
      </c>
      <c r="W176" s="6" t="str">
        <v>Internet Services &amp; Software;Programming Services</v>
      </c>
      <c r="X176" s="6" t="str">
        <v>Internet Services &amp; Software;Communication/Network Software</v>
      </c>
      <c r="Y176" s="6" t="str">
        <v>Communication/Network Software;Internet Services &amp; Software</v>
      </c>
      <c r="Z176" s="6" t="str">
        <v>Internet Services &amp; Software;Communication/Network Software</v>
      </c>
      <c r="AA176" s="6" t="str">
        <v>Telecommunications Equipment;Computer Consulting Services;Internet Services &amp; Software;Primary Business not Hi-Tech;Programming Services</v>
      </c>
      <c r="AB176" s="6" t="str">
        <v>Telecommunications Equipment;Computer Consulting Services;Programming Services;Primary Business not Hi-Tech;Internet Services &amp; Software</v>
      </c>
    </row>
    <row r="177">
      <c r="A177" s="6" t="str">
        <v>38259P</v>
      </c>
      <c r="B177" s="6" t="str">
        <v>United States</v>
      </c>
      <c r="C177" s="6" t="str">
        <v>Google Inc</v>
      </c>
      <c r="D177" s="6" t="str">
        <v>Alphabet Inc</v>
      </c>
      <c r="F177" s="6" t="str">
        <v>United States</v>
      </c>
      <c r="G177" s="6" t="str">
        <v>Dodgeball.com</v>
      </c>
      <c r="H177" s="6" t="str">
        <v>Telecommunications</v>
      </c>
      <c r="I177" s="6" t="str">
        <v>25654F</v>
      </c>
      <c r="J177" s="6" t="str">
        <v>Dodgeball.com</v>
      </c>
      <c r="K177" s="6" t="str">
        <v>Dodgeball.com</v>
      </c>
      <c r="L177" s="7">
        <f>=DATE(2005,5,11)</f>
        <v>38482.99949074074</v>
      </c>
      <c r="M177" s="7">
        <f>=DATE(2005,5,11)</f>
        <v>38482.99949074074</v>
      </c>
      <c r="W177" s="6" t="str">
        <v>Internet Services &amp; Software;Programming Services</v>
      </c>
      <c r="X177" s="6" t="str">
        <v>Cellular Communications</v>
      </c>
      <c r="Y177" s="6" t="str">
        <v>Cellular Communications</v>
      </c>
      <c r="Z177" s="6" t="str">
        <v>Cellular Communications</v>
      </c>
      <c r="AA177" s="6" t="str">
        <v>Programming Services;Computer Consulting Services;Primary Business not Hi-Tech;Internet Services &amp; Software;Telecommunications Equipment</v>
      </c>
      <c r="AB177" s="6" t="str">
        <v>Programming Services;Telecommunications Equipment;Internet Services &amp; Software;Computer Consulting Services;Primary Business not Hi-Tech</v>
      </c>
    </row>
    <row r="178">
      <c r="A178" s="6" t="str">
        <v>59493Z</v>
      </c>
      <c r="B178" s="6" t="str">
        <v>United States</v>
      </c>
      <c r="C178" s="6" t="str">
        <v>Microsoft Network LLC{MSN}</v>
      </c>
      <c r="D178" s="6" t="str">
        <v>Microsoft Corp</v>
      </c>
      <c r="F178" s="6" t="str">
        <v>United States</v>
      </c>
      <c r="G178" s="6" t="str">
        <v>MessageCast Inc</v>
      </c>
      <c r="H178" s="6" t="str">
        <v>Business Services</v>
      </c>
      <c r="I178" s="6" t="str">
        <v>59089C</v>
      </c>
      <c r="J178" s="6" t="str">
        <v>MessageCast Inc</v>
      </c>
      <c r="K178" s="6" t="str">
        <v>MessageCast Inc</v>
      </c>
      <c r="L178" s="7">
        <f>=DATE(2005,5,11)</f>
        <v>38482.99949074074</v>
      </c>
      <c r="M178" s="7">
        <f>=DATE(2005,5,11)</f>
        <v>38482.99949074074</v>
      </c>
      <c r="N178" s="8">
        <v>7</v>
      </c>
      <c r="O178" s="8">
        <v>7</v>
      </c>
      <c r="W178" s="6" t="str">
        <v>Communication/Network Software;Internet Services &amp; Software</v>
      </c>
      <c r="X178" s="6" t="str">
        <v>Internet Services &amp; Software</v>
      </c>
      <c r="Y178" s="6" t="str">
        <v>Internet Services &amp; Software</v>
      </c>
      <c r="Z178" s="6" t="str">
        <v>Internet Services &amp; Software</v>
      </c>
      <c r="AA178" s="6" t="str">
        <v>Other Peripherals;Internet Services &amp; Software;Monitors/Terminals;Computer Consulting Services;Applications Software(Business;Operating Systems</v>
      </c>
      <c r="AB178" s="6" t="str">
        <v>Applications Software(Business;Other Peripherals;Computer Consulting Services;Operating Systems;Monitors/Terminals;Internet Services &amp; Software</v>
      </c>
      <c r="AC178" s="8">
        <v>7</v>
      </c>
      <c r="AD178" s="7">
        <f>=DATE(2005,9,26)</f>
        <v>38620.99949074074</v>
      </c>
    </row>
    <row r="179">
      <c r="A179" s="6" t="str">
        <v>09362H</v>
      </c>
      <c r="B179" s="6" t="str">
        <v>United States</v>
      </c>
      <c r="C179" s="6" t="str">
        <v>Blizzard Entertainment Inc</v>
      </c>
      <c r="D179" s="6" t="str">
        <v>Activision Inc</v>
      </c>
      <c r="F179" s="6" t="str">
        <v>United States</v>
      </c>
      <c r="G179" s="6" t="str">
        <v>Swingin' Ape Studios</v>
      </c>
      <c r="H179" s="6" t="str">
        <v>Prepackaged Software</v>
      </c>
      <c r="I179" s="6" t="str">
        <v>87524K</v>
      </c>
      <c r="J179" s="6" t="str">
        <v>Swingin' Ape Studios</v>
      </c>
      <c r="K179" s="6" t="str">
        <v>Swingin' Ape Studios</v>
      </c>
      <c r="L179" s="7">
        <f>=DATE(2005,5,16)</f>
        <v>38487.99949074074</v>
      </c>
      <c r="M179" s="7">
        <f>=DATE(2005,5,16)</f>
        <v>38487.99949074074</v>
      </c>
      <c r="W179" s="6" t="str">
        <v>Other Software (inq. Games)</v>
      </c>
      <c r="X179" s="6" t="str">
        <v>Other Software (inq. Games)</v>
      </c>
      <c r="Y179" s="6" t="str">
        <v>Other Software (inq. Games)</v>
      </c>
      <c r="Z179" s="6" t="str">
        <v>Other Software (inq. Games)</v>
      </c>
      <c r="AA179" s="6" t="str">
        <v>Other Software (inq. Games)</v>
      </c>
      <c r="AB179" s="6" t="str">
        <v>Other Software (inq. Games)</v>
      </c>
    </row>
    <row r="180">
      <c r="A180" s="6" t="str">
        <v>38259P</v>
      </c>
      <c r="B180" s="6" t="str">
        <v>United States</v>
      </c>
      <c r="C180" s="6" t="str">
        <v>Google Inc</v>
      </c>
      <c r="D180" s="6" t="str">
        <v>Alphabet Inc</v>
      </c>
      <c r="F180" s="6" t="str">
        <v>United States</v>
      </c>
      <c r="G180" s="6" t="str">
        <v>2Web Technologies</v>
      </c>
      <c r="H180" s="6" t="str">
        <v>Business Services</v>
      </c>
      <c r="I180" s="6" t="str">
        <v>90655W</v>
      </c>
      <c r="J180" s="6" t="str">
        <v>2Web Technologies</v>
      </c>
      <c r="K180" s="6" t="str">
        <v>2Web Technologies</v>
      </c>
      <c r="L180" s="7">
        <f>=DATE(2005,6,6)</f>
        <v>38508.99949074074</v>
      </c>
      <c r="M180" s="7">
        <f>=DATE(2005,6,6)</f>
        <v>38508.99949074074</v>
      </c>
      <c r="W180" s="6" t="str">
        <v>Internet Services &amp; Software;Programming Services</v>
      </c>
      <c r="X180" s="6" t="str">
        <v>Data Processing Services;Computer Consulting Services;Other Software (inq. Games);Other Computer Related Svcs</v>
      </c>
      <c r="Y180" s="6" t="str">
        <v>Other Software (inq. Games);Other Computer Related Svcs;Data Processing Services;Computer Consulting Services</v>
      </c>
      <c r="Z180" s="6" t="str">
        <v>Other Computer Related Svcs;Computer Consulting Services;Data Processing Services;Other Software (inq. Games)</v>
      </c>
      <c r="AA180" s="6" t="str">
        <v>Computer Consulting Services;Telecommunications Equipment;Internet Services &amp; Software;Programming Services;Primary Business not Hi-Tech</v>
      </c>
      <c r="AB180" s="6" t="str">
        <v>Internet Services &amp; Software;Primary Business not Hi-Tech;Computer Consulting Services;Telecommunications Equipment;Programming Services</v>
      </c>
    </row>
    <row r="181">
      <c r="A181" s="6" t="str">
        <v>594918</v>
      </c>
      <c r="B181" s="6" t="str">
        <v>United States</v>
      </c>
      <c r="C181" s="6" t="str">
        <v>Microsoft Corp</v>
      </c>
      <c r="D181" s="6" t="str">
        <v>Microsoft Corp</v>
      </c>
      <c r="F181" s="6" t="str">
        <v>United States</v>
      </c>
      <c r="G181" s="6" t="str">
        <v>FrontBridge Technologies Inc</v>
      </c>
      <c r="H181" s="6" t="str">
        <v>Business Services</v>
      </c>
      <c r="I181" s="6" t="str">
        <v>35911X</v>
      </c>
      <c r="J181" s="6" t="str">
        <v>FrontBridge Technologies Inc</v>
      </c>
      <c r="K181" s="6" t="str">
        <v>FrontBridge Technologies Inc</v>
      </c>
      <c r="L181" s="7">
        <f>=DATE(2005,7,20)</f>
        <v>38552.99949074074</v>
      </c>
      <c r="M181" s="7">
        <f>=DATE(2005,8,31)</f>
        <v>38594.99949074074</v>
      </c>
      <c r="W181" s="6" t="str">
        <v>Other Peripherals;Applications Software(Business;Operating Systems;Computer Consulting Services;Internet Services &amp; Software;Monitors/Terminals</v>
      </c>
      <c r="X181" s="6" t="str">
        <v>Other Computer Related Svcs</v>
      </c>
      <c r="Y181" s="6" t="str">
        <v>Other Computer Related Svcs</v>
      </c>
      <c r="Z181" s="6" t="str">
        <v>Other Computer Related Svcs</v>
      </c>
      <c r="AA181" s="6" t="str">
        <v>Other Peripherals;Internet Services &amp; Software;Applications Software(Business;Monitors/Terminals;Computer Consulting Services;Operating Systems</v>
      </c>
      <c r="AB181" s="6" t="str">
        <v>Monitors/Terminals;Applications Software(Business;Computer Consulting Services;Internet Services &amp; Software;Operating Systems;Other Peripherals</v>
      </c>
    </row>
    <row r="182">
      <c r="A182" s="6" t="str">
        <v>38259P</v>
      </c>
      <c r="B182" s="6" t="str">
        <v>United States</v>
      </c>
      <c r="C182" s="6" t="str">
        <v>Google Inc</v>
      </c>
      <c r="D182" s="6" t="str">
        <v>Alphabet Inc</v>
      </c>
      <c r="F182" s="6" t="str">
        <v>United States</v>
      </c>
      <c r="G182" s="6" t="str">
        <v>Android Inc</v>
      </c>
      <c r="H182" s="6" t="str">
        <v>Prepackaged Software</v>
      </c>
      <c r="I182" s="6" t="str">
        <v>03456P</v>
      </c>
      <c r="J182" s="6" t="str">
        <v>Android Inc</v>
      </c>
      <c r="K182" s="6" t="str">
        <v>Android Inc</v>
      </c>
      <c r="L182" s="7">
        <f>=DATE(2005,7,31)</f>
        <v>38563.99949074074</v>
      </c>
      <c r="M182" s="7">
        <f>=DATE(2005,7,31)</f>
        <v>38563.99949074074</v>
      </c>
      <c r="W182" s="6" t="str">
        <v>Internet Services &amp; Software;Programming Services</v>
      </c>
      <c r="X182" s="6" t="str">
        <v>Other Software (inq. Games)</v>
      </c>
      <c r="Y182" s="6" t="str">
        <v>Other Software (inq. Games)</v>
      </c>
      <c r="Z182" s="6" t="str">
        <v>Other Software (inq. Games)</v>
      </c>
      <c r="AA182" s="6" t="str">
        <v>Programming Services;Internet Services &amp; Software;Primary Business not Hi-Tech;Telecommunications Equipment;Computer Consulting Services</v>
      </c>
      <c r="AB182" s="6" t="str">
        <v>Internet Services &amp; Software;Programming Services;Computer Consulting Services;Telecommunications Equipment;Primary Business not Hi-Tech</v>
      </c>
    </row>
    <row r="183">
      <c r="A183" s="6" t="str">
        <v>55126T</v>
      </c>
      <c r="B183" s="6" t="str">
        <v>United States</v>
      </c>
      <c r="C183" s="6" t="str">
        <v>Lynda.com Inc</v>
      </c>
      <c r="D183" s="6" t="str">
        <v>Lynda.com Inc</v>
      </c>
      <c r="F183" s="6" t="str">
        <v>United States</v>
      </c>
      <c r="G183" s="6" t="str">
        <v>Flashforward</v>
      </c>
      <c r="H183" s="6" t="str">
        <v>Prepackaged Software</v>
      </c>
      <c r="I183" s="6" t="str">
        <v>33856J</v>
      </c>
      <c r="J183" s="6" t="str">
        <v>Lynda.com Inc</v>
      </c>
      <c r="K183" s="6" t="str">
        <v>Lynda.com Inc</v>
      </c>
      <c r="L183" s="7">
        <f>=DATE(2005,8,5)</f>
        <v>38568.99949074074</v>
      </c>
      <c r="M183" s="7">
        <f>=DATE(2005,8,5)</f>
        <v>38568.99949074074</v>
      </c>
      <c r="W183" s="6" t="str">
        <v>Internet Services &amp; Software</v>
      </c>
      <c r="X183" s="6" t="str">
        <v>Other Software (inq. Games)</v>
      </c>
      <c r="Y183" s="6" t="str">
        <v>Internet Services &amp; Software</v>
      </c>
      <c r="Z183" s="6" t="str">
        <v>Internet Services &amp; Software</v>
      </c>
      <c r="AA183" s="6" t="str">
        <v>Internet Services &amp; Software</v>
      </c>
      <c r="AB183" s="6" t="str">
        <v>Internet Services &amp; Software</v>
      </c>
    </row>
    <row r="184">
      <c r="A184" s="6" t="str">
        <v>594918</v>
      </c>
      <c r="B184" s="6" t="str">
        <v>United States</v>
      </c>
      <c r="C184" s="6" t="str">
        <v>Microsoft Corp</v>
      </c>
      <c r="D184" s="6" t="str">
        <v>Microsoft Corp</v>
      </c>
      <c r="F184" s="6" t="str">
        <v>United States</v>
      </c>
      <c r="G184" s="6" t="str">
        <v>Teleo Inc</v>
      </c>
      <c r="H184" s="6" t="str">
        <v>Business Services</v>
      </c>
      <c r="I184" s="6" t="str">
        <v>87898W</v>
      </c>
      <c r="J184" s="6" t="str">
        <v>Teleo Inc</v>
      </c>
      <c r="K184" s="6" t="str">
        <v>Teleo Inc</v>
      </c>
      <c r="L184" s="7">
        <f>=DATE(2005,8,29)</f>
        <v>38592.99949074074</v>
      </c>
      <c r="M184" s="7">
        <f>=DATE(2005,8,29)</f>
        <v>38592.99949074074</v>
      </c>
      <c r="W184" s="6" t="str">
        <v>Applications Software(Business;Other Peripherals;Internet Services &amp; Software;Computer Consulting Services;Monitors/Terminals;Operating Systems</v>
      </c>
      <c r="X184" s="6" t="str">
        <v>Networking Systems (LAN,WAN);Internet Services &amp; Software</v>
      </c>
      <c r="Y184" s="6" t="str">
        <v>Networking Systems (LAN,WAN);Internet Services &amp; Software</v>
      </c>
      <c r="Z184" s="6" t="str">
        <v>Internet Services &amp; Software;Networking Systems (LAN,WAN)</v>
      </c>
      <c r="AA184" s="6" t="str">
        <v>Operating Systems;Monitors/Terminals;Computer Consulting Services;Other Peripherals;Internet Services &amp; Software;Applications Software(Business</v>
      </c>
      <c r="AB184" s="6" t="str">
        <v>Applications Software(Business;Other Peripherals;Internet Services &amp; Software;Computer Consulting Services;Monitors/Terminals;Operating Systems</v>
      </c>
    </row>
    <row r="185">
      <c r="A185" s="6" t="str">
        <v>38259P</v>
      </c>
      <c r="B185" s="6" t="str">
        <v>United States</v>
      </c>
      <c r="C185" s="6" t="str">
        <v>Google Inc</v>
      </c>
      <c r="D185" s="6" t="str">
        <v>Alphabet Inc</v>
      </c>
      <c r="F185" s="6" t="str">
        <v>United States</v>
      </c>
      <c r="G185" s="6" t="str">
        <v>Transformic Inc</v>
      </c>
      <c r="H185" s="6" t="str">
        <v>Business Services</v>
      </c>
      <c r="I185" s="6" t="str">
        <v>89329R</v>
      </c>
      <c r="J185" s="6" t="str">
        <v>Transformic Inc</v>
      </c>
      <c r="K185" s="6" t="str">
        <v>Transformic Inc</v>
      </c>
      <c r="L185" s="7">
        <f>=DATE(2005,9,15)</f>
        <v>38609.99949074074</v>
      </c>
      <c r="M185" s="7">
        <f>=DATE(2005,9,15)</f>
        <v>38609.99949074074</v>
      </c>
      <c r="W185" s="6" t="str">
        <v>Programming Services;Internet Services &amp; Software</v>
      </c>
      <c r="X185" s="6" t="str">
        <v>Internet Services &amp; Software</v>
      </c>
      <c r="Y185" s="6" t="str">
        <v>Internet Services &amp; Software</v>
      </c>
      <c r="Z185" s="6" t="str">
        <v>Internet Services &amp; Software</v>
      </c>
      <c r="AA185" s="6" t="str">
        <v>Primary Business not Hi-Tech;Telecommunications Equipment;Programming Services;Computer Consulting Services;Internet Services &amp; Software</v>
      </c>
      <c r="AB185" s="6" t="str">
        <v>Telecommunications Equipment;Internet Services &amp; Software;Programming Services;Primary Business not Hi-Tech;Computer Consulting Services</v>
      </c>
    </row>
    <row r="186">
      <c r="A186" s="6" t="str">
        <v>38259P</v>
      </c>
      <c r="B186" s="6" t="str">
        <v>United States</v>
      </c>
      <c r="C186" s="6" t="str">
        <v>Google Inc</v>
      </c>
      <c r="D186" s="6" t="str">
        <v>Alphabet Inc</v>
      </c>
      <c r="F186" s="6" t="str">
        <v>United States</v>
      </c>
      <c r="G186" s="6" t="str">
        <v>Skia</v>
      </c>
      <c r="H186" s="6" t="str">
        <v>Prepackaged Software</v>
      </c>
      <c r="I186" s="6" t="str">
        <v>87003K</v>
      </c>
      <c r="J186" s="6" t="str">
        <v>Skia</v>
      </c>
      <c r="K186" s="6" t="str">
        <v>Skia</v>
      </c>
      <c r="L186" s="7">
        <f>=DATE(2005,11,1)</f>
        <v>38656.99949074074</v>
      </c>
      <c r="M186" s="7">
        <f>=DATE(2005,11,1)</f>
        <v>38656.99949074074</v>
      </c>
      <c r="W186" s="6" t="str">
        <v>Internet Services &amp; Software;Programming Services</v>
      </c>
      <c r="X186" s="6" t="str">
        <v>Communication/Network Software;Internet Services &amp; Software</v>
      </c>
      <c r="Y186" s="6" t="str">
        <v>Internet Services &amp; Software;Communication/Network Software</v>
      </c>
      <c r="Z186" s="6" t="str">
        <v>Internet Services &amp; Software;Communication/Network Software</v>
      </c>
      <c r="AA186" s="6" t="str">
        <v>Telecommunications Equipment;Computer Consulting Services;Primary Business not Hi-Tech;Internet Services &amp; Software;Programming Services</v>
      </c>
      <c r="AB186" s="6" t="str">
        <v>Computer Consulting Services;Primary Business not Hi-Tech;Telecommunications Equipment;Programming Services;Internet Services &amp; Software</v>
      </c>
    </row>
    <row r="187">
      <c r="A187" s="6" t="str">
        <v>594918</v>
      </c>
      <c r="B187" s="6" t="str">
        <v>United States</v>
      </c>
      <c r="C187" s="6" t="str">
        <v>Microsoft Corp</v>
      </c>
      <c r="D187" s="6" t="str">
        <v>Microsoft Corp</v>
      </c>
      <c r="F187" s="6" t="str">
        <v>United States</v>
      </c>
      <c r="G187" s="6" t="str">
        <v>ByteTaxi Inc</v>
      </c>
      <c r="H187" s="6" t="str">
        <v>Prepackaged Software</v>
      </c>
      <c r="I187" s="6" t="str">
        <v>12906F</v>
      </c>
      <c r="J187" s="6" t="str">
        <v>ByteTaxi Inc</v>
      </c>
      <c r="K187" s="6" t="str">
        <v>ByteTaxi Inc</v>
      </c>
      <c r="L187" s="7">
        <f>=DATE(2005,11,3)</f>
        <v>38658.99949074074</v>
      </c>
      <c r="M187" s="7">
        <f>=DATE(2005,11,3)</f>
        <v>38658.99949074074</v>
      </c>
      <c r="W187" s="6" t="str">
        <v>Applications Software(Business;Monitors/Terminals;Internet Services &amp; Software;Operating Systems;Computer Consulting Services;Other Peripherals</v>
      </c>
      <c r="X187" s="6" t="str">
        <v>Other Software (inq. Games)</v>
      </c>
      <c r="Y187" s="6" t="str">
        <v>Other Software (inq. Games)</v>
      </c>
      <c r="Z187" s="6" t="str">
        <v>Other Software (inq. Games)</v>
      </c>
      <c r="AA187" s="6" t="str">
        <v>Other Peripherals;Computer Consulting Services;Operating Systems;Internet Services &amp; Software;Applications Software(Business;Monitors/Terminals</v>
      </c>
      <c r="AB187" s="6" t="str">
        <v>Monitors/Terminals;Internet Services &amp; Software;Other Peripherals;Operating Systems;Applications Software(Business;Computer Consulting Services</v>
      </c>
    </row>
    <row r="188">
      <c r="A188" s="6" t="str">
        <v>594918</v>
      </c>
      <c r="B188" s="6" t="str">
        <v>United States</v>
      </c>
      <c r="C188" s="6" t="str">
        <v>Microsoft Corp</v>
      </c>
      <c r="D188" s="6" t="str">
        <v>Microsoft Corp</v>
      </c>
      <c r="F188" s="6" t="str">
        <v>United States</v>
      </c>
      <c r="G188" s="6" t="str">
        <v>UMT-Software and IP Assets</v>
      </c>
      <c r="H188" s="6" t="str">
        <v>Prepackaged Software</v>
      </c>
      <c r="I188" s="6" t="str">
        <v>90588E</v>
      </c>
      <c r="J188" s="6" t="str">
        <v>UMT</v>
      </c>
      <c r="K188" s="6" t="str">
        <v>UMT</v>
      </c>
      <c r="L188" s="7">
        <f>=DATE(2005,12,16)</f>
        <v>38701.99949074074</v>
      </c>
      <c r="M188" s="7">
        <f>=DATE(2006,1,19)</f>
        <v>38735.99949074074</v>
      </c>
      <c r="W188" s="6" t="str">
        <v>Computer Consulting Services;Internet Services &amp; Software;Monitors/Terminals;Operating Systems;Other Peripherals;Applications Software(Business</v>
      </c>
      <c r="X188" s="6" t="str">
        <v>Other Software (inq. Games)</v>
      </c>
      <c r="Y188" s="6" t="str">
        <v>Computer Consulting Services</v>
      </c>
      <c r="Z188" s="6" t="str">
        <v>Computer Consulting Services</v>
      </c>
      <c r="AA188" s="6" t="str">
        <v>Monitors/Terminals;Operating Systems;Computer Consulting Services;Internet Services &amp; Software;Other Peripherals;Applications Software(Business</v>
      </c>
      <c r="AB188" s="6" t="str">
        <v>Operating Systems;Applications Software(Business;Monitors/Terminals;Other Peripherals;Computer Consulting Services;Internet Services &amp; Software</v>
      </c>
    </row>
    <row r="189">
      <c r="A189" s="6" t="str">
        <v>38259P</v>
      </c>
      <c r="B189" s="6" t="str">
        <v>United States</v>
      </c>
      <c r="C189" s="6" t="str">
        <v>Google Inc</v>
      </c>
      <c r="D189" s="6" t="str">
        <v>Alphabet Inc</v>
      </c>
      <c r="F189" s="6" t="str">
        <v>United States</v>
      </c>
      <c r="G189" s="6" t="str">
        <v>America Online Inc</v>
      </c>
      <c r="H189" s="6" t="str">
        <v>Business Services</v>
      </c>
      <c r="I189" s="6" t="str">
        <v>02363V</v>
      </c>
      <c r="J189" s="6" t="str">
        <v>Time Warner Inc</v>
      </c>
      <c r="K189" s="6" t="str">
        <v>Time Warner Inc</v>
      </c>
      <c r="L189" s="7">
        <f>=DATE(2005,12,20)</f>
        <v>38705.99949074074</v>
      </c>
      <c r="M189" s="7">
        <f>=DATE(2006,4,1)</f>
        <v>38807.99949074074</v>
      </c>
      <c r="N189" s="8">
        <v>1000</v>
      </c>
      <c r="O189" s="8">
        <v>1000</v>
      </c>
      <c r="P189" s="8" t="str">
        <v>20,000.00</v>
      </c>
      <c r="S189" s="8">
        <v>6121</v>
      </c>
      <c r="W189" s="6" t="str">
        <v>Programming Services;Internet Services &amp; Software</v>
      </c>
      <c r="X189" s="6" t="str">
        <v>Other Computer Related Svcs</v>
      </c>
      <c r="Y189" s="6" t="str">
        <v>Satellite Communications;Internet Services &amp; Software;Communication/Network Software</v>
      </c>
      <c r="Z189" s="6" t="str">
        <v>Satellite Communications;Internet Services &amp; Software;Communication/Network Software</v>
      </c>
      <c r="AA189" s="6" t="str">
        <v>Telecommunications Equipment;Computer Consulting Services;Programming Services;Internet Services &amp; Software;Primary Business not Hi-Tech</v>
      </c>
      <c r="AB189" s="6" t="str">
        <v>Programming Services;Primary Business not Hi-Tech;Computer Consulting Services;Internet Services &amp; Software;Telecommunications Equipment</v>
      </c>
      <c r="AC189" s="8">
        <v>1000</v>
      </c>
      <c r="AD189" s="7">
        <f>=DATE(2005,12,20)</f>
        <v>38705.99949074074</v>
      </c>
      <c r="AF189" s="8" t="str">
        <v>20,000.00</v>
      </c>
      <c r="AG189" s="8" t="str">
        <v>20,000.00</v>
      </c>
    </row>
    <row r="190">
      <c r="A190" s="6" t="str">
        <v>893929</v>
      </c>
      <c r="B190" s="6" t="str">
        <v>United States</v>
      </c>
      <c r="C190" s="6" t="str">
        <v>Transcend Services Inc</v>
      </c>
      <c r="D190" s="6" t="str">
        <v>Transcend Services Inc</v>
      </c>
      <c r="F190" s="6" t="str">
        <v>United States</v>
      </c>
      <c r="G190" s="6" t="str">
        <v>PracticeXpert Inc- Transcription Business Unit</v>
      </c>
      <c r="H190" s="6" t="str">
        <v>Business Services</v>
      </c>
      <c r="I190" s="6" t="str">
        <v>73958W</v>
      </c>
      <c r="J190" s="6" t="str">
        <v>PracticeXpert Inc</v>
      </c>
      <c r="K190" s="6" t="str">
        <v>PracticeXpert Inc</v>
      </c>
      <c r="L190" s="7">
        <f>=DATE(2005,12,30)</f>
        <v>38715.99949074074</v>
      </c>
      <c r="M190" s="7">
        <f>=DATE(2006,1,3)</f>
        <v>38719.99949074074</v>
      </c>
      <c r="N190" s="8">
        <v>0.54</v>
      </c>
      <c r="O190" s="8">
        <v>0.54</v>
      </c>
      <c r="W190" s="6" t="str">
        <v>Other Computer Related Svcs;Data Processing Services</v>
      </c>
      <c r="X190" s="6" t="str">
        <v>Other Software (inq. Games)</v>
      </c>
      <c r="Y190" s="6" t="str">
        <v>Other Software (inq. Games)</v>
      </c>
      <c r="Z190" s="6" t="str">
        <v>Other Software (inq. Games)</v>
      </c>
      <c r="AA190" s="6" t="str">
        <v>Data Processing Services;Other Computer Related Svcs</v>
      </c>
      <c r="AB190" s="6" t="str">
        <v>Data Processing Services;Other Computer Related Svcs</v>
      </c>
      <c r="AC190" s="8">
        <v>0.54</v>
      </c>
      <c r="AD190" s="7">
        <f>=DATE(2005,12,30)</f>
        <v>38715.99949074074</v>
      </c>
    </row>
    <row r="191">
      <c r="A191" s="6" t="str">
        <v>38259P</v>
      </c>
      <c r="B191" s="6" t="str">
        <v>United States</v>
      </c>
      <c r="C191" s="6" t="str">
        <v>Google Inc</v>
      </c>
      <c r="D191" s="6" t="str">
        <v>Alphabet Inc</v>
      </c>
      <c r="F191" s="6" t="str">
        <v>United States</v>
      </c>
      <c r="G191" s="6" t="str">
        <v>dMarc Broadcasting Inc</v>
      </c>
      <c r="H191" s="6" t="str">
        <v>Prepackaged Software</v>
      </c>
      <c r="I191" s="6" t="str">
        <v>23554V</v>
      </c>
      <c r="J191" s="6" t="str">
        <v>dMarc Broadcasting Inc</v>
      </c>
      <c r="K191" s="6" t="str">
        <v>dMarc Broadcasting Inc</v>
      </c>
      <c r="L191" s="7">
        <f>=DATE(2006,1,16)</f>
        <v>38732.99949074074</v>
      </c>
      <c r="M191" s="7">
        <f>=DATE(2006,2,28)</f>
        <v>38775.99949074074</v>
      </c>
      <c r="N191" s="8">
        <v>102</v>
      </c>
      <c r="O191" s="8">
        <v>102</v>
      </c>
      <c r="W191" s="6" t="str">
        <v>Internet Services &amp; Software;Programming Services</v>
      </c>
      <c r="X191" s="6" t="str">
        <v>Communication/Network Software;Networking Systems (LAN,WAN);Other Computer Systems;Other Peripherals</v>
      </c>
      <c r="Y191" s="6" t="str">
        <v>Networking Systems (LAN,WAN);Communication/Network Software;Other Peripherals;Other Computer Systems</v>
      </c>
      <c r="Z191" s="6" t="str">
        <v>Networking Systems (LAN,WAN);Other Peripherals;Communication/Network Software;Other Computer Systems</v>
      </c>
      <c r="AA191" s="6" t="str">
        <v>Programming Services;Telecommunications Equipment;Internet Services &amp; Software;Computer Consulting Services;Primary Business not Hi-Tech</v>
      </c>
      <c r="AB191" s="6" t="str">
        <v>Internet Services &amp; Software;Primary Business not Hi-Tech;Programming Services;Telecommunications Equipment;Computer Consulting Services</v>
      </c>
      <c r="AC191" s="8">
        <v>102</v>
      </c>
      <c r="AD191" s="7">
        <f>=DATE(2006,1,16)</f>
        <v>38732.99949074074</v>
      </c>
      <c r="AF191" s="8" t="str">
        <v>102.00</v>
      </c>
      <c r="AG191" s="8" t="str">
        <v>102.00</v>
      </c>
    </row>
    <row r="192">
      <c r="A192" s="6" t="str">
        <v>594918</v>
      </c>
      <c r="B192" s="6" t="str">
        <v>United States</v>
      </c>
      <c r="C192" s="6" t="str">
        <v>Microsoft Corp</v>
      </c>
      <c r="D192" s="6" t="str">
        <v>Microsoft Corp</v>
      </c>
      <c r="F192" s="6" t="str">
        <v>United States</v>
      </c>
      <c r="G192" s="6" t="str">
        <v>Seadragon Software</v>
      </c>
      <c r="H192" s="6" t="str">
        <v>Prepackaged Software</v>
      </c>
      <c r="I192" s="6" t="str">
        <v>81133K</v>
      </c>
      <c r="J192" s="6" t="str">
        <v>Seadragon Software</v>
      </c>
      <c r="K192" s="6" t="str">
        <v>Seadragon Software</v>
      </c>
      <c r="L192" s="7">
        <f>=DATE(2006,1,28)</f>
        <v>38744.99949074074</v>
      </c>
      <c r="M192" s="7">
        <f>=DATE(2006,2,13)</f>
        <v>38760.99949074074</v>
      </c>
      <c r="W192" s="6" t="str">
        <v>Monitors/Terminals;Internet Services &amp; Software;Applications Software(Business;Other Peripherals;Computer Consulting Services;Operating Systems</v>
      </c>
      <c r="X192" s="6" t="str">
        <v>Other Software (inq. Games)</v>
      </c>
      <c r="Y192" s="6" t="str">
        <v>Other Software (inq. Games)</v>
      </c>
      <c r="Z192" s="6" t="str">
        <v>Other Software (inq. Games)</v>
      </c>
      <c r="AA192" s="6" t="str">
        <v>Other Peripherals;Operating Systems;Applications Software(Business;Computer Consulting Services;Internet Services &amp; Software;Monitors/Terminals</v>
      </c>
      <c r="AB192" s="6" t="str">
        <v>Monitors/Terminals;Internet Services &amp; Software;Operating Systems;Other Peripherals;Computer Consulting Services;Applications Software(Business</v>
      </c>
    </row>
    <row r="193">
      <c r="A193" s="6" t="str">
        <v>01157Z</v>
      </c>
      <c r="B193" s="6" t="str">
        <v>United States</v>
      </c>
      <c r="C193" s="6" t="str">
        <v>Atrua Technologies Inc</v>
      </c>
      <c r="D193" s="6" t="str">
        <v>Atrua Technologies Inc</v>
      </c>
      <c r="F193" s="6" t="str">
        <v>United States</v>
      </c>
      <c r="G193" s="6" t="str">
        <v>Varatouch Technology Inc</v>
      </c>
      <c r="H193" s="6" t="str">
        <v>Prepackaged Software</v>
      </c>
      <c r="I193" s="6" t="str">
        <v>92312A</v>
      </c>
      <c r="J193" s="6" t="str">
        <v>Varatouch Technology Inc</v>
      </c>
      <c r="K193" s="6" t="str">
        <v>Varatouch Technology Inc</v>
      </c>
      <c r="L193" s="7">
        <f>=DATE(2006,2,1)</f>
        <v>38748.99949074074</v>
      </c>
      <c r="M193" s="7">
        <f>=DATE(2006,2,14)</f>
        <v>38761.99949074074</v>
      </c>
      <c r="W193" s="6" t="str">
        <v>Applications Software(Business;Communication/Network Software;Semiconductors</v>
      </c>
      <c r="X193" s="6" t="str">
        <v>Communication/Network Software</v>
      </c>
      <c r="Y193" s="6" t="str">
        <v>Communication/Network Software</v>
      </c>
      <c r="Z193" s="6" t="str">
        <v>Communication/Network Software</v>
      </c>
      <c r="AA193" s="6" t="str">
        <v>Semiconductors;Communication/Network Software;Applications Software(Business</v>
      </c>
      <c r="AB193" s="6" t="str">
        <v>Applications Software(Business;Semiconductors;Communication/Network Software</v>
      </c>
    </row>
    <row r="194">
      <c r="A194" s="6" t="str">
        <v>67020Y</v>
      </c>
      <c r="B194" s="6" t="str">
        <v>United States</v>
      </c>
      <c r="C194" s="6" t="str">
        <v>Nuance Communications Inc</v>
      </c>
      <c r="D194" s="6" t="str">
        <v>Nuance Communications Inc</v>
      </c>
      <c r="F194" s="6" t="str">
        <v>United States</v>
      </c>
      <c r="G194" s="6" t="str">
        <v>Dictaphone Corp</v>
      </c>
      <c r="H194" s="6" t="str">
        <v>Communications Equipment</v>
      </c>
      <c r="I194" s="6" t="str">
        <v>253579</v>
      </c>
      <c r="J194" s="6" t="str">
        <v>Dictaphone Corp</v>
      </c>
      <c r="K194" s="6" t="str">
        <v>Dictaphone Corp</v>
      </c>
      <c r="L194" s="7">
        <f>=DATE(2006,2,8)</f>
        <v>38755.99949074074</v>
      </c>
      <c r="M194" s="7">
        <f>=DATE(2006,3,31)</f>
        <v>38806.99949074074</v>
      </c>
      <c r="N194" s="8">
        <v>357</v>
      </c>
      <c r="O194" s="8">
        <v>357</v>
      </c>
      <c r="R194" s="8">
        <v>12.58</v>
      </c>
      <c r="S194" s="8">
        <v>70.456</v>
      </c>
      <c r="T194" s="8">
        <v>-34.332</v>
      </c>
      <c r="U194" s="8">
        <v>29.563</v>
      </c>
      <c r="V194" s="8">
        <v>16.462</v>
      </c>
      <c r="W194" s="6" t="str">
        <v>Communication/Network Software;Internet Services &amp; Software;Applications Software(Business;Computer Consulting Services;Other Computer Related Svcs;Utilities/File Mgmt Software;Desktop Publishing;Programming Services;Other Software (inq. Games);Applications Software(Home);Database Software/Programming;Primary Business not Hi-Tech;Networking Systems (LAN,WAN)</v>
      </c>
      <c r="X194" s="6" t="str">
        <v>Telephone Interconnect Equip;Messaging Systems;Data Commun(Exclude networking;Other Telecommunications Equip;Modems</v>
      </c>
      <c r="Y194" s="6" t="str">
        <v>Data Commun(Exclude networking;Other Telecommunications Equip;Telephone Interconnect Equip;Messaging Systems;Modems</v>
      </c>
      <c r="Z194" s="6" t="str">
        <v>Modems;Messaging Systems;Telephone Interconnect Equip;Data Commun(Exclude networking;Other Telecommunications Equip</v>
      </c>
      <c r="AA194" s="6" t="str">
        <v>Utilities/File Mgmt Software;Computer Consulting Services;Programming Services;Internet Services &amp; Software;Communication/Network Software;Desktop Publishing;Applications Software(Home);Other Computer Related Svcs;Other Software (inq. Games);Networking Systems (LAN,WAN);Database Software/Programming;Primary Business not Hi-Tech;Applications Software(Business</v>
      </c>
      <c r="AB194" s="6" t="str">
        <v>Applications Software(Business;Programming Services;Desktop Publishing;Primary Business not Hi-Tech;Computer Consulting Services;Internet Services &amp; Software;Applications Software(Home);Database Software/Programming;Utilities/File Mgmt Software;Networking Systems (LAN,WAN);Other Computer Related Svcs;Communication/Network Software;Other Software (inq. Games)</v>
      </c>
      <c r="AC194" s="8">
        <v>357</v>
      </c>
      <c r="AD194" s="7">
        <f>=DATE(2006,2,8)</f>
        <v>38755.99949074074</v>
      </c>
    </row>
    <row r="195">
      <c r="A195" s="6" t="str">
        <v>38259P</v>
      </c>
      <c r="B195" s="6" t="str">
        <v>United States</v>
      </c>
      <c r="C195" s="6" t="str">
        <v>Google Inc</v>
      </c>
      <c r="D195" s="6" t="str">
        <v>Alphabet Inc</v>
      </c>
      <c r="F195" s="6" t="str">
        <v>United States</v>
      </c>
      <c r="G195" s="6" t="str">
        <v>Measure Map</v>
      </c>
      <c r="H195" s="6" t="str">
        <v>Business Services</v>
      </c>
      <c r="I195" s="6" t="str">
        <v>58341X</v>
      </c>
      <c r="J195" s="6" t="str">
        <v>Measure Map</v>
      </c>
      <c r="K195" s="6" t="str">
        <v>Measure Map</v>
      </c>
      <c r="L195" s="7">
        <f>=DATE(2006,2,20)</f>
        <v>38767.99949074074</v>
      </c>
      <c r="M195" s="7">
        <f>=DATE(2006,2,20)</f>
        <v>38767.99949074074</v>
      </c>
      <c r="W195" s="6" t="str">
        <v>Programming Services;Internet Services &amp; Software</v>
      </c>
      <c r="X195" s="6" t="str">
        <v>Internet Services &amp; Software</v>
      </c>
      <c r="Y195" s="6" t="str">
        <v>Internet Services &amp; Software</v>
      </c>
      <c r="Z195" s="6" t="str">
        <v>Internet Services &amp; Software</v>
      </c>
      <c r="AA195" s="6" t="str">
        <v>Computer Consulting Services;Internet Services &amp; Software;Telecommunications Equipment;Programming Services;Primary Business not Hi-Tech</v>
      </c>
      <c r="AB195" s="6" t="str">
        <v>Programming Services;Telecommunications Equipment;Internet Services &amp; Software;Primary Business not Hi-Tech;Computer Consulting Services</v>
      </c>
    </row>
    <row r="196">
      <c r="A196" s="6" t="str">
        <v>023135</v>
      </c>
      <c r="B196" s="6" t="str">
        <v>United States</v>
      </c>
      <c r="C196" s="6" t="str">
        <v>Amazon.com Inc</v>
      </c>
      <c r="D196" s="6" t="str">
        <v>Amazon.com Inc</v>
      </c>
      <c r="F196" s="6" t="str">
        <v>United States</v>
      </c>
      <c r="G196" s="6" t="str">
        <v>Shopbop.com</v>
      </c>
      <c r="H196" s="6" t="str">
        <v>Business Services</v>
      </c>
      <c r="I196" s="6" t="str">
        <v>83111R</v>
      </c>
      <c r="J196" s="6" t="str">
        <v>Shopbop.com</v>
      </c>
      <c r="K196" s="6" t="str">
        <v>Shopbop.com</v>
      </c>
      <c r="L196" s="7">
        <f>=DATE(2006,2,27)</f>
        <v>38774.99949074074</v>
      </c>
      <c r="M196" s="7">
        <f>=DATE(2006,2,27)</f>
        <v>38774.99949074074</v>
      </c>
      <c r="W196" s="6" t="str">
        <v>Primary Business not Hi-Tech</v>
      </c>
      <c r="X196" s="6" t="str">
        <v>Networking Systems (LAN,WAN);Internet Services &amp; Software</v>
      </c>
      <c r="Y196" s="6" t="str">
        <v>Internet Services &amp; Software;Networking Systems (LAN,WAN)</v>
      </c>
      <c r="Z196" s="6" t="str">
        <v>Networking Systems (LAN,WAN);Internet Services &amp; Software</v>
      </c>
      <c r="AA196" s="6" t="str">
        <v>Primary Business not Hi-Tech</v>
      </c>
      <c r="AB196" s="6" t="str">
        <v>Primary Business not Hi-Tech</v>
      </c>
    </row>
    <row r="197">
      <c r="A197" s="6" t="str">
        <v>594918</v>
      </c>
      <c r="B197" s="6" t="str">
        <v>United States</v>
      </c>
      <c r="C197" s="6" t="str">
        <v>Microsoft Corp</v>
      </c>
      <c r="D197" s="6" t="str">
        <v>Microsoft Corp</v>
      </c>
      <c r="F197" s="6" t="str">
        <v>United States</v>
      </c>
      <c r="G197" s="6" t="str">
        <v>Apptimum Inc</v>
      </c>
      <c r="H197" s="6" t="str">
        <v>Prepackaged Software</v>
      </c>
      <c r="I197" s="6" t="str">
        <v>03807C</v>
      </c>
      <c r="J197" s="6" t="str">
        <v>Apptimum Inc</v>
      </c>
      <c r="K197" s="6" t="str">
        <v>Apptimum Inc</v>
      </c>
      <c r="L197" s="7">
        <f>=DATE(2006,3,7)</f>
        <v>38782.99949074074</v>
      </c>
      <c r="M197" s="7">
        <f>=DATE(2006,3,7)</f>
        <v>38782.99949074074</v>
      </c>
      <c r="W197" s="6" t="str">
        <v>Monitors/Terminals;Internet Services &amp; Software;Operating Systems;Applications Software(Business;Other Peripherals;Computer Consulting Services</v>
      </c>
      <c r="X197" s="6" t="str">
        <v>Other Software (inq. Games)</v>
      </c>
      <c r="Y197" s="6" t="str">
        <v>Other Software (inq. Games)</v>
      </c>
      <c r="Z197" s="6" t="str">
        <v>Other Software (inq. Games)</v>
      </c>
      <c r="AA197" s="6" t="str">
        <v>Monitors/Terminals;Other Peripherals;Computer Consulting Services;Internet Services &amp; Software;Operating Systems;Applications Software(Business</v>
      </c>
      <c r="AB197" s="6" t="str">
        <v>Applications Software(Business;Other Peripherals;Internet Services &amp; Software;Monitors/Terminals;Computer Consulting Services;Operating Systems</v>
      </c>
    </row>
    <row r="198">
      <c r="A198" s="6" t="str">
        <v>594918</v>
      </c>
      <c r="B198" s="6" t="str">
        <v>United States</v>
      </c>
      <c r="C198" s="6" t="str">
        <v>Microsoft Corp</v>
      </c>
      <c r="D198" s="6" t="str">
        <v>Microsoft Corp</v>
      </c>
      <c r="F198" s="6" t="str">
        <v>United States</v>
      </c>
      <c r="G198" s="6" t="str">
        <v>Onfolio Inc</v>
      </c>
      <c r="H198" s="6" t="str">
        <v>Prepackaged Software</v>
      </c>
      <c r="I198" s="6" t="str">
        <v>68298X</v>
      </c>
      <c r="J198" s="6" t="str">
        <v>Onfolio Inc</v>
      </c>
      <c r="K198" s="6" t="str">
        <v>Onfolio Inc</v>
      </c>
      <c r="L198" s="7">
        <f>=DATE(2006,3,7)</f>
        <v>38782.99949074074</v>
      </c>
      <c r="M198" s="7">
        <f>=DATE(2006,3,7)</f>
        <v>38782.99949074074</v>
      </c>
      <c r="W198" s="6" t="str">
        <v>Applications Software(Business;Computer Consulting Services;Monitors/Terminals;Other Peripherals;Operating Systems;Internet Services &amp; Software</v>
      </c>
      <c r="X198" s="6" t="str">
        <v>Communication/Network Software;Internet Services &amp; Software</v>
      </c>
      <c r="Y198" s="6" t="str">
        <v>Communication/Network Software;Internet Services &amp; Software</v>
      </c>
      <c r="Z198" s="6" t="str">
        <v>Internet Services &amp; Software;Communication/Network Software</v>
      </c>
      <c r="AA198" s="6" t="str">
        <v>Monitors/Terminals;Operating Systems;Other Peripherals;Computer Consulting Services;Applications Software(Business;Internet Services &amp; Software</v>
      </c>
      <c r="AB198" s="6" t="str">
        <v>Operating Systems;Applications Software(Business;Monitors/Terminals;Internet Services &amp; Software;Computer Consulting Services;Other Peripherals</v>
      </c>
    </row>
    <row r="199">
      <c r="A199" s="6" t="str">
        <v>38259P</v>
      </c>
      <c r="B199" s="6" t="str">
        <v>United States</v>
      </c>
      <c r="C199" s="6" t="str">
        <v>Google Inc</v>
      </c>
      <c r="D199" s="6" t="str">
        <v>Alphabet Inc</v>
      </c>
      <c r="F199" s="6" t="str">
        <v>United States</v>
      </c>
      <c r="G199" s="6" t="str">
        <v>Upstartle LLC</v>
      </c>
      <c r="H199" s="6" t="str">
        <v>Prepackaged Software</v>
      </c>
      <c r="I199" s="6" t="str">
        <v>91678J</v>
      </c>
      <c r="J199" s="6" t="str">
        <v>Upstartle LLC</v>
      </c>
      <c r="K199" s="6" t="str">
        <v>Upstartle LLC</v>
      </c>
      <c r="L199" s="7">
        <f>=DATE(2006,3,9)</f>
        <v>38784.99949074074</v>
      </c>
      <c r="M199" s="7">
        <f>=DATE(2006,3,9)</f>
        <v>38784.99949074074</v>
      </c>
      <c r="W199" s="6" t="str">
        <v>Programming Services;Internet Services &amp; Software</v>
      </c>
      <c r="X199" s="6" t="str">
        <v>Communication/Network Software;Internet Services &amp; Software</v>
      </c>
      <c r="Y199" s="6" t="str">
        <v>Communication/Network Software;Internet Services &amp; Software</v>
      </c>
      <c r="Z199" s="6" t="str">
        <v>Internet Services &amp; Software;Communication/Network Software</v>
      </c>
      <c r="AA199" s="6" t="str">
        <v>Internet Services &amp; Software;Primary Business not Hi-Tech;Programming Services;Telecommunications Equipment;Computer Consulting Services</v>
      </c>
      <c r="AB199" s="6" t="str">
        <v>Primary Business not Hi-Tech;Computer Consulting Services;Telecommunications Equipment;Internet Services &amp; Software;Programming Services</v>
      </c>
    </row>
    <row r="200">
      <c r="A200" s="6" t="str">
        <v>38259P</v>
      </c>
      <c r="B200" s="6" t="str">
        <v>United States</v>
      </c>
      <c r="C200" s="6" t="str">
        <v>Google Inc</v>
      </c>
      <c r="D200" s="6" t="str">
        <v>Alphabet Inc</v>
      </c>
      <c r="F200" s="6" t="str">
        <v>United States</v>
      </c>
      <c r="G200" s="6" t="str">
        <v>@Last Software</v>
      </c>
      <c r="H200" s="6" t="str">
        <v>Prepackaged Software</v>
      </c>
      <c r="I200" s="6" t="str">
        <v>04676W</v>
      </c>
      <c r="J200" s="6" t="str">
        <v>@Last Software</v>
      </c>
      <c r="K200" s="6" t="str">
        <v>@Last Software</v>
      </c>
      <c r="L200" s="7">
        <f>=DATE(2006,3,15)</f>
        <v>38790.99949074074</v>
      </c>
      <c r="M200" s="7">
        <f>=DATE(2006,3,15)</f>
        <v>38790.99949074074</v>
      </c>
      <c r="W200" s="6" t="str">
        <v>Internet Services &amp; Software;Programming Services</v>
      </c>
      <c r="X200" s="6" t="str">
        <v>Other Software (inq. Games)</v>
      </c>
      <c r="Y200" s="6" t="str">
        <v>Other Software (inq. Games)</v>
      </c>
      <c r="Z200" s="6" t="str">
        <v>Other Software (inq. Games)</v>
      </c>
      <c r="AA200" s="6" t="str">
        <v>Internet Services &amp; Software;Programming Services;Telecommunications Equipment;Primary Business not Hi-Tech;Computer Consulting Services</v>
      </c>
      <c r="AB200" s="6" t="str">
        <v>Primary Business not Hi-Tech;Internet Services &amp; Software;Programming Services;Computer Consulting Services;Telecommunications Equipment</v>
      </c>
    </row>
    <row r="201">
      <c r="A201" s="6" t="str">
        <v>594918</v>
      </c>
      <c r="B201" s="6" t="str">
        <v>United States</v>
      </c>
      <c r="C201" s="6" t="str">
        <v>Microsoft Corp</v>
      </c>
      <c r="D201" s="6" t="str">
        <v>Microsoft Corp</v>
      </c>
      <c r="F201" s="6" t="str">
        <v>United States</v>
      </c>
      <c r="G201" s="6" t="str">
        <v>Vexcel Corp</v>
      </c>
      <c r="H201" s="6" t="str">
        <v>Prepackaged Software</v>
      </c>
      <c r="I201" s="6" t="str">
        <v>92198Q</v>
      </c>
      <c r="J201" s="6" t="str">
        <v>Vexcel Corp</v>
      </c>
      <c r="K201" s="6" t="str">
        <v>Vexcel Corp</v>
      </c>
      <c r="L201" s="7">
        <f>=DATE(2006,3,20)</f>
        <v>38795.99949074074</v>
      </c>
      <c r="M201" s="7">
        <f>=DATE(2006,5,4)</f>
        <v>38840.99949074074</v>
      </c>
      <c r="W201" s="6" t="str">
        <v>Applications Software(Business;Operating Systems;Internet Services &amp; Software;Other Peripherals;Computer Consulting Services;Monitors/Terminals</v>
      </c>
      <c r="X201" s="6" t="str">
        <v>Other Software (inq. Games)</v>
      </c>
      <c r="Y201" s="6" t="str">
        <v>Other Software (inq. Games)</v>
      </c>
      <c r="Z201" s="6" t="str">
        <v>Other Software (inq. Games)</v>
      </c>
      <c r="AA201" s="6" t="str">
        <v>Other Peripherals;Computer Consulting Services;Operating Systems;Internet Services &amp; Software;Monitors/Terminals;Applications Software(Business</v>
      </c>
      <c r="AB201" s="6" t="str">
        <v>Operating Systems;Other Peripherals;Applications Software(Business;Computer Consulting Services;Monitors/Terminals;Internet Services &amp; Software</v>
      </c>
    </row>
    <row r="202">
      <c r="A202" s="6" t="str">
        <v>594918</v>
      </c>
      <c r="B202" s="6" t="str">
        <v>United States</v>
      </c>
      <c r="C202" s="6" t="str">
        <v>Microsoft Corp</v>
      </c>
      <c r="D202" s="6" t="str">
        <v>Microsoft Corp</v>
      </c>
      <c r="F202" s="6" t="str">
        <v>United States</v>
      </c>
      <c r="G202" s="6" t="str">
        <v>ProClarity Corp</v>
      </c>
      <c r="H202" s="6" t="str">
        <v>Prepackaged Software</v>
      </c>
      <c r="I202" s="6" t="str">
        <v>74508T</v>
      </c>
      <c r="J202" s="6" t="str">
        <v>ProClarity Corp</v>
      </c>
      <c r="K202" s="6" t="str">
        <v>ProClarity Corp</v>
      </c>
      <c r="L202" s="7">
        <f>=DATE(2006,4,3)</f>
        <v>38809.99949074074</v>
      </c>
      <c r="M202" s="7">
        <f>=DATE(2006,6,6)</f>
        <v>38873.99949074074</v>
      </c>
      <c r="W202" s="6" t="str">
        <v>Applications Software(Business;Other Peripherals;Monitors/Terminals;Operating Systems;Computer Consulting Services;Internet Services &amp; Software</v>
      </c>
      <c r="X202" s="6" t="str">
        <v>Other Software (inq. Games)</v>
      </c>
      <c r="Y202" s="6" t="str">
        <v>Other Software (inq. Games)</v>
      </c>
      <c r="Z202" s="6" t="str">
        <v>Other Software (inq. Games)</v>
      </c>
      <c r="AA202" s="6" t="str">
        <v>Computer Consulting Services;Operating Systems;Applications Software(Business;Other Peripherals;Internet Services &amp; Software;Monitors/Terminals</v>
      </c>
      <c r="AB202" s="6" t="str">
        <v>Monitors/Terminals;Computer Consulting Services;Other Peripherals;Operating Systems;Applications Software(Business;Internet Services &amp; Software</v>
      </c>
    </row>
    <row r="203">
      <c r="A203" s="6" t="str">
        <v>594918</v>
      </c>
      <c r="B203" s="6" t="str">
        <v>United States</v>
      </c>
      <c r="C203" s="6" t="str">
        <v>Microsoft Corp</v>
      </c>
      <c r="D203" s="6" t="str">
        <v>Microsoft Corp</v>
      </c>
      <c r="F203" s="6" t="str">
        <v>United States</v>
      </c>
      <c r="G203" s="6" t="str">
        <v>Massive Inc</v>
      </c>
      <c r="H203" s="6" t="str">
        <v>Advertising Services</v>
      </c>
      <c r="I203" s="6" t="str">
        <v>57625C</v>
      </c>
      <c r="J203" s="6" t="str">
        <v>Massive Inc</v>
      </c>
      <c r="K203" s="6" t="str">
        <v>Massive Inc</v>
      </c>
      <c r="L203" s="7">
        <f>=DATE(2006,4,26)</f>
        <v>38832.99949074074</v>
      </c>
      <c r="M203" s="7">
        <f>=DATE(2006,5,4)</f>
        <v>38840.99949074074</v>
      </c>
      <c r="W203" s="6" t="str">
        <v>Monitors/Terminals;Computer Consulting Services;Operating Systems;Applications Software(Business;Other Peripherals;Internet Services &amp; Software</v>
      </c>
      <c r="X203" s="6" t="str">
        <v>Internet Services &amp; Software</v>
      </c>
      <c r="Y203" s="6" t="str">
        <v>Internet Services &amp; Software</v>
      </c>
      <c r="Z203" s="6" t="str">
        <v>Internet Services &amp; Software</v>
      </c>
      <c r="AA203" s="6" t="str">
        <v>Applications Software(Business;Other Peripherals;Computer Consulting Services;Internet Services &amp; Software;Monitors/Terminals;Operating Systems</v>
      </c>
      <c r="AB203" s="6" t="str">
        <v>Applications Software(Business;Monitors/Terminals;Computer Consulting Services;Internet Services &amp; Software;Operating Systems;Other Peripherals</v>
      </c>
    </row>
    <row r="204">
      <c r="A204" s="6" t="str">
        <v>03839G</v>
      </c>
      <c r="B204" s="6" t="str">
        <v>United States</v>
      </c>
      <c r="C204" s="6" t="str">
        <v>aQuantive Inc</v>
      </c>
      <c r="D204" s="6" t="str">
        <v>aQuantive Inc</v>
      </c>
      <c r="F204" s="6" t="str">
        <v>United States</v>
      </c>
      <c r="G204" s="6" t="str">
        <v>Franchise Gator LLC</v>
      </c>
      <c r="H204" s="6" t="str">
        <v>Business Services</v>
      </c>
      <c r="I204" s="6" t="str">
        <v>35196H</v>
      </c>
      <c r="J204" s="6" t="str">
        <v>Franchise Gator LLC</v>
      </c>
      <c r="K204" s="6" t="str">
        <v>Franchise Gator LLC</v>
      </c>
      <c r="L204" s="7">
        <f>=DATE(2006,5,17)</f>
        <v>38853.99949074074</v>
      </c>
      <c r="M204" s="7">
        <f>=DATE(2006,5,17)</f>
        <v>38853.99949074074</v>
      </c>
      <c r="N204" s="8">
        <v>21.5</v>
      </c>
      <c r="O204" s="8">
        <v>21.5</v>
      </c>
      <c r="W204" s="6" t="str">
        <v>Internet Services &amp; Software</v>
      </c>
      <c r="X204" s="6" t="str">
        <v>Internet Services &amp; Software;Communication/Network Software</v>
      </c>
      <c r="Y204" s="6" t="str">
        <v>Communication/Network Software;Internet Services &amp; Software</v>
      </c>
      <c r="Z204" s="6" t="str">
        <v>Communication/Network Software;Internet Services &amp; Software</v>
      </c>
      <c r="AA204" s="6" t="str">
        <v>Internet Services &amp; Software</v>
      </c>
      <c r="AB204" s="6" t="str">
        <v>Internet Services &amp; Software</v>
      </c>
      <c r="AC204" s="8">
        <v>21.5</v>
      </c>
      <c r="AD204" s="7">
        <f>=DATE(2006,5,17)</f>
        <v>38853.99949074074</v>
      </c>
    </row>
    <row r="205">
      <c r="A205" s="6" t="str">
        <v>594918</v>
      </c>
      <c r="B205" s="6" t="str">
        <v>United States</v>
      </c>
      <c r="C205" s="6" t="str">
        <v>Microsoft Corp</v>
      </c>
      <c r="D205" s="6" t="str">
        <v>Microsoft Corp</v>
      </c>
      <c r="F205" s="6" t="str">
        <v>United States</v>
      </c>
      <c r="G205" s="6" t="str">
        <v>Whale Communications Ltd</v>
      </c>
      <c r="H205" s="6" t="str">
        <v>Business Services</v>
      </c>
      <c r="I205" s="6" t="str">
        <v>96222J</v>
      </c>
      <c r="J205" s="6" t="str">
        <v>Whale Communications Ltd</v>
      </c>
      <c r="K205" s="6" t="str">
        <v>Whale Communications Ltd</v>
      </c>
      <c r="L205" s="7">
        <f>=DATE(2006,5,18)</f>
        <v>38854.99949074074</v>
      </c>
      <c r="M205" s="7">
        <f>=DATE(2006,7,26)</f>
        <v>38923.99949074074</v>
      </c>
      <c r="W205" s="6" t="str">
        <v>Internet Services &amp; Software;Applications Software(Business;Operating Systems;Computer Consulting Services;Other Peripherals;Monitors/Terminals</v>
      </c>
      <c r="X205" s="6" t="str">
        <v>Computer Consulting Services;Other Computer Related Svcs;Programming Services</v>
      </c>
      <c r="Y205" s="6" t="str">
        <v>Other Computer Related Svcs;Computer Consulting Services;Programming Services</v>
      </c>
      <c r="Z205" s="6" t="str">
        <v>Computer Consulting Services;Other Computer Related Svcs;Programming Services</v>
      </c>
      <c r="AA205" s="6" t="str">
        <v>Computer Consulting Services;Monitors/Terminals;Applications Software(Business;Other Peripherals;Operating Systems;Internet Services &amp; Software</v>
      </c>
      <c r="AB205" s="6" t="str">
        <v>Operating Systems;Monitors/Terminals;Computer Consulting Services;Other Peripherals;Applications Software(Business;Internet Services &amp; Software</v>
      </c>
    </row>
    <row r="206">
      <c r="A206" s="6" t="str">
        <v>594918</v>
      </c>
      <c r="B206" s="6" t="str">
        <v>United States</v>
      </c>
      <c r="C206" s="6" t="str">
        <v>Microsoft Corp</v>
      </c>
      <c r="D206" s="6" t="str">
        <v>Microsoft Corp</v>
      </c>
      <c r="F206" s="6" t="str">
        <v>United States</v>
      </c>
      <c r="G206" s="6" t="str">
        <v>Softricity Inc</v>
      </c>
      <c r="H206" s="6" t="str">
        <v>Prepackaged Software</v>
      </c>
      <c r="I206" s="6" t="str">
        <v>83527A</v>
      </c>
      <c r="J206" s="6" t="str">
        <v>Softricity Inc</v>
      </c>
      <c r="K206" s="6" t="str">
        <v>Softricity Inc</v>
      </c>
      <c r="L206" s="7">
        <f>=DATE(2006,5,22)</f>
        <v>38858.99949074074</v>
      </c>
      <c r="M206" s="7">
        <f>=DATE(2006,7,17)</f>
        <v>38914.99949074074</v>
      </c>
      <c r="W206" s="6" t="str">
        <v>Operating Systems;Monitors/Terminals;Computer Consulting Services;Applications Software(Business;Other Peripherals;Internet Services &amp; Software</v>
      </c>
      <c r="X206" s="6" t="str">
        <v>Applications Software(Business;Other Software (inq. Games)</v>
      </c>
      <c r="Y206" s="6" t="str">
        <v>Applications Software(Business;Other Software (inq. Games)</v>
      </c>
      <c r="Z206" s="6" t="str">
        <v>Other Software (inq. Games);Applications Software(Business</v>
      </c>
      <c r="AA206" s="6" t="str">
        <v>Applications Software(Business;Other Peripherals;Computer Consulting Services;Internet Services &amp; Software;Monitors/Terminals;Operating Systems</v>
      </c>
      <c r="AB206" s="6" t="str">
        <v>Computer Consulting Services;Other Peripherals;Operating Systems;Internet Services &amp; Software;Monitors/Terminals;Applications Software(Business</v>
      </c>
    </row>
    <row r="207">
      <c r="A207" s="6" t="str">
        <v>594918</v>
      </c>
      <c r="B207" s="6" t="str">
        <v>United States</v>
      </c>
      <c r="C207" s="6" t="str">
        <v>Microsoft Corp</v>
      </c>
      <c r="D207" s="6" t="str">
        <v>Microsoft Corp</v>
      </c>
      <c r="F207" s="6" t="str">
        <v>United States</v>
      </c>
      <c r="G207" s="6" t="str">
        <v>Winternals Software LP</v>
      </c>
      <c r="H207" s="6" t="str">
        <v>Prepackaged Software</v>
      </c>
      <c r="I207" s="6" t="str">
        <v>97630C</v>
      </c>
      <c r="J207" s="6" t="str">
        <v>Winternals Software LP</v>
      </c>
      <c r="K207" s="6" t="str">
        <v>Winternals Software LP</v>
      </c>
      <c r="L207" s="7">
        <f>=DATE(2006,7,18)</f>
        <v>38915.99949074074</v>
      </c>
      <c r="M207" s="7">
        <f>=DATE(2006,7,18)</f>
        <v>38915.99949074074</v>
      </c>
      <c r="W207" s="6" t="str">
        <v>Internet Services &amp; Software;Computer Consulting Services;Applications Software(Business;Monitors/Terminals;Other Peripherals;Operating Systems</v>
      </c>
      <c r="X207" s="6" t="str">
        <v>Other Software (inq. Games)</v>
      </c>
      <c r="Y207" s="6" t="str">
        <v>Other Software (inq. Games)</v>
      </c>
      <c r="Z207" s="6" t="str">
        <v>Other Software (inq. Games)</v>
      </c>
      <c r="AA207" s="6" t="str">
        <v>Other Peripherals;Operating Systems;Applications Software(Business;Internet Services &amp; Software;Computer Consulting Services;Monitors/Terminals</v>
      </c>
      <c r="AB207" s="6" t="str">
        <v>Monitors/Terminals;Computer Consulting Services;Operating Systems;Applications Software(Business;Other Peripherals;Internet Services &amp; Software</v>
      </c>
    </row>
    <row r="208">
      <c r="A208" s="6" t="str">
        <v>594918</v>
      </c>
      <c r="B208" s="6" t="str">
        <v>United States</v>
      </c>
      <c r="C208" s="6" t="str">
        <v>Microsoft Corp</v>
      </c>
      <c r="D208" s="6" t="str">
        <v>Microsoft Corp</v>
      </c>
      <c r="E208" s="6" t="str">
        <v>Microsoft Corp</v>
      </c>
      <c r="F208" s="6" t="str">
        <v>United States</v>
      </c>
      <c r="G208" s="6" t="str">
        <v>Microsoft Corp</v>
      </c>
      <c r="H208" s="6" t="str">
        <v>Prepackaged Software</v>
      </c>
      <c r="I208" s="6" t="str">
        <v>594918</v>
      </c>
      <c r="J208" s="6" t="str">
        <v>Microsoft Corp</v>
      </c>
      <c r="K208" s="6" t="str">
        <v>Microsoft Corp</v>
      </c>
      <c r="L208" s="7">
        <f>=DATE(2006,7,20)</f>
        <v>38917.99949074074</v>
      </c>
      <c r="M208" s="7">
        <f>=DATE(2006,8,24)</f>
        <v>38952.99949074074</v>
      </c>
      <c r="N208" s="8">
        <v>3.824</v>
      </c>
      <c r="O208" s="8">
        <v>3.824</v>
      </c>
      <c r="P208" s="8" t="str">
        <v>214,873.50</v>
      </c>
      <c r="Q208" s="8" t="str">
        <v>36,200.00</v>
      </c>
      <c r="R208" s="8">
        <v>12599</v>
      </c>
      <c r="S208" s="8">
        <v>44282</v>
      </c>
      <c r="T208" s="8">
        <v>-20562</v>
      </c>
      <c r="U208" s="8">
        <v>8003</v>
      </c>
      <c r="V208" s="8">
        <v>14404</v>
      </c>
      <c r="W208" s="6" t="str">
        <v>Applications Software(Business;Other Peripherals;Monitors/Terminals;Computer Consulting Services;Internet Services &amp; Software;Operating Systems</v>
      </c>
      <c r="X208" s="6" t="str">
        <v>Operating Systems;Internet Services &amp; Software;Applications Software(Business;Other Peripherals;Monitors/Terminals;Computer Consulting Services</v>
      </c>
      <c r="Y208" s="6" t="str">
        <v>Other Peripherals;Applications Software(Business;Internet Services &amp; Software;Computer Consulting Services;Monitors/Terminals;Operating Systems</v>
      </c>
      <c r="Z208" s="6" t="str">
        <v>Operating Systems;Monitors/Terminals;Internet Services &amp; Software;Computer Consulting Services;Other Peripherals;Applications Software(Business</v>
      </c>
      <c r="AA208" s="6" t="str">
        <v>Monitors/Terminals;Other Peripherals;Applications Software(Business;Operating Systems;Internet Services &amp; Software;Computer Consulting Services</v>
      </c>
      <c r="AB208" s="6" t="str">
        <v>Other Peripherals;Applications Software(Business;Operating Systems;Computer Consulting Services;Monitors/Terminals;Internet Services &amp; Software</v>
      </c>
      <c r="AC208" s="8">
        <v>3.824</v>
      </c>
      <c r="AD208" s="7">
        <f>=DATE(2006,7,20)</f>
        <v>38917.99949074074</v>
      </c>
      <c r="AE208" s="8">
        <v>252479.77120575</v>
      </c>
      <c r="AF208" s="8" t="str">
        <v>218,318.77</v>
      </c>
      <c r="AG208" s="8" t="str">
        <v>214,873.50</v>
      </c>
    </row>
    <row r="209">
      <c r="A209" s="6" t="str">
        <v>594918</v>
      </c>
      <c r="B209" s="6" t="str">
        <v>United States</v>
      </c>
      <c r="C209" s="6" t="str">
        <v>Microsoft Corp</v>
      </c>
      <c r="D209" s="6" t="str">
        <v>Microsoft Corp</v>
      </c>
      <c r="E209" s="6" t="str">
        <v>Microsoft Corp</v>
      </c>
      <c r="F209" s="6" t="str">
        <v>United States</v>
      </c>
      <c r="G209" s="6" t="str">
        <v>Microsoft Corp</v>
      </c>
      <c r="H209" s="6" t="str">
        <v>Prepackaged Software</v>
      </c>
      <c r="I209" s="6" t="str">
        <v>594918</v>
      </c>
      <c r="J209" s="6" t="str">
        <v>Microsoft Corp</v>
      </c>
      <c r="K209" s="6" t="str">
        <v>Microsoft Corp</v>
      </c>
      <c r="L209" s="7">
        <f>=DATE(2006,7,20)</f>
        <v>38917.99949074074</v>
      </c>
      <c r="M209" s="7">
        <f>=DATE(2008,9,22)</f>
        <v>39712.99949074074</v>
      </c>
      <c r="N209" s="8">
        <v>36200</v>
      </c>
      <c r="O209" s="8">
        <v>36200</v>
      </c>
      <c r="Q209" s="8" t="str">
        <v>3.82</v>
      </c>
      <c r="R209" s="8">
        <v>12599</v>
      </c>
      <c r="S209" s="8">
        <v>44282</v>
      </c>
      <c r="T209" s="8">
        <v>-20562</v>
      </c>
      <c r="U209" s="8">
        <v>8003</v>
      </c>
      <c r="V209" s="8">
        <v>14404</v>
      </c>
      <c r="W209" s="6" t="str">
        <v>Operating Systems;Internet Services &amp; Software;Other Peripherals;Applications Software(Business;Monitors/Terminals;Computer Consulting Services</v>
      </c>
      <c r="X209" s="6" t="str">
        <v>Internet Services &amp; Software;Applications Software(Business;Monitors/Terminals;Computer Consulting Services;Operating Systems;Other Peripherals</v>
      </c>
      <c r="Y209" s="6" t="str">
        <v>Monitors/Terminals;Other Peripherals;Operating Systems;Internet Services &amp; Software;Applications Software(Business;Computer Consulting Services</v>
      </c>
      <c r="Z209" s="6" t="str">
        <v>Operating Systems;Applications Software(Business;Internet Services &amp; Software;Monitors/Terminals;Other Peripherals;Computer Consulting Services</v>
      </c>
      <c r="AA209" s="6" t="str">
        <v>Other Peripherals;Internet Services &amp; Software;Computer Consulting Services;Operating Systems;Applications Software(Business;Monitors/Terminals</v>
      </c>
      <c r="AB209" s="6" t="str">
        <v>Operating Systems;Applications Software(Business;Computer Consulting Services;Other Peripherals;Monitors/Terminals;Internet Services &amp; Software</v>
      </c>
      <c r="AC209" s="8">
        <v>36200</v>
      </c>
      <c r="AD209" s="7">
        <f>=DATE(2006,8,18)</f>
        <v>38946.99949074074</v>
      </c>
    </row>
    <row r="210">
      <c r="A210" s="6" t="str">
        <v>38259P</v>
      </c>
      <c r="B210" s="6" t="str">
        <v>United States</v>
      </c>
      <c r="C210" s="6" t="str">
        <v>Google Inc</v>
      </c>
      <c r="D210" s="6" t="str">
        <v>Alphabet Inc</v>
      </c>
      <c r="F210" s="6" t="str">
        <v>United States</v>
      </c>
      <c r="G210" s="6" t="str">
        <v>Neven Vision Inc</v>
      </c>
      <c r="H210" s="6" t="str">
        <v>Prepackaged Software</v>
      </c>
      <c r="I210" s="6" t="str">
        <v>64183K</v>
      </c>
      <c r="J210" s="6" t="str">
        <v>Neven Vision Inc</v>
      </c>
      <c r="K210" s="6" t="str">
        <v>Neven Vision Inc</v>
      </c>
      <c r="L210" s="7">
        <f>=DATE(2006,8,15)</f>
        <v>38943.99949074074</v>
      </c>
      <c r="M210" s="7">
        <f>=DATE(2006,8,15)</f>
        <v>38943.99949074074</v>
      </c>
      <c r="W210" s="6" t="str">
        <v>Internet Services &amp; Software;Programming Services</v>
      </c>
      <c r="X210" s="6" t="str">
        <v>Internet Services &amp; Software;Applications Software(Business;Other Software (inq. Games)</v>
      </c>
      <c r="Y210" s="6" t="str">
        <v>Internet Services &amp; Software;Other Software (inq. Games);Applications Software(Business</v>
      </c>
      <c r="Z210" s="6" t="str">
        <v>Other Software (inq. Games);Internet Services &amp; Software;Applications Software(Business</v>
      </c>
      <c r="AA210" s="6" t="str">
        <v>Primary Business not Hi-Tech;Telecommunications Equipment;Internet Services &amp; Software;Computer Consulting Services;Programming Services</v>
      </c>
      <c r="AB210" s="6" t="str">
        <v>Telecommunications Equipment;Primary Business not Hi-Tech;Internet Services &amp; Software;Programming Services;Computer Consulting Services</v>
      </c>
    </row>
    <row r="211">
      <c r="A211" s="6" t="str">
        <v>00453N</v>
      </c>
      <c r="B211" s="6" t="str">
        <v>United States</v>
      </c>
      <c r="C211" s="6" t="str">
        <v>Accipiter Solutions Inc</v>
      </c>
      <c r="D211" s="6" t="str">
        <v>Accipiter Solutions Inc</v>
      </c>
      <c r="F211" s="6" t="str">
        <v>United States</v>
      </c>
      <c r="G211" s="6" t="str">
        <v>BidClix Inc</v>
      </c>
      <c r="H211" s="6" t="str">
        <v>Business Services</v>
      </c>
      <c r="I211" s="6" t="str">
        <v>08897C</v>
      </c>
      <c r="J211" s="6" t="str">
        <v>BidClix Inc</v>
      </c>
      <c r="K211" s="6" t="str">
        <v>BidClix Inc</v>
      </c>
      <c r="L211" s="7">
        <f>=DATE(2006,9,5)</f>
        <v>38964.99949074074</v>
      </c>
      <c r="M211" s="7">
        <f>=DATE(2006,9,5)</f>
        <v>38964.99949074074</v>
      </c>
      <c r="W211" s="6" t="str">
        <v>Internet Services &amp; Software</v>
      </c>
      <c r="X211" s="6" t="str">
        <v>Computer Consulting Services</v>
      </c>
      <c r="Y211" s="6" t="str">
        <v>Computer Consulting Services</v>
      </c>
      <c r="Z211" s="6" t="str">
        <v>Computer Consulting Services</v>
      </c>
      <c r="AA211" s="6" t="str">
        <v>Internet Services &amp; Software</v>
      </c>
      <c r="AB211" s="6" t="str">
        <v>Internet Services &amp; Software</v>
      </c>
    </row>
    <row r="212">
      <c r="A212" s="6" t="str">
        <v>594918</v>
      </c>
      <c r="B212" s="6" t="str">
        <v>United States</v>
      </c>
      <c r="C212" s="6" t="str">
        <v>Microsoft Corp</v>
      </c>
      <c r="D212" s="6" t="str">
        <v>Microsoft Corp</v>
      </c>
      <c r="F212" s="6" t="str">
        <v>United States</v>
      </c>
      <c r="G212" s="6" t="str">
        <v>DesktopStandard Corp</v>
      </c>
      <c r="H212" s="6" t="str">
        <v>Business Services</v>
      </c>
      <c r="I212" s="6" t="str">
        <v>25076A</v>
      </c>
      <c r="J212" s="6" t="str">
        <v>DesktopStandard Corp</v>
      </c>
      <c r="K212" s="6" t="str">
        <v>DesktopStandard Corp</v>
      </c>
      <c r="L212" s="7">
        <f>=DATE(2006,10,2)</f>
        <v>38991.99949074074</v>
      </c>
      <c r="M212" s="7">
        <f>=DATE(2006,10,2)</f>
        <v>38991.99949074074</v>
      </c>
      <c r="W212" s="6" t="str">
        <v>Monitors/Terminals;Operating Systems;Applications Software(Business;Internet Services &amp; Software;Computer Consulting Services;Other Peripherals</v>
      </c>
      <c r="X212" s="6" t="str">
        <v>Programming Services;Computer Consulting Services;Other Computer Related Svcs</v>
      </c>
      <c r="Y212" s="6" t="str">
        <v>Programming Services;Other Computer Related Svcs;Computer Consulting Services</v>
      </c>
      <c r="Z212" s="6" t="str">
        <v>Other Computer Related Svcs;Programming Services;Computer Consulting Services</v>
      </c>
      <c r="AA212" s="6" t="str">
        <v>Applications Software(Business;Monitors/Terminals;Internet Services &amp; Software;Operating Systems;Other Peripherals;Computer Consulting Services</v>
      </c>
      <c r="AB212" s="6" t="str">
        <v>Internet Services &amp; Software;Applications Software(Business;Monitors/Terminals;Other Peripherals;Computer Consulting Services;Operating Systems</v>
      </c>
    </row>
    <row r="213">
      <c r="A213" s="6" t="str">
        <v>38259P</v>
      </c>
      <c r="B213" s="6" t="str">
        <v>United States</v>
      </c>
      <c r="C213" s="6" t="str">
        <v>Google Inc</v>
      </c>
      <c r="D213" s="6" t="str">
        <v>Alphabet Inc</v>
      </c>
      <c r="F213" s="6" t="str">
        <v>United States</v>
      </c>
      <c r="G213" s="6" t="str">
        <v>YouTube Inc</v>
      </c>
      <c r="H213" s="6" t="str">
        <v>Business Services</v>
      </c>
      <c r="I213" s="6" t="str">
        <v>98787H</v>
      </c>
      <c r="J213" s="6" t="str">
        <v>YouTube Inc</v>
      </c>
      <c r="K213" s="6" t="str">
        <v>YouTube Inc</v>
      </c>
      <c r="L213" s="7">
        <f>=DATE(2006,10,9)</f>
        <v>38998.99949074074</v>
      </c>
      <c r="M213" s="7">
        <f>=DATE(2006,10,19)</f>
        <v>39008.99949074074</v>
      </c>
      <c r="N213" s="8">
        <v>1650</v>
      </c>
      <c r="O213" s="8">
        <v>1650</v>
      </c>
      <c r="W213" s="6" t="str">
        <v>Internet Services &amp; Software;Programming Services</v>
      </c>
      <c r="X213" s="6" t="str">
        <v>Internet Services &amp; Software</v>
      </c>
      <c r="Y213" s="6" t="str">
        <v>Internet Services &amp; Software</v>
      </c>
      <c r="Z213" s="6" t="str">
        <v>Internet Services &amp; Software</v>
      </c>
      <c r="AA213" s="6" t="str">
        <v>Primary Business not Hi-Tech;Programming Services;Computer Consulting Services;Telecommunications Equipment;Internet Services &amp; Software</v>
      </c>
      <c r="AB213" s="6" t="str">
        <v>Computer Consulting Services;Internet Services &amp; Software;Programming Services;Primary Business not Hi-Tech;Telecommunications Equipment</v>
      </c>
      <c r="AC213" s="8">
        <v>1650</v>
      </c>
      <c r="AD213" s="7">
        <f>=DATE(2006,10,9)</f>
        <v>38998.99949074074</v>
      </c>
      <c r="AF213" s="8" t="str">
        <v>1,650.00</v>
      </c>
    </row>
    <row r="214">
      <c r="A214" s="6" t="str">
        <v>594918</v>
      </c>
      <c r="B214" s="6" t="str">
        <v>United States</v>
      </c>
      <c r="C214" s="6" t="str">
        <v>Microsoft Corp</v>
      </c>
      <c r="D214" s="6" t="str">
        <v>Microsoft Corp</v>
      </c>
      <c r="F214" s="6" t="str">
        <v>United States</v>
      </c>
      <c r="G214" s="6" t="str">
        <v>Colloquis Inc</v>
      </c>
      <c r="H214" s="6" t="str">
        <v>Prepackaged Software</v>
      </c>
      <c r="I214" s="6" t="str">
        <v>19426T</v>
      </c>
      <c r="J214" s="6" t="str">
        <v>Colloquis Inc</v>
      </c>
      <c r="K214" s="6" t="str">
        <v>Colloquis Inc</v>
      </c>
      <c r="L214" s="7">
        <f>=DATE(2006,10,12)</f>
        <v>39001.99949074074</v>
      </c>
      <c r="M214" s="7">
        <f>=DATE(2006,10,12)</f>
        <v>39001.99949074074</v>
      </c>
      <c r="W214" s="6" t="str">
        <v>Internet Services &amp; Software;Monitors/Terminals;Other Peripherals;Applications Software(Business;Computer Consulting Services;Operating Systems</v>
      </c>
      <c r="X214" s="6" t="str">
        <v>Other Software (inq. Games)</v>
      </c>
      <c r="Y214" s="6" t="str">
        <v>Other Software (inq. Games)</v>
      </c>
      <c r="Z214" s="6" t="str">
        <v>Other Software (inq. Games)</v>
      </c>
      <c r="AA214" s="6" t="str">
        <v>Computer Consulting Services;Internet Services &amp; Software;Operating Systems;Monitors/Terminals;Other Peripherals;Applications Software(Business</v>
      </c>
      <c r="AB214" s="6" t="str">
        <v>Internet Services &amp; Software;Other Peripherals;Operating Systems;Computer Consulting Services;Applications Software(Business;Monitors/Terminals</v>
      </c>
    </row>
    <row r="215">
      <c r="A215" s="6" t="str">
        <v>037833</v>
      </c>
      <c r="B215" s="6" t="str">
        <v>United States</v>
      </c>
      <c r="C215" s="6" t="str">
        <v>Apple Computer Inc</v>
      </c>
      <c r="D215" s="6" t="str">
        <v>Apple Computer Inc</v>
      </c>
      <c r="F215" s="6" t="str">
        <v>United States</v>
      </c>
      <c r="G215" s="6" t="str">
        <v>Silicon Color Inc</v>
      </c>
      <c r="H215" s="6" t="str">
        <v>Prepackaged Software</v>
      </c>
      <c r="I215" s="6" t="str">
        <v>82414A</v>
      </c>
      <c r="J215" s="6" t="str">
        <v>Silicon Color Inc</v>
      </c>
      <c r="K215" s="6" t="str">
        <v>Silicon Color Inc</v>
      </c>
      <c r="L215" s="7">
        <f>=DATE(2006,10,16)</f>
        <v>39005.99949074074</v>
      </c>
      <c r="M215" s="7">
        <f>=DATE(2006,10,16)</f>
        <v>39005.99949074074</v>
      </c>
      <c r="W215" s="6" t="str">
        <v>Disk Drives;Portable Computers;Printers;Other Software (inq. Games);Mainframes &amp; Super Computers;Other Peripherals;Monitors/Terminals;Micro-Computers (PCs)</v>
      </c>
      <c r="X215" s="6" t="str">
        <v>Other Software (inq. Games)</v>
      </c>
      <c r="Y215" s="6" t="str">
        <v>Other Software (inq. Games)</v>
      </c>
      <c r="Z215" s="6" t="str">
        <v>Other Software (inq. Games)</v>
      </c>
      <c r="AA215" s="6" t="str">
        <v>Other Peripherals;Monitors/Terminals;Disk Drives;Printers;Other Software (inq. Games);Portable Computers;Micro-Computers (PCs);Mainframes &amp; Super Computers</v>
      </c>
      <c r="AB215" s="6" t="str">
        <v>Disk Drives;Printers;Monitors/Terminals;Micro-Computers (PCs);Other Software (inq. Games);Portable Computers;Other Peripherals;Mainframes &amp; Super Computers</v>
      </c>
    </row>
    <row r="216">
      <c r="A216" s="6" t="str">
        <v>38259P</v>
      </c>
      <c r="B216" s="6" t="str">
        <v>United States</v>
      </c>
      <c r="C216" s="6" t="str">
        <v>Google Inc</v>
      </c>
      <c r="D216" s="6" t="str">
        <v>Alphabet Inc</v>
      </c>
      <c r="F216" s="6" t="str">
        <v>United States</v>
      </c>
      <c r="G216" s="6" t="str">
        <v>JotSpot Inc</v>
      </c>
      <c r="H216" s="6" t="str">
        <v>Prepackaged Software</v>
      </c>
      <c r="I216" s="6" t="str">
        <v>46732L</v>
      </c>
      <c r="J216" s="6" t="str">
        <v>JotSpot Inc</v>
      </c>
      <c r="K216" s="6" t="str">
        <v>JotSpot Inc</v>
      </c>
      <c r="L216" s="7">
        <f>=DATE(2006,10,30)</f>
        <v>39019.99949074074</v>
      </c>
      <c r="M216" s="7">
        <f>=DATE(2006,10,30)</f>
        <v>39019.99949074074</v>
      </c>
      <c r="W216" s="6" t="str">
        <v>Programming Services;Internet Services &amp; Software</v>
      </c>
      <c r="X216" s="6" t="str">
        <v>Communication/Network Software;Internet Services &amp; Software</v>
      </c>
      <c r="Y216" s="6" t="str">
        <v>Internet Services &amp; Software;Communication/Network Software</v>
      </c>
      <c r="Z216" s="6" t="str">
        <v>Internet Services &amp; Software;Communication/Network Software</v>
      </c>
      <c r="AA216" s="6" t="str">
        <v>Primary Business not Hi-Tech;Programming Services;Computer Consulting Services;Internet Services &amp; Software;Telecommunications Equipment</v>
      </c>
      <c r="AB216" s="6" t="str">
        <v>Telecommunications Equipment;Computer Consulting Services;Primary Business not Hi-Tech;Internet Services &amp; Software;Programming Services</v>
      </c>
    </row>
    <row r="217">
      <c r="A217" s="6" t="str">
        <v>67020Y</v>
      </c>
      <c r="B217" s="6" t="str">
        <v>United States</v>
      </c>
      <c r="C217" s="6" t="str">
        <v>Nuance Communications Inc</v>
      </c>
      <c r="D217" s="6" t="str">
        <v>Nuance Communications Inc</v>
      </c>
      <c r="F217" s="6" t="str">
        <v>United States</v>
      </c>
      <c r="G217" s="6" t="str">
        <v>MobileVoiceControl Inc</v>
      </c>
      <c r="H217" s="6" t="str">
        <v>Prepackaged Software</v>
      </c>
      <c r="I217" s="6" t="str">
        <v>60809Y</v>
      </c>
      <c r="J217" s="6" t="str">
        <v>MobileVoiceControl Inc</v>
      </c>
      <c r="K217" s="6" t="str">
        <v>MobileVoiceControl Inc</v>
      </c>
      <c r="L217" s="7">
        <f>=DATE(2006,12,7)</f>
        <v>39057.99949074074</v>
      </c>
      <c r="M217" s="7">
        <f>=DATE(2007,1,3)</f>
        <v>39084.99949074074</v>
      </c>
      <c r="W217" s="6" t="str">
        <v>Applications Software(Home);Computer Consulting Services;Applications Software(Business;Programming Services;Other Computer Related Svcs;Database Software/Programming;Internet Services &amp; Software;Primary Business not Hi-Tech;Utilities/File Mgmt Software;Desktop Publishing;Communication/Network Software;Other Software (inq. Games);Networking Systems (LAN,WAN)</v>
      </c>
      <c r="X217" s="6" t="str">
        <v>Communication/Network Software;Other Software (inq. Games);Applications Software(Business</v>
      </c>
      <c r="Y217" s="6" t="str">
        <v>Applications Software(Business;Communication/Network Software;Other Software (inq. Games)</v>
      </c>
      <c r="Z217" s="6" t="str">
        <v>Applications Software(Business;Other Software (inq. Games);Communication/Network Software</v>
      </c>
      <c r="AA217" s="6" t="str">
        <v>Internet Services &amp; Software;Other Computer Related Svcs;Database Software/Programming;Utilities/File Mgmt Software;Applications Software(Home);Communication/Network Software;Desktop Publishing;Primary Business not Hi-Tech;Applications Software(Business;Programming Services;Other Software (inq. Games);Networking Systems (LAN,WAN);Computer Consulting Services</v>
      </c>
      <c r="AB217" s="6" t="str">
        <v>Other Computer Related Svcs;Applications Software(Home);Internet Services &amp; Software;Other Software (inq. Games);Computer Consulting Services;Networking Systems (LAN,WAN);Database Software/Programming;Applications Software(Business;Utilities/File Mgmt Software;Programming Services;Desktop Publishing;Primary Business not Hi-Tech;Communication/Network Software</v>
      </c>
    </row>
    <row r="218">
      <c r="A218" s="6" t="str">
        <v>04943Q</v>
      </c>
      <c r="B218" s="6" t="str">
        <v>United States</v>
      </c>
      <c r="C218" s="6" t="str">
        <v>Atlas Advertiser Suite</v>
      </c>
      <c r="D218" s="6" t="str">
        <v>aQuantive Inc</v>
      </c>
      <c r="F218" s="6" t="str">
        <v>United States</v>
      </c>
      <c r="G218" s="6" t="str">
        <v>Accipiter Solutions Inc</v>
      </c>
      <c r="H218" s="6" t="str">
        <v>Business Services</v>
      </c>
      <c r="I218" s="6" t="str">
        <v>00453N</v>
      </c>
      <c r="J218" s="6" t="str">
        <v>Accipiter Solutions Inc</v>
      </c>
      <c r="K218" s="6" t="str">
        <v>Accipiter Solutions Inc</v>
      </c>
      <c r="L218" s="7">
        <f>=DATE(2006,12,11)</f>
        <v>39061.99949074074</v>
      </c>
      <c r="M218" s="7">
        <f>=DATE(2006,12,11)</f>
        <v>39061.99949074074</v>
      </c>
      <c r="N218" s="8">
        <v>30.3</v>
      </c>
      <c r="O218" s="8">
        <v>30.3</v>
      </c>
      <c r="W218" s="6" t="str">
        <v>Internet Services &amp; Software</v>
      </c>
      <c r="X218" s="6" t="str">
        <v>Internet Services &amp; Software</v>
      </c>
      <c r="Y218" s="6" t="str">
        <v>Internet Services &amp; Software</v>
      </c>
      <c r="Z218" s="6" t="str">
        <v>Internet Services &amp; Software</v>
      </c>
      <c r="AA218" s="6" t="str">
        <v>Internet Services &amp; Software</v>
      </c>
      <c r="AB218" s="6" t="str">
        <v>Internet Services &amp; Software</v>
      </c>
      <c r="AC218" s="8">
        <v>30.3</v>
      </c>
      <c r="AD218" s="7">
        <f>=DATE(2006,12,11)</f>
        <v>39061.99949074074</v>
      </c>
    </row>
    <row r="219">
      <c r="A219" s="6" t="str">
        <v>38259P</v>
      </c>
      <c r="B219" s="6" t="str">
        <v>United States</v>
      </c>
      <c r="C219" s="6" t="str">
        <v>Google Inc</v>
      </c>
      <c r="D219" s="6" t="str">
        <v>Alphabet Inc</v>
      </c>
      <c r="F219" s="6" t="str">
        <v>United States</v>
      </c>
      <c r="G219" s="6" t="str">
        <v>Adscape Media Inc</v>
      </c>
      <c r="H219" s="6" t="str">
        <v>Prepackaged Software</v>
      </c>
      <c r="I219" s="6" t="str">
        <v>38126L</v>
      </c>
      <c r="J219" s="6" t="str">
        <v>Adscape Media Inc</v>
      </c>
      <c r="K219" s="6" t="str">
        <v>Adscape Media Inc</v>
      </c>
      <c r="L219" s="7">
        <f>=DATE(2007,1,20)</f>
        <v>39101.99949074074</v>
      </c>
      <c r="M219" s="7">
        <f>=DATE(2007,3,19)</f>
        <v>39159.99949074074</v>
      </c>
      <c r="W219" s="6" t="str">
        <v>Internet Services &amp; Software;Programming Services</v>
      </c>
      <c r="X219" s="6" t="str">
        <v>Other Software (inq. Games)</v>
      </c>
      <c r="Y219" s="6" t="str">
        <v>Other Software (inq. Games)</v>
      </c>
      <c r="Z219" s="6" t="str">
        <v>Other Software (inq. Games)</v>
      </c>
      <c r="AA219" s="6" t="str">
        <v>Telecommunications Equipment;Internet Services &amp; Software;Primary Business not Hi-Tech;Programming Services;Computer Consulting Services</v>
      </c>
      <c r="AB219" s="6" t="str">
        <v>Computer Consulting Services;Telecommunications Equipment;Primary Business not Hi-Tech;Internet Services &amp; Software;Programming Services</v>
      </c>
    </row>
    <row r="220">
      <c r="A220" s="6" t="str">
        <v>67020Y</v>
      </c>
      <c r="B220" s="6" t="str">
        <v>United States</v>
      </c>
      <c r="C220" s="6" t="str">
        <v>Nuance Communications Inc</v>
      </c>
      <c r="D220" s="6" t="str">
        <v>Nuance Communications Inc</v>
      </c>
      <c r="F220" s="6" t="str">
        <v>United States</v>
      </c>
      <c r="G220" s="6" t="str">
        <v>BeVocal Inc</v>
      </c>
      <c r="H220" s="6" t="str">
        <v>Prepackaged Software</v>
      </c>
      <c r="I220" s="6" t="str">
        <v>06133V</v>
      </c>
      <c r="J220" s="6" t="str">
        <v>BeVocal Inc</v>
      </c>
      <c r="K220" s="6" t="str">
        <v>BeVocal Inc</v>
      </c>
      <c r="L220" s="7">
        <f>=DATE(2007,2,22)</f>
        <v>39134.99949074074</v>
      </c>
      <c r="M220" s="7">
        <f>=DATE(2007,4,25)</f>
        <v>39196.99949074074</v>
      </c>
      <c r="N220" s="8">
        <v>208.547</v>
      </c>
      <c r="O220" s="8">
        <v>199.334</v>
      </c>
      <c r="W220" s="6" t="str">
        <v>Programming Services;Computer Consulting Services;Primary Business not Hi-Tech;Utilities/File Mgmt Software;Database Software/Programming;Networking Systems (LAN,WAN);Other Software (inq. Games);Applications Software(Home);Internet Services &amp; Software;Desktop Publishing;Other Computer Related Svcs;Applications Software(Business;Communication/Network Software</v>
      </c>
      <c r="X220" s="6" t="str">
        <v>Communication/Network Software;Internet Services &amp; Software</v>
      </c>
      <c r="Y220" s="6" t="str">
        <v>Communication/Network Software;Internet Services &amp; Software</v>
      </c>
      <c r="Z220" s="6" t="str">
        <v>Communication/Network Software;Internet Services &amp; Software</v>
      </c>
      <c r="AA220" s="6" t="str">
        <v>Utilities/File Mgmt Software;Applications Software(Business;Computer Consulting Services;Communication/Network Software;Networking Systems (LAN,WAN);Applications Software(Home);Desktop Publishing;Other Software (inq. Games);Internet Services &amp; Software;Primary Business not Hi-Tech;Programming Services;Other Computer Related Svcs;Database Software/Programming</v>
      </c>
      <c r="AB220" s="6" t="str">
        <v>Networking Systems (LAN,WAN);Other Software (inq. Games);Database Software/Programming;Primary Business not Hi-Tech;Desktop Publishing;Applications Software(Home);Internet Services &amp; Software;Other Computer Related Svcs;Applications Software(Business;Computer Consulting Services;Communication/Network Software;Utilities/File Mgmt Software;Programming Services</v>
      </c>
      <c r="AC220" s="8">
        <v>199.334</v>
      </c>
      <c r="AD220" s="7">
        <f>=DATE(2007,2,22)</f>
        <v>39134.99949074074</v>
      </c>
    </row>
    <row r="221">
      <c r="A221" s="6" t="str">
        <v>594918</v>
      </c>
      <c r="B221" s="6" t="str">
        <v>United States</v>
      </c>
      <c r="C221" s="6" t="str">
        <v>Microsoft Corp</v>
      </c>
      <c r="D221" s="6" t="str">
        <v>Microsoft Corp</v>
      </c>
      <c r="F221" s="6" t="str">
        <v>United States</v>
      </c>
      <c r="G221" s="6" t="str">
        <v>Medstory Inc</v>
      </c>
      <c r="H221" s="6" t="str">
        <v>Business Services</v>
      </c>
      <c r="I221" s="6" t="str">
        <v>58637V</v>
      </c>
      <c r="J221" s="6" t="str">
        <v>Medstory Inc</v>
      </c>
      <c r="K221" s="6" t="str">
        <v>Medstory Inc</v>
      </c>
      <c r="L221" s="7">
        <f>=DATE(2007,2,23)</f>
        <v>39135.99949074074</v>
      </c>
      <c r="M221" s="7">
        <f>=DATE(2007,3,9)</f>
        <v>39149.99949074074</v>
      </c>
      <c r="W221" s="6" t="str">
        <v>Applications Software(Business;Internet Services &amp; Software;Operating Systems;Monitors/Terminals;Other Peripherals;Computer Consulting Services</v>
      </c>
      <c r="X221" s="6" t="str">
        <v>Internet Services &amp; Software</v>
      </c>
      <c r="Y221" s="6" t="str">
        <v>Internet Services &amp; Software</v>
      </c>
      <c r="Z221" s="6" t="str">
        <v>Internet Services &amp; Software</v>
      </c>
      <c r="AA221" s="6" t="str">
        <v>Operating Systems;Applications Software(Business;Monitors/Terminals;Internet Services &amp; Software;Other Peripherals;Computer Consulting Services</v>
      </c>
      <c r="AB221" s="6" t="str">
        <v>Applications Software(Business;Computer Consulting Services;Monitors/Terminals;Internet Services &amp; Software;Other Peripherals;Operating Systems</v>
      </c>
    </row>
    <row r="222">
      <c r="A222" s="6" t="str">
        <v>594918</v>
      </c>
      <c r="B222" s="6" t="str">
        <v>United States</v>
      </c>
      <c r="C222" s="6" t="str">
        <v>Microsoft Corp</v>
      </c>
      <c r="D222" s="6" t="str">
        <v>Microsoft Corp</v>
      </c>
      <c r="F222" s="6" t="str">
        <v>United States</v>
      </c>
      <c r="G222" s="6" t="str">
        <v>Tellme Networks Inc</v>
      </c>
      <c r="H222" s="6" t="str">
        <v>Prepackaged Software</v>
      </c>
      <c r="I222" s="6" t="str">
        <v>87914H</v>
      </c>
      <c r="J222" s="6" t="str">
        <v>Tellme Networks Inc</v>
      </c>
      <c r="K222" s="6" t="str">
        <v>Tellme Networks Inc</v>
      </c>
      <c r="L222" s="7">
        <f>=DATE(2007,3,14)</f>
        <v>39154.99949074074</v>
      </c>
      <c r="M222" s="7">
        <f>=DATE(2007,5,3)</f>
        <v>39204.99949074074</v>
      </c>
      <c r="W222" s="6" t="str">
        <v>Monitors/Terminals;Internet Services &amp; Software;Operating Systems;Other Peripherals;Computer Consulting Services;Applications Software(Business</v>
      </c>
      <c r="X222" s="6" t="str">
        <v>Applications Software(Business;Other Software (inq. Games);Internet Services &amp; Software;Communication/Network Software</v>
      </c>
      <c r="Y222" s="6" t="str">
        <v>Internet Services &amp; Software;Applications Software(Business;Other Software (inq. Games);Communication/Network Software</v>
      </c>
      <c r="Z222" s="6" t="str">
        <v>Internet Services &amp; Software;Communication/Network Software;Applications Software(Business;Other Software (inq. Games)</v>
      </c>
      <c r="AA222" s="6" t="str">
        <v>Applications Software(Business;Monitors/Terminals;Other Peripherals;Computer Consulting Services;Internet Services &amp; Software;Operating Systems</v>
      </c>
      <c r="AB222" s="6" t="str">
        <v>Internet Services &amp; Software;Computer Consulting Services;Applications Software(Business;Monitors/Terminals;Operating Systems;Other Peripherals</v>
      </c>
    </row>
    <row r="223">
      <c r="A223" s="6" t="str">
        <v>67020Y</v>
      </c>
      <c r="B223" s="6" t="str">
        <v>United States</v>
      </c>
      <c r="C223" s="6" t="str">
        <v>Nuance Communications Inc</v>
      </c>
      <c r="D223" s="6" t="str">
        <v>Nuance Communications Inc</v>
      </c>
      <c r="F223" s="6" t="str">
        <v>United States</v>
      </c>
      <c r="G223" s="6" t="str">
        <v>Focus Informatics Inc</v>
      </c>
      <c r="H223" s="6" t="str">
        <v>Business Services</v>
      </c>
      <c r="I223" s="6" t="str">
        <v>34428P</v>
      </c>
      <c r="J223" s="6" t="str">
        <v>Focus Informatics Inc</v>
      </c>
      <c r="K223" s="6" t="str">
        <v>Focus Informatics Inc</v>
      </c>
      <c r="L223" s="7">
        <f>=DATE(2007,3,15)</f>
        <v>39155.99949074074</v>
      </c>
      <c r="M223" s="7">
        <f>=DATE(2007,3,28)</f>
        <v>39168.99949074074</v>
      </c>
      <c r="N223" s="8">
        <v>58</v>
      </c>
      <c r="O223" s="8">
        <v>58</v>
      </c>
      <c r="W223" s="6" t="str">
        <v>Applications Software(Business;Programming Services;Primary Business not Hi-Tech;Communication/Network Software;Utilities/File Mgmt Software;Networking Systems (LAN,WAN);Internet Services &amp; Software;Desktop Publishing;Other Software (inq. Games);Computer Consulting Services;Other Computer Related Svcs;Database Software/Programming;Applications Software(Home)</v>
      </c>
      <c r="X223" s="6" t="str">
        <v>Programming Services;Computer Consulting Services;Other Computer Related Svcs</v>
      </c>
      <c r="Y223" s="6" t="str">
        <v>Other Computer Related Svcs;Programming Services;Computer Consulting Services</v>
      </c>
      <c r="Z223" s="6" t="str">
        <v>Programming Services;Other Computer Related Svcs;Computer Consulting Services</v>
      </c>
      <c r="AA223" s="6" t="str">
        <v>Applications Software(Business;Other Software (inq. Games);Utilities/File Mgmt Software;Database Software/Programming;Networking Systems (LAN,WAN);Applications Software(Home);Other Computer Related Svcs;Programming Services;Internet Services &amp; Software;Primary Business not Hi-Tech;Desktop Publishing;Computer Consulting Services;Communication/Network Software</v>
      </c>
      <c r="AB223" s="6" t="str">
        <v>Desktop Publishing;Computer Consulting Services;Internet Services &amp; Software;Applications Software(Home);Utilities/File Mgmt Software;Applications Software(Business;Communication/Network Software;Database Software/Programming;Other Software (inq. Games);Networking Systems (LAN,WAN);Other Computer Related Svcs;Programming Services;Primary Business not Hi-Tech</v>
      </c>
      <c r="AC223" s="8">
        <v>58</v>
      </c>
      <c r="AD223" s="7">
        <f>=DATE(2007,3,15)</f>
        <v>39155.99949074074</v>
      </c>
    </row>
    <row r="224">
      <c r="A224" s="6" t="str">
        <v>594918</v>
      </c>
      <c r="B224" s="6" t="str">
        <v>United States</v>
      </c>
      <c r="C224" s="6" t="str">
        <v>Microsoft Corp</v>
      </c>
      <c r="D224" s="6" t="str">
        <v>Microsoft Corp</v>
      </c>
      <c r="F224" s="6" t="str">
        <v>United States</v>
      </c>
      <c r="G224" s="6" t="str">
        <v>devBiz Business Solutions LLC</v>
      </c>
      <c r="H224" s="6" t="str">
        <v>Prepackaged Software</v>
      </c>
      <c r="I224" s="6" t="str">
        <v>36015F</v>
      </c>
      <c r="J224" s="6" t="str">
        <v>devBiz Business Solutions LLC</v>
      </c>
      <c r="K224" s="6" t="str">
        <v>devBiz Business Solutions LLC</v>
      </c>
      <c r="L224" s="7">
        <f>=DATE(2007,3,26)</f>
        <v>39166.99949074074</v>
      </c>
      <c r="M224" s="7">
        <f>=DATE(2007,3,26)</f>
        <v>39166.99949074074</v>
      </c>
      <c r="W224" s="6" t="str">
        <v>Other Peripherals;Computer Consulting Services;Internet Services &amp; Software;Operating Systems;Applications Software(Business;Monitors/Terminals</v>
      </c>
      <c r="X224" s="6" t="str">
        <v>Applications Software(Business</v>
      </c>
      <c r="Y224" s="6" t="str">
        <v>Applications Software(Business</v>
      </c>
      <c r="Z224" s="6" t="str">
        <v>Applications Software(Business</v>
      </c>
      <c r="AA224" s="6" t="str">
        <v>Applications Software(Business;Computer Consulting Services;Other Peripherals;Monitors/Terminals;Internet Services &amp; Software;Operating Systems</v>
      </c>
      <c r="AB224" s="6" t="str">
        <v>Other Peripherals;Monitors/Terminals;Internet Services &amp; Software;Computer Consulting Services;Applications Software(Business;Operating Systems</v>
      </c>
    </row>
    <row r="225">
      <c r="A225" s="6" t="str">
        <v>38259P</v>
      </c>
      <c r="B225" s="6" t="str">
        <v>United States</v>
      </c>
      <c r="C225" s="6" t="str">
        <v>Google Inc</v>
      </c>
      <c r="D225" s="6" t="str">
        <v>Alphabet Inc</v>
      </c>
      <c r="F225" s="6" t="str">
        <v>United States</v>
      </c>
      <c r="G225" s="6" t="str">
        <v>DoubleClick Inc</v>
      </c>
      <c r="H225" s="6" t="str">
        <v>Business Services</v>
      </c>
      <c r="I225" s="6" t="str">
        <v>258609</v>
      </c>
      <c r="J225" s="6" t="str">
        <v>Hellman &amp; Friedman LLC</v>
      </c>
      <c r="K225" s="6" t="str">
        <v>Hellman &amp; Friedman LLC</v>
      </c>
      <c r="L225" s="7">
        <f>=DATE(2007,4,13)</f>
        <v>39184.99949074074</v>
      </c>
      <c r="M225" s="7">
        <f>=DATE(2008,3,11)</f>
        <v>39517.99949074074</v>
      </c>
      <c r="N225" s="8">
        <v>3100</v>
      </c>
      <c r="O225" s="8">
        <v>3100</v>
      </c>
      <c r="R225" s="8">
        <v>28.9</v>
      </c>
      <c r="S225" s="8">
        <v>309.922</v>
      </c>
      <c r="T225" s="8">
        <v>-78.771</v>
      </c>
      <c r="U225" s="8">
        <v>7.141</v>
      </c>
      <c r="V225" s="8">
        <v>69.154</v>
      </c>
      <c r="W225" s="6" t="str">
        <v>Programming Services;Internet Services &amp; Software</v>
      </c>
      <c r="X225" s="6" t="str">
        <v>Internet Services &amp; Software</v>
      </c>
      <c r="Y225" s="6" t="str">
        <v>Primary Business not Hi-Tech</v>
      </c>
      <c r="Z225" s="6" t="str">
        <v>Primary Business not Hi-Tech</v>
      </c>
      <c r="AA225" s="6" t="str">
        <v>Primary Business not Hi-Tech;Programming Services;Telecommunications Equipment;Internet Services &amp; Software;Computer Consulting Services</v>
      </c>
      <c r="AB225" s="6" t="str">
        <v>Computer Consulting Services;Programming Services;Primary Business not Hi-Tech;Internet Services &amp; Software;Telecommunications Equipment</v>
      </c>
      <c r="AC225" s="8">
        <v>3100</v>
      </c>
      <c r="AD225" s="7">
        <f>=DATE(2007,4,13)</f>
        <v>39184.99949074074</v>
      </c>
    </row>
    <row r="226">
      <c r="A226" s="6" t="str">
        <v>38259P</v>
      </c>
      <c r="B226" s="6" t="str">
        <v>United States</v>
      </c>
      <c r="C226" s="6" t="str">
        <v>Google Inc</v>
      </c>
      <c r="D226" s="6" t="str">
        <v>Alphabet Inc</v>
      </c>
      <c r="F226" s="6" t="str">
        <v>United States</v>
      </c>
      <c r="G226" s="6" t="str">
        <v>Tonic Systems Inc</v>
      </c>
      <c r="H226" s="6" t="str">
        <v>Business Services</v>
      </c>
      <c r="I226" s="6" t="str">
        <v>89037P</v>
      </c>
      <c r="J226" s="6" t="str">
        <v>Tonic Systems Inc</v>
      </c>
      <c r="K226" s="6" t="str">
        <v>Tonic Systems Inc</v>
      </c>
      <c r="L226" s="7">
        <f>=DATE(2007,4,18)</f>
        <v>39189.99949074074</v>
      </c>
      <c r="M226" s="7">
        <f>=DATE(2007,4,18)</f>
        <v>39189.99949074074</v>
      </c>
      <c r="W226" s="6" t="str">
        <v>Internet Services &amp; Software;Programming Services</v>
      </c>
      <c r="X226" s="6" t="str">
        <v>Programming Services;Data Processing Services</v>
      </c>
      <c r="Y226" s="6" t="str">
        <v>Programming Services;Data Processing Services</v>
      </c>
      <c r="Z226" s="6" t="str">
        <v>Programming Services;Data Processing Services</v>
      </c>
      <c r="AA226" s="6" t="str">
        <v>Internet Services &amp; Software;Programming Services;Primary Business not Hi-Tech;Telecommunications Equipment;Computer Consulting Services</v>
      </c>
      <c r="AB226" s="6" t="str">
        <v>Programming Services;Primary Business not Hi-Tech;Computer Consulting Services;Internet Services &amp; Software;Telecommunications Equipment</v>
      </c>
    </row>
    <row r="227">
      <c r="A227" s="6" t="str">
        <v>67020Y</v>
      </c>
      <c r="B227" s="6" t="str">
        <v>United States</v>
      </c>
      <c r="C227" s="6" t="str">
        <v>Nuance Communications Inc</v>
      </c>
      <c r="D227" s="6" t="str">
        <v>Nuance Communications Inc</v>
      </c>
      <c r="F227" s="6" t="str">
        <v>United States</v>
      </c>
      <c r="G227" s="6" t="str">
        <v>VoiceSignal Technologies Inc</v>
      </c>
      <c r="H227" s="6" t="str">
        <v>Prepackaged Software</v>
      </c>
      <c r="I227" s="6" t="str">
        <v>92771R</v>
      </c>
      <c r="J227" s="6" t="str">
        <v>VoiceSignal Technologies Inc</v>
      </c>
      <c r="K227" s="6" t="str">
        <v>VoiceSignal Technologies Inc</v>
      </c>
      <c r="L227" s="7">
        <f>=DATE(2007,5,15)</f>
        <v>39216.99949074074</v>
      </c>
      <c r="M227" s="7">
        <f>=DATE(2007,8,27)</f>
        <v>39320.99949074074</v>
      </c>
      <c r="N227" s="8">
        <v>316.81</v>
      </c>
      <c r="O227" s="8">
        <v>292.624</v>
      </c>
      <c r="W227" s="6" t="str">
        <v>Other Software (inq. Games);Other Computer Related Svcs;Programming Services;Networking Systems (LAN,WAN);Applications Software(Home);Communication/Network Software;Primary Business not Hi-Tech;Database Software/Programming;Applications Software(Business;Internet Services &amp; Software;Utilities/File Mgmt Software;Computer Consulting Services;Desktop Publishing</v>
      </c>
      <c r="X227" s="6" t="str">
        <v>Communication/Network Software;Cellular Communications</v>
      </c>
      <c r="Y227" s="6" t="str">
        <v>Cellular Communications;Communication/Network Software</v>
      </c>
      <c r="Z227" s="6" t="str">
        <v>Cellular Communications;Communication/Network Software</v>
      </c>
      <c r="AA227" s="6" t="str">
        <v>Internet Services &amp; Software;Computer Consulting Services;Applications Software(Business;Communication/Network Software;Programming Services;Other Computer Related Svcs;Database Software/Programming;Primary Business not Hi-Tech;Utilities/File Mgmt Software;Networking Systems (LAN,WAN);Other Software (inq. Games);Applications Software(Home);Desktop Publishing</v>
      </c>
      <c r="AB227" s="6" t="str">
        <v>Database Software/Programming;Communication/Network Software;Other Computer Related Svcs;Programming Services;Other Software (inq. Games);Computer Consulting Services;Primary Business not Hi-Tech;Applications Software(Business;Utilities/File Mgmt Software;Networking Systems (LAN,WAN);Desktop Publishing;Internet Services &amp; Software;Applications Software(Home)</v>
      </c>
      <c r="AC227" s="8">
        <v>292.624</v>
      </c>
      <c r="AD227" s="7">
        <f>=DATE(2007,5,15)</f>
        <v>39216.99949074074</v>
      </c>
    </row>
    <row r="228">
      <c r="A228" s="6" t="str">
        <v>594918</v>
      </c>
      <c r="B228" s="6" t="str">
        <v>United States</v>
      </c>
      <c r="C228" s="6" t="str">
        <v>Microsoft Corp</v>
      </c>
      <c r="D228" s="6" t="str">
        <v>Microsoft Corp</v>
      </c>
      <c r="F228" s="6" t="str">
        <v>United States</v>
      </c>
      <c r="G228" s="6" t="str">
        <v>aQuantive Inc</v>
      </c>
      <c r="H228" s="6" t="str">
        <v>Advertising Services</v>
      </c>
      <c r="I228" s="6" t="str">
        <v>03839G</v>
      </c>
      <c r="J228" s="6" t="str">
        <v>aQuantive Inc</v>
      </c>
      <c r="K228" s="6" t="str">
        <v>aQuantive Inc</v>
      </c>
      <c r="L228" s="7">
        <f>=DATE(2007,5,18)</f>
        <v>39219.99949074074</v>
      </c>
      <c r="M228" s="7">
        <f>=DATE(2007,8,13)</f>
        <v>39306.99949074074</v>
      </c>
      <c r="N228" s="8">
        <v>6333.117</v>
      </c>
      <c r="O228" s="8">
        <v>6333.117</v>
      </c>
      <c r="P228" s="8" t="str">
        <v>6,099.43</v>
      </c>
      <c r="R228" s="8">
        <v>60.581</v>
      </c>
      <c r="S228" s="8">
        <v>492.647</v>
      </c>
      <c r="T228" s="8">
        <v>56.689</v>
      </c>
      <c r="U228" s="8">
        <v>-284.788</v>
      </c>
      <c r="V228" s="8">
        <v>123.634</v>
      </c>
      <c r="W228" s="6" t="str">
        <v>Operating Systems;Computer Consulting Services;Internet Services &amp; Software;Applications Software(Business;Other Peripherals;Monitors/Terminals</v>
      </c>
      <c r="X228" s="6" t="str">
        <v>Internet Services &amp; Software</v>
      </c>
      <c r="Y228" s="6" t="str">
        <v>Internet Services &amp; Software</v>
      </c>
      <c r="Z228" s="6" t="str">
        <v>Internet Services &amp; Software</v>
      </c>
      <c r="AA228" s="6" t="str">
        <v>Computer Consulting Services;Applications Software(Business;Monitors/Terminals;Operating Systems;Other Peripherals;Internet Services &amp; Software</v>
      </c>
      <c r="AB228" s="6" t="str">
        <v>Monitors/Terminals;Applications Software(Business;Internet Services &amp; Software;Operating Systems;Computer Consulting Services;Other Peripherals</v>
      </c>
      <c r="AC228" s="8">
        <v>6333.117</v>
      </c>
      <c r="AD228" s="7">
        <f>=DATE(2007,5,18)</f>
        <v>39219.99949074074</v>
      </c>
      <c r="AE228" s="8">
        <v>5249.664812</v>
      </c>
      <c r="AF228" s="8" t="str">
        <v>6,116.41</v>
      </c>
      <c r="AG228" s="8" t="str">
        <v>6,099.43</v>
      </c>
    </row>
    <row r="229">
      <c r="A229" s="6" t="str">
        <v>38259P</v>
      </c>
      <c r="B229" s="6" t="str">
        <v>United States</v>
      </c>
      <c r="C229" s="6" t="str">
        <v>Google Inc</v>
      </c>
      <c r="D229" s="6" t="str">
        <v>Alphabet Inc</v>
      </c>
      <c r="F229" s="6" t="str">
        <v>United States</v>
      </c>
      <c r="G229" s="6" t="str">
        <v>GreenBorder Technologies Inc</v>
      </c>
      <c r="H229" s="6" t="str">
        <v>Business Services</v>
      </c>
      <c r="I229" s="6" t="str">
        <v>39364Z</v>
      </c>
      <c r="J229" s="6" t="str">
        <v>GreenBorder Technologies Inc</v>
      </c>
      <c r="K229" s="6" t="str">
        <v>GreenBorder Technologies Inc</v>
      </c>
      <c r="L229" s="7">
        <f>=DATE(2007,5,30)</f>
        <v>39231.99949074074</v>
      </c>
      <c r="M229" s="7">
        <f>=DATE(2007,5,30)</f>
        <v>39231.99949074074</v>
      </c>
      <c r="W229" s="6" t="str">
        <v>Internet Services &amp; Software;Programming Services</v>
      </c>
      <c r="X229" s="6" t="str">
        <v>Computer Consulting Services;Other Computer Related Svcs;Data Processing Services;Other Software (inq. Games)</v>
      </c>
      <c r="Y229" s="6" t="str">
        <v>Other Computer Related Svcs;Other Software (inq. Games);Computer Consulting Services;Data Processing Services</v>
      </c>
      <c r="Z229" s="6" t="str">
        <v>Computer Consulting Services;Other Software (inq. Games);Other Computer Related Svcs;Data Processing Services</v>
      </c>
      <c r="AA229" s="6" t="str">
        <v>Telecommunications Equipment;Primary Business not Hi-Tech;Computer Consulting Services;Internet Services &amp; Software;Programming Services</v>
      </c>
      <c r="AB229" s="6" t="str">
        <v>Programming Services;Telecommunications Equipment;Primary Business not Hi-Tech;Computer Consulting Services;Internet Services &amp; Software</v>
      </c>
    </row>
    <row r="230">
      <c r="A230" s="6" t="str">
        <v>38259P</v>
      </c>
      <c r="B230" s="6" t="str">
        <v>United States</v>
      </c>
      <c r="C230" s="6" t="str">
        <v>Google Inc</v>
      </c>
      <c r="D230" s="6" t="str">
        <v>Alphabet Inc</v>
      </c>
      <c r="F230" s="6" t="str">
        <v>United States</v>
      </c>
      <c r="G230" s="6" t="str">
        <v>FeedBurner Inc</v>
      </c>
      <c r="H230" s="6" t="str">
        <v>Business Services</v>
      </c>
      <c r="I230" s="6" t="str">
        <v>31455P</v>
      </c>
      <c r="J230" s="6" t="str">
        <v>FeedBurner Inc</v>
      </c>
      <c r="K230" s="6" t="str">
        <v>FeedBurner Inc</v>
      </c>
      <c r="L230" s="7">
        <f>=DATE(2007,6,2)</f>
        <v>39234.99949074074</v>
      </c>
      <c r="M230" s="7">
        <f>=DATE(2007,6,2)</f>
        <v>39234.99949074074</v>
      </c>
      <c r="W230" s="6" t="str">
        <v>Programming Services;Internet Services &amp; Software</v>
      </c>
      <c r="X230" s="6" t="str">
        <v>Other Software (inq. Games);Other Computer Related Svcs;Computer Consulting Services;Data Processing Services</v>
      </c>
      <c r="Y230" s="6" t="str">
        <v>Other Software (inq. Games);Data Processing Services;Computer Consulting Services;Other Computer Related Svcs</v>
      </c>
      <c r="Z230" s="6" t="str">
        <v>Computer Consulting Services;Other Software (inq. Games);Data Processing Services;Other Computer Related Svcs</v>
      </c>
      <c r="AA230" s="6" t="str">
        <v>Telecommunications Equipment;Programming Services;Internet Services &amp; Software;Primary Business not Hi-Tech;Computer Consulting Services</v>
      </c>
      <c r="AB230" s="6" t="str">
        <v>Computer Consulting Services;Programming Services;Primary Business not Hi-Tech;Telecommunications Equipment;Internet Services &amp; Software</v>
      </c>
    </row>
    <row r="231">
      <c r="A231" s="6" t="str">
        <v>594918</v>
      </c>
      <c r="B231" s="6" t="str">
        <v>United States</v>
      </c>
      <c r="C231" s="6" t="str">
        <v>Microsoft Corp</v>
      </c>
      <c r="D231" s="6" t="str">
        <v>Microsoft Corp</v>
      </c>
      <c r="F231" s="6" t="str">
        <v>United States</v>
      </c>
      <c r="G231" s="6" t="str">
        <v>Engyro Corp</v>
      </c>
      <c r="H231" s="6" t="str">
        <v>Business Services</v>
      </c>
      <c r="I231" s="6" t="str">
        <v>27071T</v>
      </c>
      <c r="J231" s="6" t="str">
        <v>Engyro Corp</v>
      </c>
      <c r="K231" s="6" t="str">
        <v>Engyro Corp</v>
      </c>
      <c r="L231" s="7">
        <f>=DATE(2007,6,4)</f>
        <v>39236.99949074074</v>
      </c>
      <c r="M231" s="7">
        <f>=DATE(2007,6,4)</f>
        <v>39236.99949074074</v>
      </c>
      <c r="W231" s="6" t="str">
        <v>Applications Software(Business;Computer Consulting Services;Other Peripherals;Operating Systems;Monitors/Terminals;Internet Services &amp; Software</v>
      </c>
      <c r="X231" s="6" t="str">
        <v>Computer Consulting Services;Other Software (inq. Games);Data Processing Services;Other Computer Related Svcs</v>
      </c>
      <c r="Y231" s="6" t="str">
        <v>Computer Consulting Services;Other Software (inq. Games);Data Processing Services;Other Computer Related Svcs</v>
      </c>
      <c r="Z231" s="6" t="str">
        <v>Other Computer Related Svcs;Data Processing Services;Other Software (inq. Games);Computer Consulting Services</v>
      </c>
      <c r="AA231" s="6" t="str">
        <v>Computer Consulting Services;Applications Software(Business;Monitors/Terminals;Internet Services &amp; Software;Other Peripherals;Operating Systems</v>
      </c>
      <c r="AB231" s="6" t="str">
        <v>Other Peripherals;Operating Systems;Applications Software(Business;Computer Consulting Services;Internet Services &amp; Software;Monitors/Terminals</v>
      </c>
    </row>
    <row r="232">
      <c r="A232" s="6" t="str">
        <v>38259P</v>
      </c>
      <c r="B232" s="6" t="str">
        <v>United States</v>
      </c>
      <c r="C232" s="6" t="str">
        <v>Google Inc</v>
      </c>
      <c r="D232" s="6" t="str">
        <v>Alphabet Inc</v>
      </c>
      <c r="F232" s="6" t="str">
        <v>United States</v>
      </c>
      <c r="G232" s="6" t="str">
        <v>PeakStream</v>
      </c>
      <c r="H232" s="6" t="str">
        <v>Prepackaged Software</v>
      </c>
      <c r="I232" s="6" t="str">
        <v>70492N</v>
      </c>
      <c r="J232" s="6" t="str">
        <v>PeakStream</v>
      </c>
      <c r="K232" s="6" t="str">
        <v>PeakStream</v>
      </c>
      <c r="L232" s="7">
        <f>=DATE(2007,6,6)</f>
        <v>39238.99949074074</v>
      </c>
      <c r="M232" s="7">
        <f>=DATE(2007,6,6)</f>
        <v>39238.99949074074</v>
      </c>
      <c r="W232" s="6" t="str">
        <v>Programming Services;Internet Services &amp; Software</v>
      </c>
      <c r="X232" s="6" t="str">
        <v>Other Software (inq. Games)</v>
      </c>
      <c r="Y232" s="6" t="str">
        <v>Other Software (inq. Games)</v>
      </c>
      <c r="Z232" s="6" t="str">
        <v>Other Software (inq. Games)</v>
      </c>
      <c r="AA232" s="6" t="str">
        <v>Telecommunications Equipment;Primary Business not Hi-Tech;Programming Services;Computer Consulting Services;Internet Services &amp; Software</v>
      </c>
      <c r="AB232" s="6" t="str">
        <v>Primary Business not Hi-Tech;Telecommunications Equipment;Programming Services;Computer Consulting Services;Internet Services &amp; Software</v>
      </c>
    </row>
    <row r="233">
      <c r="A233" s="6" t="str">
        <v>594918</v>
      </c>
      <c r="B233" s="6" t="str">
        <v>United States</v>
      </c>
      <c r="C233" s="6" t="str">
        <v>Microsoft Corp</v>
      </c>
      <c r="D233" s="6" t="str">
        <v>Microsoft Corp</v>
      </c>
      <c r="F233" s="6" t="str">
        <v>United States</v>
      </c>
      <c r="G233" s="6" t="str">
        <v>Stratature Inc</v>
      </c>
      <c r="H233" s="6" t="str">
        <v>Business Services</v>
      </c>
      <c r="I233" s="6" t="str">
        <v>86269W</v>
      </c>
      <c r="J233" s="6" t="str">
        <v>Stratature Inc</v>
      </c>
      <c r="K233" s="6" t="str">
        <v>Stratature Inc</v>
      </c>
      <c r="L233" s="7">
        <f>=DATE(2007,6,7)</f>
        <v>39239.99949074074</v>
      </c>
      <c r="M233" s="7">
        <f>=DATE(2007,6,7)</f>
        <v>39239.99949074074</v>
      </c>
      <c r="W233" s="6" t="str">
        <v>Monitors/Terminals;Computer Consulting Services;Operating Systems;Internet Services &amp; Software;Other Peripherals;Applications Software(Business</v>
      </c>
      <c r="X233" s="6" t="str">
        <v>Computer Consulting Services;Other Computer Related Svcs;Applications Software(Business;Programming Services</v>
      </c>
      <c r="Y233" s="6" t="str">
        <v>Other Computer Related Svcs;Programming Services;Computer Consulting Services;Applications Software(Business</v>
      </c>
      <c r="Z233" s="6" t="str">
        <v>Programming Services;Computer Consulting Services;Other Computer Related Svcs;Applications Software(Business</v>
      </c>
      <c r="AA233" s="6" t="str">
        <v>Computer Consulting Services;Applications Software(Business;Internet Services &amp; Software;Other Peripherals;Monitors/Terminals;Operating Systems</v>
      </c>
      <c r="AB233" s="6" t="str">
        <v>Applications Software(Business;Other Peripherals;Internet Services &amp; Software;Monitors/Terminals;Operating Systems;Computer Consulting Services</v>
      </c>
    </row>
    <row r="234">
      <c r="A234" s="6" t="str">
        <v>38259P</v>
      </c>
      <c r="B234" s="6" t="str">
        <v>United States</v>
      </c>
      <c r="C234" s="6" t="str">
        <v>Google Inc</v>
      </c>
      <c r="D234" s="6" t="str">
        <v>Alphabet Inc</v>
      </c>
      <c r="F234" s="6" t="str">
        <v>United States</v>
      </c>
      <c r="G234" s="6" t="str">
        <v>Zenter</v>
      </c>
      <c r="H234" s="6" t="str">
        <v>Prepackaged Software</v>
      </c>
      <c r="I234" s="6" t="str">
        <v>99135J</v>
      </c>
      <c r="J234" s="6" t="str">
        <v>Zenter</v>
      </c>
      <c r="K234" s="6" t="str">
        <v>Zenter</v>
      </c>
      <c r="L234" s="7">
        <f>=DATE(2007,6,19)</f>
        <v>39251.99949074074</v>
      </c>
      <c r="M234" s="7">
        <f>=DATE(2007,6,19)</f>
        <v>39251.99949074074</v>
      </c>
      <c r="W234" s="6" t="str">
        <v>Programming Services;Internet Services &amp; Software</v>
      </c>
      <c r="X234" s="6" t="str">
        <v>Communication/Network Software;Internet Services &amp; Software</v>
      </c>
      <c r="Y234" s="6" t="str">
        <v>Internet Services &amp; Software;Communication/Network Software</v>
      </c>
      <c r="Z234" s="6" t="str">
        <v>Internet Services &amp; Software;Communication/Network Software</v>
      </c>
      <c r="AA234" s="6" t="str">
        <v>Computer Consulting Services;Telecommunications Equipment;Programming Services;Internet Services &amp; Software;Primary Business not Hi-Tech</v>
      </c>
      <c r="AB234" s="6" t="str">
        <v>Internet Services &amp; Software;Primary Business not Hi-Tech;Computer Consulting Services;Telecommunications Equipment;Programming Services</v>
      </c>
    </row>
    <row r="235">
      <c r="A235" s="6" t="str">
        <v>67020Y</v>
      </c>
      <c r="B235" s="6" t="str">
        <v>United States</v>
      </c>
      <c r="C235" s="6" t="str">
        <v>Nuance Communications Inc</v>
      </c>
      <c r="D235" s="6" t="str">
        <v>Nuance Communications Inc</v>
      </c>
      <c r="F235" s="6" t="str">
        <v>United States</v>
      </c>
      <c r="G235" s="6" t="str">
        <v>Tegic Communications Inc</v>
      </c>
      <c r="H235" s="6" t="str">
        <v>Prepackaged Software</v>
      </c>
      <c r="I235" s="6" t="str">
        <v>87893W</v>
      </c>
      <c r="J235" s="6" t="str">
        <v>Time Warner Inc</v>
      </c>
      <c r="K235" s="6" t="str">
        <v>Time Warner Inc</v>
      </c>
      <c r="L235" s="7">
        <f>=DATE(2007,6,21)</f>
        <v>39253.99949074074</v>
      </c>
      <c r="M235" s="7">
        <f>=DATE(2007,8,24)</f>
        <v>39317.99949074074</v>
      </c>
      <c r="N235" s="8">
        <v>265</v>
      </c>
      <c r="O235" s="8">
        <v>265</v>
      </c>
      <c r="W235" s="6" t="str">
        <v>Applications Software(Home);Other Computer Related Svcs;Applications Software(Business;Communication/Network Software;Database Software/Programming;Programming Services;Utilities/File Mgmt Software;Other Software (inq. Games);Primary Business not Hi-Tech;Internet Services &amp; Software;Computer Consulting Services;Networking Systems (LAN,WAN);Desktop Publishing</v>
      </c>
      <c r="X235" s="6" t="str">
        <v>Other Software (inq. Games);Satellite Communications;Communication/Network Software;Data Commun(Exclude networking;Other Telecommunications Equip;Cellular Communications;Microwave Communications</v>
      </c>
      <c r="Y235" s="6" t="str">
        <v>Internet Services &amp; Software;Communication/Network Software;Satellite Communications</v>
      </c>
      <c r="Z235" s="6" t="str">
        <v>Satellite Communications;Internet Services &amp; Software;Communication/Network Software</v>
      </c>
      <c r="AA235" s="6" t="str">
        <v>Networking Systems (LAN,WAN);Desktop Publishing;Internet Services &amp; Software;Database Software/Programming;Other Software (inq. Games);Other Computer Related Svcs;Utilities/File Mgmt Software;Applications Software(Home);Programming Services;Primary Business not Hi-Tech;Communication/Network Software;Computer Consulting Services;Applications Software(Business</v>
      </c>
      <c r="AB235" s="6" t="str">
        <v>Computer Consulting Services;Utilities/File Mgmt Software;Other Software (inq. Games);Applications Software(Home);Applications Software(Business;Primary Business not Hi-Tech;Other Computer Related Svcs;Networking Systems (LAN,WAN);Internet Services &amp; Software;Database Software/Programming;Desktop Publishing;Programming Services;Communication/Network Software</v>
      </c>
      <c r="AC235" s="8">
        <v>265</v>
      </c>
      <c r="AD235" s="7">
        <f>=DATE(2007,6,21)</f>
        <v>39253.99949074074</v>
      </c>
    </row>
    <row r="236">
      <c r="A236" s="6" t="str">
        <v>594918</v>
      </c>
      <c r="B236" s="6" t="str">
        <v>United States</v>
      </c>
      <c r="C236" s="6" t="str">
        <v>Microsoft Corp</v>
      </c>
      <c r="D236" s="6" t="str">
        <v>Microsoft Corp</v>
      </c>
      <c r="F236" s="6" t="str">
        <v>United States</v>
      </c>
      <c r="G236" s="6" t="str">
        <v>Savvis Inc-Data Centers(2), Santa Clara,California</v>
      </c>
      <c r="H236" s="6" t="str">
        <v>Business Services</v>
      </c>
      <c r="I236" s="6" t="str">
        <v>80542F</v>
      </c>
      <c r="J236" s="6" t="str">
        <v>SAVVIS Inc</v>
      </c>
      <c r="K236" s="6" t="str">
        <v>SAVVIS Inc</v>
      </c>
      <c r="L236" s="7">
        <f>=DATE(2007,6,29)</f>
        <v>39261.99949074074</v>
      </c>
      <c r="M236" s="7">
        <f>=DATE(2007,6,29)</f>
        <v>39261.99949074074</v>
      </c>
      <c r="N236" s="8">
        <v>200</v>
      </c>
      <c r="O236" s="8">
        <v>200</v>
      </c>
      <c r="W236" s="6" t="str">
        <v>Computer Consulting Services;Internet Services &amp; Software;Monitors/Terminals;Other Peripherals;Applications Software(Business;Operating Systems</v>
      </c>
      <c r="X236" s="6" t="str">
        <v>Communication/Network Software;Internet Services &amp; Software</v>
      </c>
      <c r="Y236" s="6" t="str">
        <v>Computer Consulting Services;Data Processing Services;Other Software (inq. Games);Other Computer Related Svcs</v>
      </c>
      <c r="Z236" s="6" t="str">
        <v>Data Processing Services;Other Computer Related Svcs;Computer Consulting Services;Other Software (inq. Games)</v>
      </c>
      <c r="AA236" s="6" t="str">
        <v>Operating Systems;Monitors/Terminals;Internet Services &amp; Software;Computer Consulting Services;Other Peripherals;Applications Software(Business</v>
      </c>
      <c r="AB236" s="6" t="str">
        <v>Internet Services &amp; Software;Computer Consulting Services;Operating Systems;Other Peripherals;Applications Software(Business;Monitors/Terminals</v>
      </c>
      <c r="AC236" s="8">
        <v>200</v>
      </c>
      <c r="AD236" s="7">
        <f>=DATE(2007,6,29)</f>
        <v>39261.99949074074</v>
      </c>
    </row>
    <row r="237">
      <c r="A237" s="6" t="str">
        <v>38259P</v>
      </c>
      <c r="B237" s="6" t="str">
        <v>United States</v>
      </c>
      <c r="C237" s="6" t="str">
        <v>Google Inc</v>
      </c>
      <c r="D237" s="6" t="str">
        <v>Alphabet Inc</v>
      </c>
      <c r="F237" s="6" t="str">
        <v>United States</v>
      </c>
      <c r="G237" s="6" t="str">
        <v>GrandCentral Communications</v>
      </c>
      <c r="H237" s="6" t="str">
        <v>Prepackaged Software</v>
      </c>
      <c r="I237" s="6" t="str">
        <v>38516Y</v>
      </c>
      <c r="J237" s="6" t="str">
        <v>GrandCentral Communications</v>
      </c>
      <c r="K237" s="6" t="str">
        <v>GrandCentral Communications</v>
      </c>
      <c r="L237" s="7">
        <f>=DATE(2007,7,2)</f>
        <v>39264.99949074074</v>
      </c>
      <c r="M237" s="7">
        <f>=DATE(2007,7,2)</f>
        <v>39264.99949074074</v>
      </c>
      <c r="W237" s="6" t="str">
        <v>Programming Services;Internet Services &amp; Software</v>
      </c>
      <c r="X237" s="6" t="str">
        <v>Internet Services &amp; Software;Communication/Network Software</v>
      </c>
      <c r="Y237" s="6" t="str">
        <v>Communication/Network Software;Internet Services &amp; Software</v>
      </c>
      <c r="Z237" s="6" t="str">
        <v>Communication/Network Software;Internet Services &amp; Software</v>
      </c>
      <c r="AA237" s="6" t="str">
        <v>Internet Services &amp; Software;Programming Services;Telecommunications Equipment;Computer Consulting Services;Primary Business not Hi-Tech</v>
      </c>
      <c r="AB237" s="6" t="str">
        <v>Programming Services;Internet Services &amp; Software;Computer Consulting Services;Primary Business not Hi-Tech;Telecommunications Equipment</v>
      </c>
    </row>
    <row r="238">
      <c r="A238" s="6" t="str">
        <v>38259P</v>
      </c>
      <c r="B238" s="6" t="str">
        <v>United States</v>
      </c>
      <c r="C238" s="6" t="str">
        <v>Google Inc</v>
      </c>
      <c r="D238" s="6" t="str">
        <v>Alphabet Inc</v>
      </c>
      <c r="F238" s="6" t="str">
        <v>United States</v>
      </c>
      <c r="G238" s="6" t="str">
        <v>Postini Inc</v>
      </c>
      <c r="H238" s="6" t="str">
        <v>Prepackaged Software</v>
      </c>
      <c r="I238" s="6" t="str">
        <v>69518L</v>
      </c>
      <c r="J238" s="6" t="str">
        <v>Postini Inc</v>
      </c>
      <c r="K238" s="6" t="str">
        <v>Postini Inc</v>
      </c>
      <c r="L238" s="7">
        <f>=DATE(2007,7,9)</f>
        <v>39271.99949074074</v>
      </c>
      <c r="M238" s="7">
        <f>=DATE(2007,9,13)</f>
        <v>39337.99949074074</v>
      </c>
      <c r="N238" s="8">
        <v>625</v>
      </c>
      <c r="O238" s="8">
        <v>625</v>
      </c>
      <c r="W238" s="6" t="str">
        <v>Programming Services;Internet Services &amp; Software</v>
      </c>
      <c r="X238" s="6" t="str">
        <v>Internet Services &amp; Software</v>
      </c>
      <c r="Y238" s="6" t="str">
        <v>Internet Services &amp; Software</v>
      </c>
      <c r="Z238" s="6" t="str">
        <v>Internet Services &amp; Software</v>
      </c>
      <c r="AA238" s="6" t="str">
        <v>Telecommunications Equipment;Internet Services &amp; Software;Programming Services;Primary Business not Hi-Tech;Computer Consulting Services</v>
      </c>
      <c r="AB238" s="6" t="str">
        <v>Programming Services;Primary Business not Hi-Tech;Telecommunications Equipment;Computer Consulting Services;Internet Services &amp; Software</v>
      </c>
      <c r="AC238" s="8">
        <v>625</v>
      </c>
      <c r="AD238" s="7">
        <f>=DATE(2007,7,9)</f>
        <v>39271.99949074074</v>
      </c>
    </row>
    <row r="239">
      <c r="A239" s="6" t="str">
        <v>99101J</v>
      </c>
      <c r="B239" s="6" t="str">
        <v>United States</v>
      </c>
      <c r="C239" s="6" t="str">
        <v>Zappos.com Inc</v>
      </c>
      <c r="D239" s="6" t="str">
        <v>Zappos.com Inc</v>
      </c>
      <c r="F239" s="6" t="str">
        <v>United States</v>
      </c>
      <c r="G239" s="6" t="str">
        <v>6pm.com</v>
      </c>
      <c r="H239" s="6" t="str">
        <v>Retail Trade-General Merchandise and Apparel</v>
      </c>
      <c r="I239" s="6" t="str">
        <v>82851L</v>
      </c>
      <c r="J239" s="6" t="str">
        <v>eBags Inc</v>
      </c>
      <c r="K239" s="6" t="str">
        <v>eBags Inc</v>
      </c>
      <c r="L239" s="7">
        <f>=DATE(2007,7,9)</f>
        <v>39271.99949074074</v>
      </c>
      <c r="M239" s="7">
        <f>=DATE(2007,10,9)</f>
        <v>39363.99949074074</v>
      </c>
      <c r="W239" s="6" t="str">
        <v>Internet Services &amp; Software</v>
      </c>
      <c r="X239" s="6" t="str">
        <v>Internet Services &amp; Software</v>
      </c>
      <c r="Y239" s="6" t="str">
        <v>Primary Business not Hi-Tech</v>
      </c>
      <c r="Z239" s="6" t="str">
        <v>Primary Business not Hi-Tech</v>
      </c>
      <c r="AA239" s="6" t="str">
        <v>Internet Services &amp; Software</v>
      </c>
      <c r="AB239" s="6" t="str">
        <v>Internet Services &amp; Software</v>
      </c>
    </row>
    <row r="240">
      <c r="A240" s="6" t="str">
        <v>30303M</v>
      </c>
      <c r="B240" s="6" t="str">
        <v>United States</v>
      </c>
      <c r="C240" s="6" t="str">
        <v>Facebook Inc</v>
      </c>
      <c r="D240" s="6" t="str">
        <v>Facebook Inc</v>
      </c>
      <c r="F240" s="6" t="str">
        <v>United States</v>
      </c>
      <c r="G240" s="6" t="str">
        <v>Parakey Inc</v>
      </c>
      <c r="H240" s="6" t="str">
        <v>Prepackaged Software</v>
      </c>
      <c r="I240" s="6" t="str">
        <v>70090K</v>
      </c>
      <c r="J240" s="6" t="str">
        <v>Parakey Inc</v>
      </c>
      <c r="K240" s="6" t="str">
        <v>Parakey Inc</v>
      </c>
      <c r="L240" s="7">
        <f>=DATE(2007,7,19)</f>
        <v>39281.99949074074</v>
      </c>
      <c r="M240" s="7">
        <f>=DATE(2007,7,19)</f>
        <v>39281.99949074074</v>
      </c>
      <c r="W240" s="6" t="str">
        <v>Internet Services &amp; Software</v>
      </c>
      <c r="X240" s="6" t="str">
        <v>Internet Services &amp; Software;Communication/Network Software</v>
      </c>
      <c r="Y240" s="6" t="str">
        <v>Internet Services &amp; Software;Communication/Network Software</v>
      </c>
      <c r="Z240" s="6" t="str">
        <v>Internet Services &amp; Software;Communication/Network Software</v>
      </c>
      <c r="AA240" s="6" t="str">
        <v>Internet Services &amp; Software</v>
      </c>
      <c r="AB240" s="6" t="str">
        <v>Internet Services &amp; Software</v>
      </c>
    </row>
    <row r="241">
      <c r="A241" s="6" t="str">
        <v>594918</v>
      </c>
      <c r="B241" s="6" t="str">
        <v>United States</v>
      </c>
      <c r="C241" s="6" t="str">
        <v>Microsoft Corp</v>
      </c>
      <c r="D241" s="6" t="str">
        <v>Microsoft Corp</v>
      </c>
      <c r="F241" s="6" t="str">
        <v>United States</v>
      </c>
      <c r="G241" s="6" t="str">
        <v>Parlano Inc</v>
      </c>
      <c r="H241" s="6" t="str">
        <v>Prepackaged Software</v>
      </c>
      <c r="I241" s="6" t="str">
        <v>70162F</v>
      </c>
      <c r="J241" s="6" t="str">
        <v>Parlano Inc</v>
      </c>
      <c r="K241" s="6" t="str">
        <v>Parlano Inc</v>
      </c>
      <c r="L241" s="7">
        <f>=DATE(2007,8,29)</f>
        <v>39322.99949074074</v>
      </c>
      <c r="M241" s="7">
        <f>=DATE(2007,10,5)</f>
        <v>39359.99949074074</v>
      </c>
      <c r="W241" s="6" t="str">
        <v>Applications Software(Business;Other Peripherals;Monitors/Terminals;Internet Services &amp; Software;Computer Consulting Services;Operating Systems</v>
      </c>
      <c r="X241" s="6" t="str">
        <v>Communication/Network Software</v>
      </c>
      <c r="Y241" s="6" t="str">
        <v>Communication/Network Software</v>
      </c>
      <c r="Z241" s="6" t="str">
        <v>Communication/Network Software</v>
      </c>
      <c r="AA241" s="6" t="str">
        <v>Monitors/Terminals;Internet Services &amp; Software;Other Peripherals;Applications Software(Business;Operating Systems;Computer Consulting Services</v>
      </c>
      <c r="AB241" s="6" t="str">
        <v>Applications Software(Business;Operating Systems;Computer Consulting Services;Other Peripherals;Internet Services &amp; Software;Monitors/Terminals</v>
      </c>
    </row>
    <row r="242">
      <c r="A242" s="6" t="str">
        <v>31708V</v>
      </c>
      <c r="B242" s="6" t="str">
        <v>United States</v>
      </c>
      <c r="C242" s="6" t="str">
        <v>TheFind Inc</v>
      </c>
      <c r="D242" s="6" t="str">
        <v>TheFind Inc</v>
      </c>
      <c r="F242" s="6" t="str">
        <v>United States</v>
      </c>
      <c r="G242" s="6" t="str">
        <v>Glimpse.com</v>
      </c>
      <c r="H242" s="6" t="str">
        <v>Business Services</v>
      </c>
      <c r="I242" s="6" t="str">
        <v>38158V</v>
      </c>
      <c r="J242" s="6" t="str">
        <v>Glimpse.com</v>
      </c>
      <c r="K242" s="6" t="str">
        <v>Glimpse.com</v>
      </c>
      <c r="L242" s="7">
        <f>=DATE(2007,8,30)</f>
        <v>39323.99949074074</v>
      </c>
      <c r="M242" s="7">
        <f>=DATE(2007,8,30)</f>
        <v>39323.99949074074</v>
      </c>
      <c r="W242" s="6" t="str">
        <v>Internet Services &amp; Software</v>
      </c>
      <c r="X242" s="6" t="str">
        <v>Internet Services &amp; Software</v>
      </c>
      <c r="Y242" s="6" t="str">
        <v>Internet Services &amp; Software</v>
      </c>
      <c r="Z242" s="6" t="str">
        <v>Internet Services &amp; Software</v>
      </c>
      <c r="AA242" s="6" t="str">
        <v>Internet Services &amp; Software</v>
      </c>
      <c r="AB242" s="6" t="str">
        <v>Internet Services &amp; Software</v>
      </c>
    </row>
    <row r="243">
      <c r="A243" s="6" t="str">
        <v>594918</v>
      </c>
      <c r="B243" s="6" t="str">
        <v>United States</v>
      </c>
      <c r="C243" s="6" t="str">
        <v>Microsoft Corp</v>
      </c>
      <c r="D243" s="6" t="str">
        <v>Microsoft Corp</v>
      </c>
      <c r="F243" s="6" t="str">
        <v>United States</v>
      </c>
      <c r="G243" s="6" t="str">
        <v>Jellyfish.com Inc</v>
      </c>
      <c r="H243" s="6" t="str">
        <v>Miscellaneous Retail Trade</v>
      </c>
      <c r="I243" s="6" t="str">
        <v>47584V</v>
      </c>
      <c r="J243" s="6" t="str">
        <v>Jellyfish.com Inc</v>
      </c>
      <c r="K243" s="6" t="str">
        <v>Jellyfish.com Inc</v>
      </c>
      <c r="L243" s="7">
        <f>=DATE(2007,10,2)</f>
        <v>39356.99949074074</v>
      </c>
      <c r="M243" s="7">
        <f>=DATE(2007,10,2)</f>
        <v>39356.99949074074</v>
      </c>
      <c r="W243" s="6" t="str">
        <v>Monitors/Terminals;Internet Services &amp; Software;Computer Consulting Services;Applications Software(Business;Operating Systems;Other Peripherals</v>
      </c>
      <c r="X243" s="6" t="str">
        <v>Internet Services &amp; Software</v>
      </c>
      <c r="Y243" s="6" t="str">
        <v>Internet Services &amp; Software</v>
      </c>
      <c r="Z243" s="6" t="str">
        <v>Internet Services &amp; Software</v>
      </c>
      <c r="AA243" s="6" t="str">
        <v>Monitors/Terminals;Computer Consulting Services;Internet Services &amp; Software;Other Peripherals;Applications Software(Business;Operating Systems</v>
      </c>
      <c r="AB243" s="6" t="str">
        <v>Internet Services &amp; Software;Applications Software(Business;Monitors/Terminals;Operating Systems;Other Peripherals;Computer Consulting Services</v>
      </c>
    </row>
    <row r="244">
      <c r="A244" s="6" t="str">
        <v>55383E</v>
      </c>
      <c r="B244" s="6" t="str">
        <v>United States</v>
      </c>
      <c r="C244" s="6" t="str">
        <v>MSNBC</v>
      </c>
      <c r="D244" s="6" t="str">
        <v>General Electric Co</v>
      </c>
      <c r="F244" s="6" t="str">
        <v>United States</v>
      </c>
      <c r="G244" s="6" t="str">
        <v>Newsvine Inc</v>
      </c>
      <c r="H244" s="6" t="str">
        <v>Business Services</v>
      </c>
      <c r="I244" s="6" t="str">
        <v>65263Z</v>
      </c>
      <c r="J244" s="6" t="str">
        <v>Newsvine Inc</v>
      </c>
      <c r="K244" s="6" t="str">
        <v>Newsvine Inc</v>
      </c>
      <c r="L244" s="7">
        <f>=DATE(2007,10,5)</f>
        <v>39359.99949074074</v>
      </c>
      <c r="M244" s="7">
        <f>=DATE(2007,10,5)</f>
        <v>39359.99949074074</v>
      </c>
      <c r="W244" s="6" t="str">
        <v>Internet Services &amp; Software</v>
      </c>
      <c r="X244" s="6" t="str">
        <v>Internet Services &amp; Software</v>
      </c>
      <c r="Y244" s="6" t="str">
        <v>Internet Services &amp; Software</v>
      </c>
      <c r="Z244" s="6" t="str">
        <v>Internet Services &amp; Software</v>
      </c>
      <c r="AA244" s="6" t="str">
        <v>Primary Business not Hi-Tech</v>
      </c>
      <c r="AB244" s="6" t="str">
        <v>Other Electronics;Other High Technology Industry</v>
      </c>
    </row>
    <row r="245">
      <c r="A245" s="6" t="str">
        <v>67020Y</v>
      </c>
      <c r="B245" s="6" t="str">
        <v>United States</v>
      </c>
      <c r="C245" s="6" t="str">
        <v>Nuance Communications Inc</v>
      </c>
      <c r="D245" s="6" t="str">
        <v>Nuance Communications Inc</v>
      </c>
      <c r="F245" s="6" t="str">
        <v>United States</v>
      </c>
      <c r="G245" s="6" t="str">
        <v>Vocada Inc</v>
      </c>
      <c r="H245" s="6" t="str">
        <v>Prepackaged Software</v>
      </c>
      <c r="I245" s="6" t="str">
        <v>93206R</v>
      </c>
      <c r="J245" s="6" t="str">
        <v>Vocada Inc</v>
      </c>
      <c r="K245" s="6" t="str">
        <v>Vocada Inc</v>
      </c>
      <c r="L245" s="7">
        <f>=DATE(2007,10,18)</f>
        <v>39372.99949074074</v>
      </c>
      <c r="M245" s="7">
        <f>=DATE(2007,11,5)</f>
        <v>39390.99949074074</v>
      </c>
      <c r="N245" s="8">
        <v>45</v>
      </c>
      <c r="O245" s="8">
        <v>45</v>
      </c>
      <c r="W245" s="6" t="str">
        <v>Computer Consulting Services;Applications Software(Business;Communication/Network Software;Applications Software(Home);Desktop Publishing;Networking Systems (LAN,WAN);Internet Services &amp; Software;Other Software (inq. Games);Other Computer Related Svcs;Utilities/File Mgmt Software;Programming Services;Primary Business not Hi-Tech;Database Software/Programming</v>
      </c>
      <c r="X245" s="6" t="str">
        <v>Other Software (inq. Games)</v>
      </c>
      <c r="Y245" s="6" t="str">
        <v>Other Software (inq. Games)</v>
      </c>
      <c r="Z245" s="6" t="str">
        <v>Other Software (inq. Games)</v>
      </c>
      <c r="AA245" s="6" t="str">
        <v>Applications Software(Business;Applications Software(Home);Computer Consulting Services;Communication/Network Software;Desktop Publishing;Other Software (inq. Games);Primary Business not Hi-Tech;Programming Services;Internet Services &amp; Software;Other Computer Related Svcs;Networking Systems (LAN,WAN);Database Software/Programming;Utilities/File Mgmt Software</v>
      </c>
      <c r="AB245" s="6" t="str">
        <v>Other Computer Related Svcs;Internet Services &amp; Software;Networking Systems (LAN,WAN);Programming Services;Primary Business not Hi-Tech;Applications Software(Business;Applications Software(Home);Communication/Network Software;Utilities/File Mgmt Software;Computer Consulting Services;Database Software/Programming;Other Software (inq. Games);Desktop Publishing</v>
      </c>
      <c r="AC245" s="8">
        <v>45</v>
      </c>
      <c r="AD245" s="7">
        <f>=DATE(2007,10,18)</f>
        <v>39372.99949074074</v>
      </c>
      <c r="AF245" s="8" t="str">
        <v>45.00</v>
      </c>
      <c r="AG245" s="8" t="str">
        <v>21.00</v>
      </c>
    </row>
    <row r="246">
      <c r="A246" s="6" t="str">
        <v>67020Y</v>
      </c>
      <c r="B246" s="6" t="str">
        <v>United States</v>
      </c>
      <c r="C246" s="6" t="str">
        <v>Nuance Communications Inc</v>
      </c>
      <c r="D246" s="6" t="str">
        <v>Nuance Communications Inc</v>
      </c>
      <c r="F246" s="6" t="str">
        <v>United States</v>
      </c>
      <c r="G246" s="6" t="str">
        <v>Viecore Inc</v>
      </c>
      <c r="H246" s="6" t="str">
        <v>Business Services</v>
      </c>
      <c r="I246" s="6" t="str">
        <v>92696Q</v>
      </c>
      <c r="J246" s="6" t="str">
        <v>Viecore Inc</v>
      </c>
      <c r="K246" s="6" t="str">
        <v>Viecore Inc</v>
      </c>
      <c r="L246" s="7">
        <f>=DATE(2007,10,22)</f>
        <v>39376.99949074074</v>
      </c>
      <c r="M246" s="7">
        <f>=DATE(2007,11,30)</f>
        <v>39415.99949074074</v>
      </c>
      <c r="W246" s="6" t="str">
        <v>Other Software (inq. Games);Internet Services &amp; Software;Communication/Network Software;Applications Software(Home);Other Computer Related Svcs;Networking Systems (LAN,WAN);Primary Business not Hi-Tech;Computer Consulting Services;Programming Services;Utilities/File Mgmt Software;Desktop Publishing;Database Software/Programming;Applications Software(Business</v>
      </c>
      <c r="X246" s="6" t="str">
        <v>Database Software/Programming</v>
      </c>
      <c r="Y246" s="6" t="str">
        <v>Database Software/Programming</v>
      </c>
      <c r="Z246" s="6" t="str">
        <v>Database Software/Programming</v>
      </c>
      <c r="AA246" s="6" t="str">
        <v>Computer Consulting Services;Programming Services;Internet Services &amp; Software;Communication/Network Software;Primary Business not Hi-Tech;Applications Software(Home);Database Software/Programming;Other Computer Related Svcs;Other Software (inq. Games);Networking Systems (LAN,WAN);Utilities/File Mgmt Software;Desktop Publishing;Applications Software(Business</v>
      </c>
      <c r="AB246" s="6" t="str">
        <v>Applications Software(Home);Other Computer Related Svcs;Desktop Publishing;Primary Business not Hi-Tech;Communication/Network Software;Other Software (inq. Games);Utilities/File Mgmt Software;Internet Services &amp; Software;Programming Services;Database Software/Programming;Networking Systems (LAN,WAN);Computer Consulting Services;Applications Software(Business</v>
      </c>
    </row>
    <row r="247">
      <c r="A247" s="6" t="str">
        <v>46056F</v>
      </c>
      <c r="B247" s="6" t="str">
        <v>United States</v>
      </c>
      <c r="C247" s="6" t="str">
        <v>Internet Movie Database Inc</v>
      </c>
      <c r="D247" s="6" t="str">
        <v>Amazon.com Inc</v>
      </c>
      <c r="F247" s="6" t="str">
        <v>United States</v>
      </c>
      <c r="G247" s="6" t="str">
        <v>Without A Box Inc</v>
      </c>
      <c r="H247" s="6" t="str">
        <v>Prepackaged Software</v>
      </c>
      <c r="I247" s="6" t="str">
        <v>97742M</v>
      </c>
      <c r="J247" s="6" t="str">
        <v>Without A Box Inc</v>
      </c>
      <c r="K247" s="6" t="str">
        <v>Without A Box Inc</v>
      </c>
      <c r="L247" s="7">
        <f>=DATE(2008,1,17)</f>
        <v>39463.99949074074</v>
      </c>
      <c r="M247" s="7">
        <f>=DATE(2008,1,18)</f>
        <v>39464.99949074074</v>
      </c>
      <c r="W247" s="6" t="str">
        <v>Other Computer Related Svcs;Internet Services &amp; Software</v>
      </c>
      <c r="X247" s="6" t="str">
        <v>Internet Services &amp; Software;Communication/Network Software</v>
      </c>
      <c r="Y247" s="6" t="str">
        <v>Communication/Network Software;Internet Services &amp; Software</v>
      </c>
      <c r="Z247" s="6" t="str">
        <v>Internet Services &amp; Software;Communication/Network Software</v>
      </c>
      <c r="AA247" s="6" t="str">
        <v>Primary Business not Hi-Tech</v>
      </c>
      <c r="AB247" s="6" t="str">
        <v>Primary Business not Hi-Tech</v>
      </c>
    </row>
    <row r="248">
      <c r="A248" s="6" t="str">
        <v>594918</v>
      </c>
      <c r="B248" s="6" t="str">
        <v>United States</v>
      </c>
      <c r="C248" s="6" t="str">
        <v>Microsoft Corp</v>
      </c>
      <c r="D248" s="6" t="str">
        <v>Microsoft Corp</v>
      </c>
      <c r="F248" s="6" t="str">
        <v>United States</v>
      </c>
      <c r="G248" s="6" t="str">
        <v>Calista Technologies Inc</v>
      </c>
      <c r="H248" s="6" t="str">
        <v>Prepackaged Software</v>
      </c>
      <c r="I248" s="6" t="str">
        <v>13087K</v>
      </c>
      <c r="J248" s="6" t="str">
        <v>Calista Technologies Inc</v>
      </c>
      <c r="K248" s="6" t="str">
        <v>Calista Technologies Inc</v>
      </c>
      <c r="L248" s="7">
        <f>=DATE(2008,1,22)</f>
        <v>39468.99949074074</v>
      </c>
      <c r="M248" s="7">
        <f>=DATE(2008,1,22)</f>
        <v>39468.99949074074</v>
      </c>
      <c r="W248" s="6" t="str">
        <v>Computer Consulting Services;Monitors/Terminals;Operating Systems;Applications Software(Business;Other Peripherals;Internet Services &amp; Software</v>
      </c>
      <c r="X248" s="6" t="str">
        <v>Other Software (inq. Games);Applications Software(Business</v>
      </c>
      <c r="Y248" s="6" t="str">
        <v>Applications Software(Business;Other Software (inq. Games)</v>
      </c>
      <c r="Z248" s="6" t="str">
        <v>Applications Software(Business;Other Software (inq. Games)</v>
      </c>
      <c r="AA248" s="6" t="str">
        <v>Applications Software(Business;Computer Consulting Services;Operating Systems;Other Peripherals;Internet Services &amp; Software;Monitors/Terminals</v>
      </c>
      <c r="AB248" s="6" t="str">
        <v>Operating Systems;Other Peripherals;Computer Consulting Services;Monitors/Terminals;Applications Software(Business;Internet Services &amp; Software</v>
      </c>
    </row>
    <row r="249">
      <c r="A249" s="6" t="str">
        <v>023135</v>
      </c>
      <c r="B249" s="6" t="str">
        <v>United States</v>
      </c>
      <c r="C249" s="6" t="str">
        <v>Amazon.com Inc</v>
      </c>
      <c r="D249" s="6" t="str">
        <v>Amazon.com Inc</v>
      </c>
      <c r="F249" s="6" t="str">
        <v>United States</v>
      </c>
      <c r="G249" s="6" t="str">
        <v>Audible Inc</v>
      </c>
      <c r="H249" s="6" t="str">
        <v>Business Services</v>
      </c>
      <c r="I249" s="6" t="str">
        <v>05069A</v>
      </c>
      <c r="J249" s="6" t="str">
        <v>Audible Inc</v>
      </c>
      <c r="K249" s="6" t="str">
        <v>Audible Inc</v>
      </c>
      <c r="L249" s="7">
        <f>=DATE(2008,1,31)</f>
        <v>39477.99949074074</v>
      </c>
      <c r="M249" s="7">
        <f>=DATE(2008,3,17)</f>
        <v>39523.99949074074</v>
      </c>
      <c r="N249" s="8">
        <v>247.25</v>
      </c>
      <c r="O249" s="8">
        <v>247.25</v>
      </c>
      <c r="P249" s="8" t="str">
        <v>198.69</v>
      </c>
      <c r="R249" s="8">
        <v>2.425</v>
      </c>
      <c r="S249" s="8">
        <v>109.968</v>
      </c>
      <c r="T249" s="8">
        <v>-1.394</v>
      </c>
      <c r="U249" s="8">
        <v>35.506</v>
      </c>
      <c r="V249" s="8">
        <v>23.353</v>
      </c>
      <c r="W249" s="6" t="str">
        <v>Primary Business not Hi-Tech</v>
      </c>
      <c r="X249" s="6" t="str">
        <v>Internet Services &amp; Software</v>
      </c>
      <c r="Y249" s="6" t="str">
        <v>Internet Services &amp; Software</v>
      </c>
      <c r="Z249" s="6" t="str">
        <v>Internet Services &amp; Software</v>
      </c>
      <c r="AA249" s="6" t="str">
        <v>Primary Business not Hi-Tech</v>
      </c>
      <c r="AB249" s="6" t="str">
        <v>Primary Business not Hi-Tech</v>
      </c>
      <c r="AC249" s="8">
        <v>247.25</v>
      </c>
      <c r="AD249" s="7">
        <f>=DATE(2008,1,31)</f>
        <v>39477.99949074074</v>
      </c>
      <c r="AE249" s="8">
        <v>280.711251</v>
      </c>
      <c r="AF249" s="8" t="str">
        <v>199.87</v>
      </c>
      <c r="AG249" s="8" t="str">
        <v>198.69</v>
      </c>
    </row>
    <row r="250">
      <c r="A250" s="6" t="str">
        <v>594918</v>
      </c>
      <c r="B250" s="6" t="str">
        <v>United States</v>
      </c>
      <c r="C250" s="6" t="str">
        <v>Microsoft Corp</v>
      </c>
      <c r="D250" s="6" t="str">
        <v>Microsoft Corp</v>
      </c>
      <c r="F250" s="6" t="str">
        <v>United States</v>
      </c>
      <c r="G250" s="6" t="str">
        <v>Danger Inc</v>
      </c>
      <c r="H250" s="6" t="str">
        <v>Prepackaged Software</v>
      </c>
      <c r="I250" s="6" t="str">
        <v>23590V</v>
      </c>
      <c r="J250" s="6" t="str">
        <v>Danger Inc</v>
      </c>
      <c r="K250" s="6" t="str">
        <v>Danger Inc</v>
      </c>
      <c r="L250" s="7">
        <f>=DATE(2008,2,11)</f>
        <v>39488.99949074074</v>
      </c>
      <c r="M250" s="7">
        <f>=DATE(2008,4,15)</f>
        <v>39552.99949074074</v>
      </c>
      <c r="N250" s="8">
        <v>500</v>
      </c>
      <c r="O250" s="8">
        <v>500</v>
      </c>
      <c r="S250" s="8">
        <v>0.75</v>
      </c>
      <c r="W250" s="6" t="str">
        <v>Computer Consulting Services;Operating Systems;Applications Software(Business;Internet Services &amp; Software;Monitors/Terminals;Other Peripherals</v>
      </c>
      <c r="X250" s="6" t="str">
        <v>Communication/Network Software;Internet Services &amp; Software</v>
      </c>
      <c r="Y250" s="6" t="str">
        <v>Communication/Network Software;Internet Services &amp; Software</v>
      </c>
      <c r="Z250" s="6" t="str">
        <v>Internet Services &amp; Software;Communication/Network Software</v>
      </c>
      <c r="AA250" s="6" t="str">
        <v>Operating Systems;Internet Services &amp; Software;Other Peripherals;Applications Software(Business;Monitors/Terminals;Computer Consulting Services</v>
      </c>
      <c r="AB250" s="6" t="str">
        <v>Monitors/Terminals;Computer Consulting Services;Other Peripherals;Operating Systems;Internet Services &amp; Software;Applications Software(Business</v>
      </c>
      <c r="AC250" s="8">
        <v>500</v>
      </c>
      <c r="AD250" s="7">
        <f>=DATE(2008,4,15)</f>
        <v>39552.99949074074</v>
      </c>
    </row>
    <row r="251">
      <c r="A251" s="6" t="str">
        <v>594918</v>
      </c>
      <c r="B251" s="6" t="str">
        <v>United States</v>
      </c>
      <c r="C251" s="6" t="str">
        <v>Microsoft Corp</v>
      </c>
      <c r="D251" s="6" t="str">
        <v>Microsoft Corp</v>
      </c>
      <c r="F251" s="6" t="str">
        <v>United States</v>
      </c>
      <c r="G251" s="6" t="str">
        <v>Kidaro</v>
      </c>
      <c r="H251" s="6" t="str">
        <v>Prepackaged Software</v>
      </c>
      <c r="I251" s="6" t="str">
        <v>49415P</v>
      </c>
      <c r="J251" s="6" t="str">
        <v>Kidaro</v>
      </c>
      <c r="K251" s="6" t="str">
        <v>Kidaro</v>
      </c>
      <c r="L251" s="7">
        <f>=DATE(2008,3,12)</f>
        <v>39518.99949074074</v>
      </c>
      <c r="M251" s="7">
        <f>=DATE(2008,5,26)</f>
        <v>39593.99949074074</v>
      </c>
      <c r="W251" s="6" t="str">
        <v>Internet Services &amp; Software;Computer Consulting Services;Applications Software(Business;Operating Systems;Monitors/Terminals;Other Peripherals</v>
      </c>
      <c r="X251" s="6" t="str">
        <v>Applications Software(Home);Other Software (inq. Games)</v>
      </c>
      <c r="Y251" s="6" t="str">
        <v>Applications Software(Home);Other Software (inq. Games)</v>
      </c>
      <c r="Z251" s="6" t="str">
        <v>Applications Software(Home);Other Software (inq. Games)</v>
      </c>
      <c r="AA251" s="6" t="str">
        <v>Other Peripherals;Applications Software(Business;Internet Services &amp; Software;Operating Systems;Monitors/Terminals;Computer Consulting Services</v>
      </c>
      <c r="AB251" s="6" t="str">
        <v>Operating Systems;Applications Software(Business;Monitors/Terminals;Internet Services &amp; Software;Computer Consulting Services;Other Peripherals</v>
      </c>
    </row>
    <row r="252">
      <c r="A252" s="6" t="str">
        <v>594918</v>
      </c>
      <c r="B252" s="6" t="str">
        <v>United States</v>
      </c>
      <c r="C252" s="6" t="str">
        <v>Microsoft Corp</v>
      </c>
      <c r="D252" s="6" t="str">
        <v>Microsoft Corp</v>
      </c>
      <c r="F252" s="6" t="str">
        <v>United States</v>
      </c>
      <c r="G252" s="6" t="str">
        <v>Rapt Inc</v>
      </c>
      <c r="H252" s="6" t="str">
        <v>Prepackaged Software</v>
      </c>
      <c r="I252" s="6" t="str">
        <v>75381T</v>
      </c>
      <c r="J252" s="6" t="str">
        <v>Rapt Inc</v>
      </c>
      <c r="K252" s="6" t="str">
        <v>Rapt Inc</v>
      </c>
      <c r="L252" s="7">
        <f>=DATE(2008,3,14)</f>
        <v>39520.99949074074</v>
      </c>
      <c r="M252" s="7">
        <f>=DATE(2008,3,14)</f>
        <v>39520.99949074074</v>
      </c>
      <c r="S252" s="8">
        <v>1.7</v>
      </c>
      <c r="W252" s="6" t="str">
        <v>Other Peripherals;Internet Services &amp; Software;Computer Consulting Services;Monitors/Terminals;Applications Software(Business;Operating Systems</v>
      </c>
      <c r="X252" s="6" t="str">
        <v>Other Software (inq. Games);Applications Software(Business</v>
      </c>
      <c r="Y252" s="6" t="str">
        <v>Applications Software(Business;Other Software (inq. Games)</v>
      </c>
      <c r="Z252" s="6" t="str">
        <v>Applications Software(Business;Other Software (inq. Games)</v>
      </c>
      <c r="AA252" s="6" t="str">
        <v>Other Peripherals;Operating Systems;Monitors/Terminals;Computer Consulting Services;Internet Services &amp; Software;Applications Software(Business</v>
      </c>
      <c r="AB252" s="6" t="str">
        <v>Operating Systems;Computer Consulting Services;Other Peripherals;Monitors/Terminals;Internet Services &amp; Software;Applications Software(Business</v>
      </c>
    </row>
    <row r="253">
      <c r="A253" s="6" t="str">
        <v>594918</v>
      </c>
      <c r="B253" s="6" t="str">
        <v>United States</v>
      </c>
      <c r="C253" s="6" t="str">
        <v>Microsoft Corp</v>
      </c>
      <c r="D253" s="6" t="str">
        <v>Microsoft Corp</v>
      </c>
      <c r="F253" s="6" t="str">
        <v>United States</v>
      </c>
      <c r="G253" s="6" t="str">
        <v>Komoku Inc</v>
      </c>
      <c r="H253" s="6" t="str">
        <v>Prepackaged Software</v>
      </c>
      <c r="I253" s="6" t="str">
        <v>48677C</v>
      </c>
      <c r="J253" s="6" t="str">
        <v>Komoku Inc</v>
      </c>
      <c r="K253" s="6" t="str">
        <v>Komoku Inc</v>
      </c>
      <c r="L253" s="7">
        <f>=DATE(2008,3,19)</f>
        <v>39525.99949074074</v>
      </c>
      <c r="M253" s="7">
        <f>=DATE(2008,3,19)</f>
        <v>39525.99949074074</v>
      </c>
      <c r="N253" s="8">
        <v>5</v>
      </c>
      <c r="O253" s="8">
        <v>5</v>
      </c>
      <c r="W253" s="6" t="str">
        <v>Other Peripherals;Internet Services &amp; Software;Monitors/Terminals;Operating Systems;Computer Consulting Services;Applications Software(Business</v>
      </c>
      <c r="X253" s="6" t="str">
        <v>Other Software (inq. Games)</v>
      </c>
      <c r="Y253" s="6" t="str">
        <v>Other Software (inq. Games)</v>
      </c>
      <c r="Z253" s="6" t="str">
        <v>Other Software (inq. Games)</v>
      </c>
      <c r="AA253" s="6" t="str">
        <v>Internet Services &amp; Software;Computer Consulting Services;Monitors/Terminals;Other Peripherals;Applications Software(Business;Operating Systems</v>
      </c>
      <c r="AB253" s="6" t="str">
        <v>Applications Software(Business;Internet Services &amp; Software;Other Peripherals;Monitors/Terminals;Computer Consulting Services;Operating Systems</v>
      </c>
      <c r="AC253" s="8">
        <v>5</v>
      </c>
      <c r="AD253" s="7">
        <f>=DATE(2008,3,19)</f>
        <v>39525.99949074074</v>
      </c>
    </row>
    <row r="254">
      <c r="A254" s="6" t="str">
        <v>67020Y</v>
      </c>
      <c r="B254" s="6" t="str">
        <v>United States</v>
      </c>
      <c r="C254" s="6" t="str">
        <v>Nuance Communications Inc</v>
      </c>
      <c r="D254" s="6" t="str">
        <v>Nuance Communications Inc</v>
      </c>
      <c r="F254" s="6" t="str">
        <v>United States</v>
      </c>
      <c r="G254" s="6" t="str">
        <v>eScription Inc</v>
      </c>
      <c r="H254" s="6" t="str">
        <v>Business Services</v>
      </c>
      <c r="I254" s="6" t="str">
        <v>29636Q</v>
      </c>
      <c r="J254" s="6" t="str">
        <v>eScription Inc</v>
      </c>
      <c r="K254" s="6" t="str">
        <v>eScription Inc</v>
      </c>
      <c r="L254" s="7">
        <f>=DATE(2008,4,8)</f>
        <v>39545.99949074074</v>
      </c>
      <c r="M254" s="7">
        <f>=DATE(2008,5,21)</f>
        <v>39588.99949074074</v>
      </c>
      <c r="N254" s="8">
        <v>363</v>
      </c>
      <c r="O254" s="8">
        <v>363</v>
      </c>
      <c r="S254" s="8">
        <v>17.5</v>
      </c>
      <c r="W254" s="6" t="str">
        <v>Utilities/File Mgmt Software;Networking Systems (LAN,WAN);Programming Services;Database Software/Programming;Primary Business not Hi-Tech;Other Software (inq. Games);Applications Software(Home);Internet Services &amp; Software;Desktop Publishing;Applications Software(Business;Computer Consulting Services;Communication/Network Software;Other Computer Related Svcs</v>
      </c>
      <c r="X254" s="6" t="str">
        <v>Applications Software(Business;Data Processing Services;Other Computer Related Svcs</v>
      </c>
      <c r="Y254" s="6" t="str">
        <v>Applications Software(Business;Other Computer Related Svcs;Data Processing Services</v>
      </c>
      <c r="Z254" s="6" t="str">
        <v>Data Processing Services;Other Computer Related Svcs;Applications Software(Business</v>
      </c>
      <c r="AA254" s="6" t="str">
        <v>Communication/Network Software;Computer Consulting Services;Applications Software(Business;Networking Systems (LAN,WAN);Programming Services;Applications Software(Home);Primary Business not Hi-Tech;Other Computer Related Svcs;Other Software (inq. Games);Utilities/File Mgmt Software;Database Software/Programming;Desktop Publishing;Internet Services &amp; Software</v>
      </c>
      <c r="AB254" s="6" t="str">
        <v>Applications Software(Home);Primary Business not Hi-Tech;Applications Software(Business;Internet Services &amp; Software;Computer Consulting Services;Other Software (inq. Games);Database Software/Programming;Utilities/File Mgmt Software;Other Computer Related Svcs;Programming Services;Desktop Publishing;Networking Systems (LAN,WAN);Communication/Network Software</v>
      </c>
      <c r="AC254" s="8">
        <v>363</v>
      </c>
      <c r="AD254" s="7">
        <f>=DATE(2008,4,8)</f>
        <v>39545.99949074074</v>
      </c>
    </row>
    <row r="255">
      <c r="A255" s="6" t="str">
        <v>594918</v>
      </c>
      <c r="B255" s="6" t="str">
        <v>United States</v>
      </c>
      <c r="C255" s="6" t="str">
        <v>Microsoft Corp</v>
      </c>
      <c r="D255" s="6" t="str">
        <v>Microsoft Corp</v>
      </c>
      <c r="F255" s="6" t="str">
        <v>United States</v>
      </c>
      <c r="G255" s="6" t="str">
        <v>Farecast Inc</v>
      </c>
      <c r="H255" s="6" t="str">
        <v>Prepackaged Software</v>
      </c>
      <c r="I255" s="6" t="str">
        <v>30724N</v>
      </c>
      <c r="J255" s="6" t="str">
        <v>Farecast Inc</v>
      </c>
      <c r="K255" s="6" t="str">
        <v>Farecast Inc</v>
      </c>
      <c r="L255" s="7">
        <f>=DATE(2008,4,14)</f>
        <v>39551.99949074074</v>
      </c>
      <c r="M255" s="7">
        <f>=DATE(2008,4,14)</f>
        <v>39551.99949074074</v>
      </c>
      <c r="N255" s="8">
        <v>75</v>
      </c>
      <c r="O255" s="8">
        <v>75</v>
      </c>
      <c r="W255" s="6" t="str">
        <v>Computer Consulting Services;Monitors/Terminals;Other Peripherals;Applications Software(Business;Operating Systems;Internet Services &amp; Software</v>
      </c>
      <c r="X255" s="6" t="str">
        <v>Internet Services &amp; Software;Communication/Network Software</v>
      </c>
      <c r="Y255" s="6" t="str">
        <v>Communication/Network Software;Internet Services &amp; Software</v>
      </c>
      <c r="Z255" s="6" t="str">
        <v>Communication/Network Software;Internet Services &amp; Software</v>
      </c>
      <c r="AA255" s="6" t="str">
        <v>Operating Systems;Monitors/Terminals;Applications Software(Business;Other Peripherals;Computer Consulting Services;Internet Services &amp; Software</v>
      </c>
      <c r="AB255" s="6" t="str">
        <v>Other Peripherals;Applications Software(Business;Computer Consulting Services;Internet Services &amp; Software;Operating Systems;Monitors/Terminals</v>
      </c>
      <c r="AC255" s="8">
        <v>75</v>
      </c>
      <c r="AD255" s="7">
        <f>=DATE(2008,4,14)</f>
        <v>39551.99949074074</v>
      </c>
    </row>
    <row r="256">
      <c r="A256" s="6" t="str">
        <v>052660</v>
      </c>
      <c r="B256" s="6" t="str">
        <v>United States</v>
      </c>
      <c r="C256" s="6" t="str">
        <v>AuthenTec Inc</v>
      </c>
      <c r="D256" s="6" t="str">
        <v>AuthenTec Inc</v>
      </c>
      <c r="F256" s="6" t="str">
        <v>United States</v>
      </c>
      <c r="G256" s="6" t="str">
        <v>EzValidation Inc-Software Assets</v>
      </c>
      <c r="H256" s="6" t="str">
        <v>Prepackaged Software</v>
      </c>
      <c r="I256" s="6" t="str">
        <v>27101X</v>
      </c>
      <c r="J256" s="6" t="str">
        <v>EzValidation Inc</v>
      </c>
      <c r="K256" s="6" t="str">
        <v>EzValidation Inc</v>
      </c>
      <c r="L256" s="7">
        <f>=DATE(2008,4,16)</f>
        <v>39553.99949074074</v>
      </c>
      <c r="M256" s="7">
        <f>=DATE(2008,4,16)</f>
        <v>39553.99949074074</v>
      </c>
      <c r="W256" s="6" t="str">
        <v>Other Electronics;Semiconductors;Search, Detection, Navigation</v>
      </c>
      <c r="X256" s="6" t="str">
        <v>Other Software (inq. Games)</v>
      </c>
      <c r="Y256" s="6" t="str">
        <v>Other Software (inq. Games)</v>
      </c>
      <c r="Z256" s="6" t="str">
        <v>Other Software (inq. Games)</v>
      </c>
      <c r="AA256" s="6" t="str">
        <v>Search, Detection, Navigation;Other Electronics;Semiconductors</v>
      </c>
      <c r="AB256" s="6" t="str">
        <v>Search, Detection, Navigation;Other Electronics;Semiconductors</v>
      </c>
    </row>
    <row r="257">
      <c r="A257" s="6" t="str">
        <v>037833</v>
      </c>
      <c r="B257" s="6" t="str">
        <v>United States</v>
      </c>
      <c r="C257" s="6" t="str">
        <v>Apple Inc</v>
      </c>
      <c r="D257" s="6" t="str">
        <v>Apple Inc</v>
      </c>
      <c r="F257" s="6" t="str">
        <v>United States</v>
      </c>
      <c r="G257" s="6" t="str">
        <v>PA Semi Inc</v>
      </c>
      <c r="H257" s="6" t="str">
        <v>Electronic and Electrical Equipment</v>
      </c>
      <c r="I257" s="6" t="str">
        <v>70462M</v>
      </c>
      <c r="J257" s="6" t="str">
        <v>PA Semi Inc</v>
      </c>
      <c r="K257" s="6" t="str">
        <v>PA Semi Inc</v>
      </c>
      <c r="L257" s="7">
        <f>=DATE(2008,4,24)</f>
        <v>39561.99949074074</v>
      </c>
      <c r="M257" s="7">
        <f>=DATE(2008,4,24)</f>
        <v>39561.99949074074</v>
      </c>
      <c r="N257" s="8">
        <v>268</v>
      </c>
      <c r="O257" s="8">
        <v>268</v>
      </c>
      <c r="W257" s="6" t="str">
        <v>Micro-Computers (PCs);Other Software (inq. Games);Portable Computers;Printers;Mainframes &amp; Super Computers;Disk Drives;Other Peripherals;Monitors/Terminals</v>
      </c>
      <c r="X257" s="6" t="str">
        <v>Semiconductors</v>
      </c>
      <c r="Y257" s="6" t="str">
        <v>Semiconductors</v>
      </c>
      <c r="Z257" s="6" t="str">
        <v>Semiconductors</v>
      </c>
      <c r="AA257" s="6" t="str">
        <v>Mainframes &amp; Super Computers;Micro-Computers (PCs);Other Peripherals;Printers;Monitors/Terminals;Other Software (inq. Games);Portable Computers;Disk Drives</v>
      </c>
      <c r="AB257" s="6" t="str">
        <v>Monitors/Terminals;Mainframes &amp; Super Computers;Portable Computers;Other Peripherals;Disk Drives;Printers;Other Software (inq. Games);Micro-Computers (PCs)</v>
      </c>
      <c r="AC257" s="8">
        <v>268</v>
      </c>
      <c r="AD257" s="7">
        <f>=DATE(2008,4,24)</f>
        <v>39561.99949074074</v>
      </c>
    </row>
    <row r="258">
      <c r="A258" s="6" t="str">
        <v>594918</v>
      </c>
      <c r="B258" s="6" t="str">
        <v>United States</v>
      </c>
      <c r="C258" s="6" t="str">
        <v>Microsoft Corp</v>
      </c>
      <c r="D258" s="6" t="str">
        <v>Microsoft Corp</v>
      </c>
      <c r="F258" s="6" t="str">
        <v>United States</v>
      </c>
      <c r="G258" s="6" t="str">
        <v>Navic Networks</v>
      </c>
      <c r="H258" s="6" t="str">
        <v>Prepackaged Software</v>
      </c>
      <c r="I258" s="6" t="str">
        <v>63931T</v>
      </c>
      <c r="J258" s="6" t="str">
        <v>Navic Networks</v>
      </c>
      <c r="K258" s="6" t="str">
        <v>Navic Networks</v>
      </c>
      <c r="L258" s="7">
        <f>=DATE(2008,6,18)</f>
        <v>39616.99949074074</v>
      </c>
      <c r="M258" s="7">
        <f>=DATE(2008,6,18)</f>
        <v>39616.99949074074</v>
      </c>
      <c r="W258" s="6" t="str">
        <v>Computer Consulting Services;Applications Software(Business;Operating Systems;Monitors/Terminals;Other Peripherals;Internet Services &amp; Software</v>
      </c>
      <c r="X258" s="6" t="str">
        <v>Internet Services &amp; Software;Communication/Network Software</v>
      </c>
      <c r="Y258" s="6" t="str">
        <v>Communication/Network Software;Internet Services &amp; Software</v>
      </c>
      <c r="Z258" s="6" t="str">
        <v>Communication/Network Software;Internet Services &amp; Software</v>
      </c>
      <c r="AA258" s="6" t="str">
        <v>Internet Services &amp; Software;Operating Systems;Other Peripherals;Monitors/Terminals;Applications Software(Business;Computer Consulting Services</v>
      </c>
      <c r="AB258" s="6" t="str">
        <v>Monitors/Terminals;Internet Services &amp; Software;Other Peripherals;Operating Systems;Computer Consulting Services;Applications Software(Business</v>
      </c>
    </row>
    <row r="259">
      <c r="A259" s="6" t="str">
        <v>594918</v>
      </c>
      <c r="B259" s="6" t="str">
        <v>United States</v>
      </c>
      <c r="C259" s="6" t="str">
        <v>Microsoft Corp</v>
      </c>
      <c r="D259" s="6" t="str">
        <v>Microsoft Corp</v>
      </c>
      <c r="F259" s="6" t="str">
        <v>United States</v>
      </c>
      <c r="G259" s="6" t="str">
        <v>Powerset Inc</v>
      </c>
      <c r="H259" s="6" t="str">
        <v>Prepackaged Software</v>
      </c>
      <c r="I259" s="6" t="str">
        <v>73961A</v>
      </c>
      <c r="J259" s="6" t="str">
        <v>Powerset Inc</v>
      </c>
      <c r="K259" s="6" t="str">
        <v>Powerset Inc</v>
      </c>
      <c r="L259" s="7">
        <f>=DATE(2008,6,26)</f>
        <v>39624.99949074074</v>
      </c>
      <c r="M259" s="7">
        <f>=DATE(2008,7,1)</f>
        <v>39629.99949074074</v>
      </c>
      <c r="W259" s="6" t="str">
        <v>Computer Consulting Services;Monitors/Terminals;Operating Systems;Other Peripherals;Applications Software(Business;Internet Services &amp; Software</v>
      </c>
      <c r="X259" s="6" t="str">
        <v>Internet Services &amp; Software;Communication/Network Software</v>
      </c>
      <c r="Y259" s="6" t="str">
        <v>Communication/Network Software;Internet Services &amp; Software</v>
      </c>
      <c r="Z259" s="6" t="str">
        <v>Internet Services &amp; Software;Communication/Network Software</v>
      </c>
      <c r="AA259" s="6" t="str">
        <v>Applications Software(Business;Internet Services &amp; Software;Other Peripherals;Monitors/Terminals;Computer Consulting Services;Operating Systems</v>
      </c>
      <c r="AB259" s="6" t="str">
        <v>Monitors/Terminals;Computer Consulting Services;Operating Systems;Other Peripherals;Internet Services &amp; Software;Applications Software(Business</v>
      </c>
    </row>
    <row r="260">
      <c r="A260" s="6" t="str">
        <v>00507V</v>
      </c>
      <c r="B260" s="6" t="str">
        <v>United States</v>
      </c>
      <c r="C260" s="6" t="str">
        <v>Activision Blizzard Inc</v>
      </c>
      <c r="D260" s="6" t="str">
        <v>Vivendi SE</v>
      </c>
      <c r="F260" s="6" t="str">
        <v>United States</v>
      </c>
      <c r="G260" s="6" t="str">
        <v>Activision Blizzard Inc</v>
      </c>
      <c r="H260" s="6" t="str">
        <v>Prepackaged Software</v>
      </c>
      <c r="I260" s="6" t="str">
        <v>00507V</v>
      </c>
      <c r="J260" s="6" t="str">
        <v>Vivendi SE</v>
      </c>
      <c r="K260" s="6" t="str">
        <v>Vivendi SE</v>
      </c>
      <c r="L260" s="7">
        <f>=DATE(2008,7,16)</f>
        <v>39644.99949074074</v>
      </c>
      <c r="M260" s="7">
        <f>=DATE(2008,8,13)</f>
        <v>39672.99949074074</v>
      </c>
      <c r="N260" s="8">
        <v>2.363</v>
      </c>
      <c r="O260" s="8">
        <v>2.363</v>
      </c>
      <c r="P260" s="8" t="str">
        <v>32,419.00</v>
      </c>
      <c r="R260" s="8">
        <v>227</v>
      </c>
      <c r="S260" s="8">
        <v>1349</v>
      </c>
      <c r="T260" s="8">
        <v>-371</v>
      </c>
      <c r="U260" s="8">
        <v>-68</v>
      </c>
      <c r="V260" s="8">
        <v>431</v>
      </c>
      <c r="W260" s="6" t="str">
        <v>Other Computer Systems;Operating Systems;Other Software (inq. Games)</v>
      </c>
      <c r="X260" s="6" t="str">
        <v>Other Computer Systems;Other Software (inq. Games);Operating Systems</v>
      </c>
      <c r="Y260" s="6" t="str">
        <v>Internet Services &amp; Software;Other Software (inq. Games);Primary Business not Hi-Tech</v>
      </c>
      <c r="Z260" s="6" t="str">
        <v>Primary Business not Hi-Tech;Internet Services &amp; Software;Other Software (inq. Games)</v>
      </c>
      <c r="AA260" s="6" t="str">
        <v>Primary Business not Hi-Tech;Internet Services &amp; Software;Other Software (inq. Games)</v>
      </c>
      <c r="AB260" s="6" t="str">
        <v>Internet Services &amp; Software;Primary Business not Hi-Tech;Other Software (inq. Games)</v>
      </c>
      <c r="AC260" s="8">
        <v>2.363</v>
      </c>
      <c r="AD260" s="7">
        <f>=DATE(2008,7,16)</f>
        <v>39644.99949074074</v>
      </c>
      <c r="AE260" s="8">
        <v>18020.0075</v>
      </c>
      <c r="AF260" s="8" t="str">
        <v>17,955.01</v>
      </c>
      <c r="AG260" s="8" t="str">
        <v>32,419.00</v>
      </c>
    </row>
    <row r="261">
      <c r="A261" s="6" t="str">
        <v>594918</v>
      </c>
      <c r="B261" s="6" t="str">
        <v>United States</v>
      </c>
      <c r="C261" s="6" t="str">
        <v>Microsoft Corp</v>
      </c>
      <c r="D261" s="6" t="str">
        <v>Microsoft Corp</v>
      </c>
      <c r="F261" s="6" t="str">
        <v>United States</v>
      </c>
      <c r="G261" s="6" t="str">
        <v>DATAllegro Inc</v>
      </c>
      <c r="H261" s="6" t="str">
        <v>Prepackaged Software</v>
      </c>
      <c r="I261" s="6" t="str">
        <v>23783P</v>
      </c>
      <c r="J261" s="6" t="str">
        <v>DATAllegro Inc</v>
      </c>
      <c r="K261" s="6" t="str">
        <v>DATAllegro Inc</v>
      </c>
      <c r="L261" s="7">
        <f>=DATE(2008,7,24)</f>
        <v>39652.99949074074</v>
      </c>
      <c r="M261" s="7">
        <f>=DATE(2008,9,16)</f>
        <v>39706.99949074074</v>
      </c>
      <c r="W261" s="6" t="str">
        <v>Computer Consulting Services;Operating Systems;Monitors/Terminals;Internet Services &amp; Software;Applications Software(Business;Other Peripherals</v>
      </c>
      <c r="X261" s="6" t="str">
        <v>Other Software (inq. Games)</v>
      </c>
      <c r="Y261" s="6" t="str">
        <v>Other Software (inq. Games)</v>
      </c>
      <c r="Z261" s="6" t="str">
        <v>Other Software (inq. Games)</v>
      </c>
      <c r="AA261" s="6" t="str">
        <v>Monitors/Terminals;Applications Software(Business;Computer Consulting Services;Other Peripherals;Internet Services &amp; Software;Operating Systems</v>
      </c>
      <c r="AB261" s="6" t="str">
        <v>Monitors/Terminals;Internet Services &amp; Software;Computer Consulting Services;Applications Software(Business;Other Peripherals;Operating Systems</v>
      </c>
    </row>
    <row r="262">
      <c r="A262" s="6" t="str">
        <v>38259P</v>
      </c>
      <c r="B262" s="6" t="str">
        <v>United States</v>
      </c>
      <c r="C262" s="6" t="str">
        <v>Google Inc</v>
      </c>
      <c r="D262" s="6" t="str">
        <v>Alphabet Inc</v>
      </c>
      <c r="F262" s="6" t="str">
        <v>United States</v>
      </c>
      <c r="G262" s="6" t="str">
        <v>Omnisio Inc</v>
      </c>
      <c r="H262" s="6" t="str">
        <v>Business Services</v>
      </c>
      <c r="I262" s="6" t="str">
        <v>68327Y</v>
      </c>
      <c r="J262" s="6" t="str">
        <v>Omnisio Inc</v>
      </c>
      <c r="K262" s="6" t="str">
        <v>Omnisio Inc</v>
      </c>
      <c r="L262" s="7">
        <f>=DATE(2008,7,30)</f>
        <v>39658.99949074074</v>
      </c>
      <c r="M262" s="7">
        <f>=DATE(2008,7,30)</f>
        <v>39658.99949074074</v>
      </c>
      <c r="W262" s="6" t="str">
        <v>Programming Services;Internet Services &amp; Software</v>
      </c>
      <c r="X262" s="6" t="str">
        <v>Internet Services &amp; Software</v>
      </c>
      <c r="Y262" s="6" t="str">
        <v>Internet Services &amp; Software</v>
      </c>
      <c r="Z262" s="6" t="str">
        <v>Internet Services &amp; Software</v>
      </c>
      <c r="AA262" s="6" t="str">
        <v>Programming Services;Internet Services &amp; Software;Primary Business not Hi-Tech;Computer Consulting Services;Telecommunications Equipment</v>
      </c>
      <c r="AB262" s="6" t="str">
        <v>Programming Services;Computer Consulting Services;Internet Services &amp; Software;Primary Business not Hi-Tech;Telecommunications Equipment</v>
      </c>
    </row>
    <row r="263">
      <c r="A263" s="6" t="str">
        <v>67020Y</v>
      </c>
      <c r="B263" s="6" t="str">
        <v>United States</v>
      </c>
      <c r="C263" s="6" t="str">
        <v>Nuance Communications Inc</v>
      </c>
      <c r="D263" s="6" t="str">
        <v>Nuance Communications Inc</v>
      </c>
      <c r="F263" s="6" t="str">
        <v>United States</v>
      </c>
      <c r="G263" s="6" t="str">
        <v>SNAPin Software Inc</v>
      </c>
      <c r="H263" s="6" t="str">
        <v>Prepackaged Software</v>
      </c>
      <c r="I263" s="6" t="str">
        <v>83708H</v>
      </c>
      <c r="J263" s="6" t="str">
        <v>SNAPin Software Inc</v>
      </c>
      <c r="K263" s="6" t="str">
        <v>SNAPin Software Inc</v>
      </c>
      <c r="L263" s="7">
        <f>=DATE(2008,8,19)</f>
        <v>39678.99949074074</v>
      </c>
      <c r="M263" s="7">
        <f>=DATE(2008,10,3)</f>
        <v>39723.99949074074</v>
      </c>
      <c r="N263" s="8">
        <v>180</v>
      </c>
      <c r="O263" s="8">
        <v>180</v>
      </c>
      <c r="P263" s="8" t="str">
        <v>180.00</v>
      </c>
      <c r="R263" s="8">
        <v>-10.098</v>
      </c>
      <c r="S263" s="8">
        <v>0.534</v>
      </c>
      <c r="T263" s="8">
        <v>6.291</v>
      </c>
      <c r="U263" s="8">
        <v>-0.36</v>
      </c>
      <c r="V263" s="8">
        <v>-8.905</v>
      </c>
      <c r="W263" s="6" t="str">
        <v>Other Software (inq. Games);Networking Systems (LAN,WAN);Primary Business not Hi-Tech;Internet Services &amp; Software;Communication/Network Software;Desktop Publishing;Other Computer Related Svcs;Utilities/File Mgmt Software;Database Software/Programming;Programming Services;Applications Software(Business;Computer Consulting Services;Applications Software(Home)</v>
      </c>
      <c r="X263" s="6" t="str">
        <v>Internet Services &amp; Software;Communication/Network Software</v>
      </c>
      <c r="Y263" s="6" t="str">
        <v>Communication/Network Software;Internet Services &amp; Software</v>
      </c>
      <c r="Z263" s="6" t="str">
        <v>Internet Services &amp; Software;Communication/Network Software</v>
      </c>
      <c r="AA263" s="6" t="str">
        <v>Primary Business not Hi-Tech;Applications Software(Home);Other Software (inq. Games);Communication/Network Software;Internet Services &amp; Software;Programming Services;Networking Systems (LAN,WAN);Database Software/Programming;Utilities/File Mgmt Software;Desktop Publishing;Applications Software(Business;Computer Consulting Services;Other Computer Related Svcs</v>
      </c>
      <c r="AB263" s="6" t="str">
        <v>Applications Software(Business;Internet Services &amp; Software;Applications Software(Home);Communication/Network Software;Other Software (inq. Games);Other Computer Related Svcs;Networking Systems (LAN,WAN);Database Software/Programming;Desktop Publishing;Utilities/File Mgmt Software;Programming Services;Computer Consulting Services;Primary Business not Hi-Tech</v>
      </c>
      <c r="AC263" s="8">
        <v>180</v>
      </c>
      <c r="AD263" s="7">
        <f>=DATE(2008,8,19)</f>
        <v>39678.99949074074</v>
      </c>
      <c r="AF263" s="8" t="str">
        <v>180.00</v>
      </c>
      <c r="AG263" s="8" t="str">
        <v>180.00</v>
      </c>
    </row>
    <row r="264">
      <c r="A264" s="6" t="str">
        <v>023135</v>
      </c>
      <c r="B264" s="6" t="str">
        <v>United States</v>
      </c>
      <c r="C264" s="6" t="str">
        <v>Amazon.com Inc</v>
      </c>
      <c r="D264" s="6" t="str">
        <v>Amazon.com Inc</v>
      </c>
      <c r="F264" s="6" t="str">
        <v>United States</v>
      </c>
      <c r="G264" s="6" t="str">
        <v>Shelfari</v>
      </c>
      <c r="H264" s="6" t="str">
        <v>Business Services</v>
      </c>
      <c r="I264" s="6" t="str">
        <v>82251M</v>
      </c>
      <c r="J264" s="6" t="str">
        <v>Shelfari</v>
      </c>
      <c r="K264" s="6" t="str">
        <v>Shelfari</v>
      </c>
      <c r="L264" s="7">
        <f>=DATE(2008,8,26)</f>
        <v>39685.99949074074</v>
      </c>
      <c r="M264" s="7">
        <f>=DATE(2008,8,26)</f>
        <v>39685.99949074074</v>
      </c>
      <c r="W264" s="6" t="str">
        <v>Primary Business not Hi-Tech</v>
      </c>
      <c r="X264" s="6" t="str">
        <v>Internet Services &amp; Software</v>
      </c>
      <c r="Y264" s="6" t="str">
        <v>Internet Services &amp; Software</v>
      </c>
      <c r="Z264" s="6" t="str">
        <v>Internet Services &amp; Software</v>
      </c>
      <c r="AA264" s="6" t="str">
        <v>Primary Business not Hi-Tech</v>
      </c>
      <c r="AB264" s="6" t="str">
        <v>Primary Business not Hi-Tech</v>
      </c>
    </row>
    <row r="265">
      <c r="A265" s="6" t="str">
        <v>22668P</v>
      </c>
      <c r="B265" s="6" t="str">
        <v>United States</v>
      </c>
      <c r="C265" s="6" t="str">
        <v>Crisp Acquisition Corp</v>
      </c>
      <c r="D265" s="6" t="str">
        <v>Microsoft Corp</v>
      </c>
      <c r="E265" s="6" t="str">
        <v>ZM Capital LP</v>
      </c>
      <c r="F265" s="6" t="str">
        <v>United States</v>
      </c>
      <c r="G265" s="6" t="str">
        <v>Greenfield Online Inc</v>
      </c>
      <c r="H265" s="6" t="str">
        <v>Business Services</v>
      </c>
      <c r="I265" s="6" t="str">
        <v>395150</v>
      </c>
      <c r="J265" s="6" t="str">
        <v>Greenfield Online Inc</v>
      </c>
      <c r="K265" s="6" t="str">
        <v>Greenfield Online Inc</v>
      </c>
      <c r="L265" s="7">
        <f>=DATE(2008,8,29)</f>
        <v>39688.99949074074</v>
      </c>
      <c r="M265" s="7">
        <f>=DATE(2008,10,24)</f>
        <v>39744.99949074074</v>
      </c>
      <c r="N265" s="8">
        <v>478.691</v>
      </c>
      <c r="O265" s="8">
        <v>478.691</v>
      </c>
      <c r="P265" s="8" t="str">
        <v>413.77</v>
      </c>
      <c r="R265" s="8">
        <v>9.854</v>
      </c>
      <c r="S265" s="8">
        <v>137.659</v>
      </c>
      <c r="T265" s="8">
        <v>3.219</v>
      </c>
      <c r="U265" s="8">
        <v>-21.537</v>
      </c>
      <c r="V265" s="8">
        <v>15.9</v>
      </c>
      <c r="W265" s="6" t="str">
        <v>Primary Business not Hi-Tech</v>
      </c>
      <c r="X265" s="6" t="str">
        <v>Internet Services &amp; Software</v>
      </c>
      <c r="Y265" s="6" t="str">
        <v>Internet Services &amp; Software</v>
      </c>
      <c r="Z265" s="6" t="str">
        <v>Internet Services &amp; Software</v>
      </c>
      <c r="AA265" s="6" t="str">
        <v>Other Peripherals;Monitors/Terminals;Computer Consulting Services;Internet Services &amp; Software;Applications Software(Business;Operating Systems</v>
      </c>
      <c r="AB265" s="6" t="str">
        <v>Operating Systems;Monitors/Terminals;Applications Software(Business;Other Peripherals;Internet Services &amp; Software;Computer Consulting Services</v>
      </c>
      <c r="AC265" s="8">
        <v>478.691</v>
      </c>
      <c r="AD265" s="7">
        <f>=DATE(2008,8,29)</f>
        <v>39688.99949074074</v>
      </c>
      <c r="AE265" s="8">
        <v>516.7755075</v>
      </c>
      <c r="AF265" s="8" t="str">
        <v>413.90</v>
      </c>
      <c r="AG265" s="8" t="str">
        <v>413.77</v>
      </c>
    </row>
    <row r="266">
      <c r="A266" s="6" t="str">
        <v>023135</v>
      </c>
      <c r="B266" s="6" t="str">
        <v>United States</v>
      </c>
      <c r="C266" s="6" t="str">
        <v>Amazon.com Inc</v>
      </c>
      <c r="D266" s="6" t="str">
        <v>Amazon.com Inc</v>
      </c>
      <c r="F266" s="6" t="str">
        <v>United States</v>
      </c>
      <c r="G266" s="6" t="str">
        <v>Reflexive Entertainment</v>
      </c>
      <c r="H266" s="6" t="str">
        <v>Prepackaged Software</v>
      </c>
      <c r="I266" s="6" t="str">
        <v>76426N</v>
      </c>
      <c r="J266" s="6" t="str">
        <v>Reflexive Entertainment</v>
      </c>
      <c r="K266" s="6" t="str">
        <v>Reflexive Entertainment</v>
      </c>
      <c r="L266" s="7">
        <f>=DATE(2008,10,20)</f>
        <v>39740.99949074074</v>
      </c>
      <c r="M266" s="7">
        <f>=DATE(2008,10,20)</f>
        <v>39740.99949074074</v>
      </c>
      <c r="W266" s="6" t="str">
        <v>Primary Business not Hi-Tech</v>
      </c>
      <c r="X266" s="6" t="str">
        <v>Other Software (inq. Games)</v>
      </c>
      <c r="Y266" s="6" t="str">
        <v>Other Software (inq. Games)</v>
      </c>
      <c r="Z266" s="6" t="str">
        <v>Other Software (inq. Games)</v>
      </c>
      <c r="AA266" s="6" t="str">
        <v>Primary Business not Hi-Tech</v>
      </c>
      <c r="AB266" s="6" t="str">
        <v>Primary Business not Hi-Tech</v>
      </c>
    </row>
    <row r="267">
      <c r="A267" s="6" t="str">
        <v>00507V</v>
      </c>
      <c r="B267" s="6" t="str">
        <v>United States</v>
      </c>
      <c r="C267" s="6" t="str">
        <v>Activision Blizzard Inc</v>
      </c>
      <c r="D267" s="6" t="str">
        <v>Vivendi SE</v>
      </c>
      <c r="F267" s="6" t="str">
        <v>United States</v>
      </c>
      <c r="G267" s="6" t="str">
        <v>Budcat Creations</v>
      </c>
      <c r="H267" s="6" t="str">
        <v>Prepackaged Software</v>
      </c>
      <c r="I267" s="6" t="str">
        <v>11882T</v>
      </c>
      <c r="J267" s="6" t="str">
        <v>Budcat Creations</v>
      </c>
      <c r="K267" s="6" t="str">
        <v>Budcat Creations</v>
      </c>
      <c r="L267" s="7">
        <f>=DATE(2008,11,10)</f>
        <v>39761.99949074074</v>
      </c>
      <c r="M267" s="7">
        <f>=DATE(2008,11,10)</f>
        <v>39761.99949074074</v>
      </c>
      <c r="S267" s="8">
        <v>0.251</v>
      </c>
      <c r="W267" s="6" t="str">
        <v>Operating Systems;Other Software (inq. Games);Other Computer Systems</v>
      </c>
      <c r="X267" s="6" t="str">
        <v>Applications Software(Home);Other Software (inq. Games)</v>
      </c>
      <c r="Y267" s="6" t="str">
        <v>Applications Software(Home);Other Software (inq. Games)</v>
      </c>
      <c r="Z267" s="6" t="str">
        <v>Other Software (inq. Games);Applications Software(Home)</v>
      </c>
      <c r="AA267" s="6" t="str">
        <v>Primary Business not Hi-Tech;Other Software (inq. Games);Internet Services &amp; Software</v>
      </c>
      <c r="AB267" s="6" t="str">
        <v>Internet Services &amp; Software;Primary Business not Hi-Tech;Other Software (inq. Games)</v>
      </c>
    </row>
    <row r="268">
      <c r="A268" s="6" t="str">
        <v>893929</v>
      </c>
      <c r="B268" s="6" t="str">
        <v>United States</v>
      </c>
      <c r="C268" s="6" t="str">
        <v>Transcend Services Inc</v>
      </c>
      <c r="D268" s="6" t="str">
        <v>Transcend Services Inc</v>
      </c>
      <c r="F268" s="6" t="str">
        <v>United States</v>
      </c>
      <c r="G268" s="6" t="str">
        <v>DeVenture Global Partners Inc</v>
      </c>
      <c r="H268" s="6" t="str">
        <v>Health Services</v>
      </c>
      <c r="I268" s="6" t="str">
        <v>25226Y</v>
      </c>
      <c r="J268" s="6" t="str">
        <v>DeVenture Global Partners Inc</v>
      </c>
      <c r="K268" s="6" t="str">
        <v>DeVenture Global Partners Inc</v>
      </c>
      <c r="L268" s="7">
        <f>=DATE(2008,12,22)</f>
        <v>39803.99949074074</v>
      </c>
      <c r="M268" s="7">
        <f>=DATE(2009,1,7)</f>
        <v>39819.99949074074</v>
      </c>
      <c r="N268" s="8">
        <v>4.25</v>
      </c>
      <c r="O268" s="8">
        <v>4.25</v>
      </c>
      <c r="S268" s="8">
        <v>2.5</v>
      </c>
      <c r="W268" s="6" t="str">
        <v>Data Processing Services;Other Computer Related Svcs</v>
      </c>
      <c r="X268" s="6" t="str">
        <v>Healthcare Services;Primary Business not Hi-Tech</v>
      </c>
      <c r="Y268" s="6" t="str">
        <v>Healthcare Services;Primary Business not Hi-Tech</v>
      </c>
      <c r="Z268" s="6" t="str">
        <v>Primary Business not Hi-Tech;Healthcare Services</v>
      </c>
      <c r="AA268" s="6" t="str">
        <v>Data Processing Services;Other Computer Related Svcs</v>
      </c>
      <c r="AB268" s="6" t="str">
        <v>Other Computer Related Svcs;Data Processing Services</v>
      </c>
      <c r="AC268" s="8">
        <v>4.25</v>
      </c>
      <c r="AD268" s="7">
        <f>=DATE(2008,12,22)</f>
        <v>39803.99949074074</v>
      </c>
    </row>
    <row r="269">
      <c r="A269" s="6" t="str">
        <v>893929</v>
      </c>
      <c r="B269" s="6" t="str">
        <v>United States</v>
      </c>
      <c r="C269" s="6" t="str">
        <v>Transcend Services Inc</v>
      </c>
      <c r="D269" s="6" t="str">
        <v>Transcend Services Inc</v>
      </c>
      <c r="F269" s="6" t="str">
        <v>United States</v>
      </c>
      <c r="G269" s="6" t="str">
        <v>Transcription Relief Services LLC-Medical Transcription Business</v>
      </c>
      <c r="H269" s="6" t="str">
        <v>Business Services</v>
      </c>
      <c r="I269" s="6" t="str">
        <v>88989H</v>
      </c>
      <c r="J269" s="6" t="str">
        <v>Transcription Relief Services LLC</v>
      </c>
      <c r="K269" s="6" t="str">
        <v>Transcription Relief Services LLC</v>
      </c>
      <c r="L269" s="7">
        <f>=DATE(2009,3,27)</f>
        <v>39898.99949074074</v>
      </c>
      <c r="M269" s="7">
        <f>=DATE(2009,4,1)</f>
        <v>39903.99949074074</v>
      </c>
      <c r="N269" s="8">
        <v>7.5</v>
      </c>
      <c r="O269" s="8">
        <v>7.5</v>
      </c>
      <c r="W269" s="6" t="str">
        <v>Other Computer Related Svcs;Data Processing Services</v>
      </c>
      <c r="X269" s="6" t="str">
        <v>Data Processing Services</v>
      </c>
      <c r="Y269" s="6" t="str">
        <v>Data Processing Services</v>
      </c>
      <c r="Z269" s="6" t="str">
        <v>Data Processing Services</v>
      </c>
      <c r="AA269" s="6" t="str">
        <v>Other Computer Related Svcs;Data Processing Services</v>
      </c>
      <c r="AB269" s="6" t="str">
        <v>Other Computer Related Svcs;Data Processing Services</v>
      </c>
      <c r="AC269" s="8">
        <v>7.5</v>
      </c>
      <c r="AD269" s="7">
        <f>=DATE(2009,3,27)</f>
        <v>39898.99949074074</v>
      </c>
    </row>
    <row r="270">
      <c r="A270" s="6" t="str">
        <v>00507V</v>
      </c>
      <c r="B270" s="6" t="str">
        <v>United States</v>
      </c>
      <c r="C270" s="6" t="str">
        <v>Activision Blizzard Inc</v>
      </c>
      <c r="D270" s="6" t="str">
        <v>Vivendi SE</v>
      </c>
      <c r="F270" s="6" t="str">
        <v>United States</v>
      </c>
      <c r="G270" s="6" t="str">
        <v>7 Studios</v>
      </c>
      <c r="H270" s="6" t="str">
        <v>Prepackaged Software</v>
      </c>
      <c r="I270" s="6" t="str">
        <v>82213J</v>
      </c>
      <c r="J270" s="6" t="str">
        <v>7 Studios</v>
      </c>
      <c r="K270" s="6" t="str">
        <v>7 Studios</v>
      </c>
      <c r="L270" s="7">
        <f>=DATE(2009,4,14)</f>
        <v>39916.99949074074</v>
      </c>
      <c r="M270" s="7">
        <f>=DATE(2009,4,14)</f>
        <v>39916.99949074074</v>
      </c>
      <c r="W270" s="6" t="str">
        <v>Other Software (inq. Games);Operating Systems;Other Computer Systems</v>
      </c>
      <c r="X270" s="6" t="str">
        <v>Other Software (inq. Games)</v>
      </c>
      <c r="Y270" s="6" t="str">
        <v>Other Software (inq. Games)</v>
      </c>
      <c r="Z270" s="6" t="str">
        <v>Other Software (inq. Games)</v>
      </c>
      <c r="AA270" s="6" t="str">
        <v>Primary Business not Hi-Tech;Internet Services &amp; Software;Other Software (inq. Games)</v>
      </c>
      <c r="AB270" s="6" t="str">
        <v>Other Software (inq. Games);Primary Business not Hi-Tech;Internet Services &amp; Software</v>
      </c>
    </row>
    <row r="271">
      <c r="A271" s="6" t="str">
        <v>023135</v>
      </c>
      <c r="B271" s="6" t="str">
        <v>United States</v>
      </c>
      <c r="C271" s="6" t="str">
        <v>Amazon.com Inc</v>
      </c>
      <c r="D271" s="6" t="str">
        <v>Amazon.com Inc</v>
      </c>
      <c r="F271" s="6" t="str">
        <v>United States</v>
      </c>
      <c r="G271" s="6" t="str">
        <v>Lexcycle Inc</v>
      </c>
      <c r="H271" s="6" t="str">
        <v>Prepackaged Software</v>
      </c>
      <c r="I271" s="6" t="str">
        <v>52976J</v>
      </c>
      <c r="J271" s="6" t="str">
        <v>Lexcycle Inc</v>
      </c>
      <c r="K271" s="6" t="str">
        <v>Lexcycle Inc</v>
      </c>
      <c r="L271" s="7">
        <f>=DATE(2009,4,27)</f>
        <v>39929.99949074074</v>
      </c>
      <c r="M271" s="7">
        <f>=DATE(2009,4,27)</f>
        <v>39929.99949074074</v>
      </c>
      <c r="W271" s="6" t="str">
        <v>Primary Business not Hi-Tech</v>
      </c>
      <c r="X271" s="6" t="str">
        <v>Other Software (inq. Games);Applications Software(Home)</v>
      </c>
      <c r="Y271" s="6" t="str">
        <v>Other Software (inq. Games);Applications Software(Home)</v>
      </c>
      <c r="Z271" s="6" t="str">
        <v>Other Software (inq. Games);Applications Software(Home)</v>
      </c>
      <c r="AA271" s="6" t="str">
        <v>Primary Business not Hi-Tech</v>
      </c>
      <c r="AB271" s="6" t="str">
        <v>Primary Business not Hi-Tech</v>
      </c>
    </row>
    <row r="272">
      <c r="A272" s="6" t="str">
        <v>594918</v>
      </c>
      <c r="B272" s="6" t="str">
        <v>United States</v>
      </c>
      <c r="C272" s="6" t="str">
        <v>Microsoft Corp</v>
      </c>
      <c r="D272" s="6" t="str">
        <v>Microsoft Corp</v>
      </c>
      <c r="F272" s="6" t="str">
        <v>United States</v>
      </c>
      <c r="G272" s="6" t="str">
        <v>Rosetta Biosoftware-Certain Assets</v>
      </c>
      <c r="H272" s="6" t="str">
        <v>Prepackaged Software</v>
      </c>
      <c r="I272" s="6" t="str">
        <v>77836C</v>
      </c>
      <c r="J272" s="6" t="str">
        <v>Merck &amp; Co Inc</v>
      </c>
      <c r="K272" s="6" t="str">
        <v>Rosetta Biosoftware</v>
      </c>
      <c r="L272" s="7">
        <f>=DATE(2009,6,1)</f>
        <v>39964.99949074074</v>
      </c>
      <c r="M272" s="7">
        <f>=DATE(2009,6,29)</f>
        <v>39992.99949074074</v>
      </c>
      <c r="N272" s="8">
        <v>15</v>
      </c>
      <c r="O272" s="8">
        <v>15</v>
      </c>
      <c r="W272" s="6" t="str">
        <v>Other Peripherals;Monitors/Terminals;Operating Systems;Computer Consulting Services;Applications Software(Business;Internet Services &amp; Software</v>
      </c>
      <c r="X272" s="6" t="str">
        <v>Other Software (inq. Games)</v>
      </c>
      <c r="Y272" s="6" t="str">
        <v>Other Software (inq. Games)</v>
      </c>
      <c r="Z272" s="6" t="str">
        <v>Other Biotechnology;Research &amp; Development Firm;General Pharmaceuticals</v>
      </c>
      <c r="AA272" s="6" t="str">
        <v>Other Peripherals;Monitors/Terminals;Applications Software(Business;Computer Consulting Services;Internet Services &amp; Software;Operating Systems</v>
      </c>
      <c r="AB272" s="6" t="str">
        <v>Computer Consulting Services;Internet Services &amp; Software;Operating Systems;Applications Software(Business;Monitors/Terminals;Other Peripherals</v>
      </c>
      <c r="AC272" s="8">
        <v>15</v>
      </c>
      <c r="AD272" s="7">
        <f>=DATE(2009,6,1)</f>
        <v>39964.99949074074</v>
      </c>
    </row>
    <row r="273">
      <c r="A273" s="6" t="str">
        <v>36908Q</v>
      </c>
      <c r="B273" s="6" t="str">
        <v>United States</v>
      </c>
      <c r="C273" s="6" t="str">
        <v>A9.com Inc</v>
      </c>
      <c r="D273" s="6" t="str">
        <v>Amazon.com Inc</v>
      </c>
      <c r="F273" s="6" t="str">
        <v>United States</v>
      </c>
      <c r="G273" s="6" t="str">
        <v>SnapTell Inc</v>
      </c>
      <c r="H273" s="6" t="str">
        <v>Prepackaged Software</v>
      </c>
      <c r="I273" s="6" t="str">
        <v>82823X</v>
      </c>
      <c r="J273" s="6" t="str">
        <v>SnapTell Inc</v>
      </c>
      <c r="K273" s="6" t="str">
        <v>SnapTell Inc</v>
      </c>
      <c r="L273" s="7">
        <f>=DATE(2009,6,18)</f>
        <v>39981.99949074074</v>
      </c>
      <c r="M273" s="7">
        <f>=DATE(2009,6,18)</f>
        <v>39981.99949074074</v>
      </c>
      <c r="W273" s="6" t="str">
        <v>Other Software (inq. Games);Internet Services &amp; Software</v>
      </c>
      <c r="X273" s="6" t="str">
        <v>Other Software (inq. Games)</v>
      </c>
      <c r="Y273" s="6" t="str">
        <v>Other Software (inq. Games)</v>
      </c>
      <c r="Z273" s="6" t="str">
        <v>Other Software (inq. Games)</v>
      </c>
      <c r="AA273" s="6" t="str">
        <v>Primary Business not Hi-Tech</v>
      </c>
      <c r="AB273" s="6" t="str">
        <v>Primary Business not Hi-Tech</v>
      </c>
    </row>
    <row r="274">
      <c r="A274" s="6" t="str">
        <v>98967F</v>
      </c>
      <c r="B274" s="6" t="str">
        <v>United States</v>
      </c>
      <c r="C274" s="6" t="str">
        <v>ZeniMax Media Inc</v>
      </c>
      <c r="D274" s="6" t="str">
        <v>ZeniMax Media Inc</v>
      </c>
      <c r="F274" s="6" t="str">
        <v>United States</v>
      </c>
      <c r="G274" s="6" t="str">
        <v>id Software Inc</v>
      </c>
      <c r="H274" s="6" t="str">
        <v>Prepackaged Software</v>
      </c>
      <c r="I274" s="6" t="str">
        <v>46766N</v>
      </c>
      <c r="J274" s="6" t="str">
        <v>id Software Inc</v>
      </c>
      <c r="K274" s="6" t="str">
        <v>id Software Inc</v>
      </c>
      <c r="L274" s="7">
        <f>=DATE(2009,6,24)</f>
        <v>39987.99949074074</v>
      </c>
      <c r="M274" s="7">
        <f>=DATE(2009,6,24)</f>
        <v>39987.99949074074</v>
      </c>
      <c r="W274" s="6" t="str">
        <v>Other Software (inq. Games)</v>
      </c>
      <c r="X274" s="6" t="str">
        <v>Other Software (inq. Games)</v>
      </c>
      <c r="Y274" s="6" t="str">
        <v>Other Software (inq. Games)</v>
      </c>
      <c r="Z274" s="6" t="str">
        <v>Other Software (inq. Games)</v>
      </c>
      <c r="AA274" s="6" t="str">
        <v>Other Software (inq. Games)</v>
      </c>
      <c r="AB274" s="6" t="str">
        <v>Other Software (inq. Games)</v>
      </c>
    </row>
    <row r="275">
      <c r="A275" s="6" t="str">
        <v>052660</v>
      </c>
      <c r="B275" s="6" t="str">
        <v>United States</v>
      </c>
      <c r="C275" s="6" t="str">
        <v>AuthenTec Inc</v>
      </c>
      <c r="D275" s="6" t="str">
        <v>AuthenTec Inc</v>
      </c>
      <c r="F275" s="6" t="str">
        <v>United States</v>
      </c>
      <c r="G275" s="6" t="str">
        <v>Atrua Technologies Inc</v>
      </c>
      <c r="H275" s="6" t="str">
        <v>Electronic and Electrical Equipment</v>
      </c>
      <c r="I275" s="6" t="str">
        <v>01157Z</v>
      </c>
      <c r="J275" s="6" t="str">
        <v>Atrua Technologies Inc</v>
      </c>
      <c r="K275" s="6" t="str">
        <v>Atrua Technologies Inc</v>
      </c>
      <c r="L275" s="7">
        <f>=DATE(2009,7,14)</f>
        <v>40007.99949074074</v>
      </c>
      <c r="M275" s="7">
        <f>=DATE(2009,7,14)</f>
        <v>40007.99949074074</v>
      </c>
      <c r="N275" s="8">
        <v>4.9</v>
      </c>
      <c r="O275" s="8">
        <v>4.9</v>
      </c>
      <c r="W275" s="6" t="str">
        <v>Other Electronics;Search, Detection, Navigation;Semiconductors</v>
      </c>
      <c r="X275" s="6" t="str">
        <v>Applications Software(Business;Semiconductors;Communication/Network Software</v>
      </c>
      <c r="Y275" s="6" t="str">
        <v>Communication/Network Software;Applications Software(Business;Semiconductors</v>
      </c>
      <c r="Z275" s="6" t="str">
        <v>Semiconductors;Communication/Network Software;Applications Software(Business</v>
      </c>
      <c r="AA275" s="6" t="str">
        <v>Other Electronics;Search, Detection, Navigation;Semiconductors</v>
      </c>
      <c r="AB275" s="6" t="str">
        <v>Other Electronics;Search, Detection, Navigation;Semiconductors</v>
      </c>
      <c r="AC275" s="8">
        <v>4.9</v>
      </c>
      <c r="AD275" s="7">
        <f>=DATE(2009,7,14)</f>
        <v>40007.99949074074</v>
      </c>
    </row>
    <row r="276">
      <c r="A276" s="6" t="str">
        <v>67020Y</v>
      </c>
      <c r="B276" s="6" t="str">
        <v>United States</v>
      </c>
      <c r="C276" s="6" t="str">
        <v>Nuance Communications Inc</v>
      </c>
      <c r="D276" s="6" t="str">
        <v>Nuance Communications Inc</v>
      </c>
      <c r="F276" s="6" t="str">
        <v>United States</v>
      </c>
      <c r="G276" s="6" t="str">
        <v>Jott Networks Inc</v>
      </c>
      <c r="H276" s="6" t="str">
        <v>Prepackaged Software</v>
      </c>
      <c r="I276" s="6" t="str">
        <v>44669N</v>
      </c>
      <c r="J276" s="6" t="str">
        <v>Jott Networks Inc</v>
      </c>
      <c r="K276" s="6" t="str">
        <v>Jott Networks Inc</v>
      </c>
      <c r="L276" s="7">
        <f>=DATE(2009,7,14)</f>
        <v>40007.99949074074</v>
      </c>
      <c r="M276" s="7">
        <f>=DATE(2009,7,14)</f>
        <v>40007.99949074074</v>
      </c>
      <c r="W276" s="6" t="str">
        <v>Other Software (inq. Games);Database Software/Programming;Utilities/File Mgmt Software;Programming Services;Networking Systems (LAN,WAN);Communication/Network Software;Internet Services &amp; Software;Desktop Publishing;Primary Business not Hi-Tech;Applications Software(Home);Computer Consulting Services;Applications Software(Business;Other Computer Related Svcs</v>
      </c>
      <c r="X276" s="6" t="str">
        <v>Communication/Network Software;Internet Services &amp; Software</v>
      </c>
      <c r="Y276" s="6" t="str">
        <v>Communication/Network Software;Internet Services &amp; Software</v>
      </c>
      <c r="Z276" s="6" t="str">
        <v>Internet Services &amp; Software;Communication/Network Software</v>
      </c>
      <c r="AA276" s="6" t="str">
        <v>Other Computer Related Svcs;Other Software (inq. Games);Utilities/File Mgmt Software;Applications Software(Home);Desktop Publishing;Internet Services &amp; Software;Programming Services;Computer Consulting Services;Primary Business not Hi-Tech;Applications Software(Business;Database Software/Programming;Communication/Network Software;Networking Systems (LAN,WAN)</v>
      </c>
      <c r="AB276" s="6" t="str">
        <v>Applications Software(Home);Primary Business not Hi-Tech;Programming Services;Other Computer Related Svcs;Utilities/File Mgmt Software;Communication/Network Software;Other Software (inq. Games);Computer Consulting Services;Database Software/Programming;Networking Systems (LAN,WAN);Applications Software(Business;Desktop Publishing;Internet Services &amp; Software</v>
      </c>
    </row>
    <row r="277">
      <c r="A277" s="6" t="str">
        <v>023135</v>
      </c>
      <c r="B277" s="6" t="str">
        <v>United States</v>
      </c>
      <c r="C277" s="6" t="str">
        <v>Amazon.com Inc</v>
      </c>
      <c r="D277" s="6" t="str">
        <v>Amazon.com Inc</v>
      </c>
      <c r="F277" s="6" t="str">
        <v>United States</v>
      </c>
      <c r="G277" s="6" t="str">
        <v>Zappos.com Inc</v>
      </c>
      <c r="H277" s="6" t="str">
        <v>Miscellaneous Retail Trade</v>
      </c>
      <c r="I277" s="6" t="str">
        <v>99101J</v>
      </c>
      <c r="J277" s="6" t="str">
        <v>Zappos.com Inc</v>
      </c>
      <c r="K277" s="6" t="str">
        <v>Zappos.com Inc</v>
      </c>
      <c r="L277" s="7">
        <f>=DATE(2009,7,22)</f>
        <v>40015.99949074074</v>
      </c>
      <c r="M277" s="7">
        <f>=DATE(2009,11,2)</f>
        <v>40118.99949074074</v>
      </c>
      <c r="N277" s="8">
        <v>1228.1</v>
      </c>
      <c r="O277" s="8">
        <v>930.1</v>
      </c>
      <c r="W277" s="6" t="str">
        <v>Primary Business not Hi-Tech</v>
      </c>
      <c r="X277" s="6" t="str">
        <v>Internet Services &amp; Software</v>
      </c>
      <c r="Y277" s="6" t="str">
        <v>Internet Services &amp; Software</v>
      </c>
      <c r="Z277" s="6" t="str">
        <v>Internet Services &amp; Software</v>
      </c>
      <c r="AA277" s="6" t="str">
        <v>Primary Business not Hi-Tech</v>
      </c>
      <c r="AB277" s="6" t="str">
        <v>Primary Business not Hi-Tech</v>
      </c>
      <c r="AC277" s="8">
        <v>930.1</v>
      </c>
      <c r="AD277" s="7">
        <f>=DATE(2009,7,22)</f>
        <v>40015.99949074074</v>
      </c>
      <c r="AF277" s="8" t="str">
        <v>930.10</v>
      </c>
      <c r="AG277" s="8" t="str">
        <v>1,228.10</v>
      </c>
    </row>
    <row r="278">
      <c r="A278" s="6" t="str">
        <v>38259P</v>
      </c>
      <c r="B278" s="6" t="str">
        <v>United States</v>
      </c>
      <c r="C278" s="6" t="str">
        <v>Google Inc</v>
      </c>
      <c r="D278" s="6" t="str">
        <v>Alphabet Inc</v>
      </c>
      <c r="F278" s="6" t="str">
        <v>United States</v>
      </c>
      <c r="G278" s="6" t="str">
        <v>On2 Technologies Inc</v>
      </c>
      <c r="H278" s="6" t="str">
        <v>Prepackaged Software</v>
      </c>
      <c r="I278" s="6" t="str">
        <v>68338A</v>
      </c>
      <c r="J278" s="6" t="str">
        <v>On2 Technologies Inc</v>
      </c>
      <c r="K278" s="6" t="str">
        <v>On2 Technologies Inc</v>
      </c>
      <c r="L278" s="7">
        <f>=DATE(2009,8,5)</f>
        <v>40029.99949074074</v>
      </c>
      <c r="M278" s="7">
        <f>=DATE(2010,2,19)</f>
        <v>40227.99949074074</v>
      </c>
      <c r="N278" s="8">
        <v>121.237</v>
      </c>
      <c r="O278" s="8">
        <v>133.083</v>
      </c>
      <c r="P278" s="8" t="str">
        <v>133.04</v>
      </c>
      <c r="R278" s="8">
        <v>-4.799</v>
      </c>
      <c r="S278" s="8">
        <v>14.271</v>
      </c>
      <c r="T278" s="8">
        <v>-0.329</v>
      </c>
      <c r="U278" s="8">
        <v>-0.173</v>
      </c>
      <c r="V278" s="8">
        <v>-1.376</v>
      </c>
      <c r="W278" s="6" t="str">
        <v>Internet Services &amp; Software;Programming Services</v>
      </c>
      <c r="X278" s="6" t="str">
        <v>Other Software (inq. Games)</v>
      </c>
      <c r="Y278" s="6" t="str">
        <v>Other Software (inq. Games)</v>
      </c>
      <c r="Z278" s="6" t="str">
        <v>Other Software (inq. Games)</v>
      </c>
      <c r="AA278" s="6" t="str">
        <v>Internet Services &amp; Software;Programming Services;Telecommunications Equipment;Computer Consulting Services;Primary Business not Hi-Tech</v>
      </c>
      <c r="AB278" s="6" t="str">
        <v>Computer Consulting Services;Telecommunications Equipment;Internet Services &amp; Software;Primary Business not Hi-Tech;Programming Services</v>
      </c>
      <c r="AC278" s="8">
        <v>133.083</v>
      </c>
      <c r="AD278" s="7">
        <f>=DATE(2010,1,7)</f>
        <v>40184.99949074074</v>
      </c>
      <c r="AE278" s="8">
        <v>133.037338</v>
      </c>
      <c r="AF278" s="8" t="str">
        <v>133.04</v>
      </c>
      <c r="AG278" s="8" t="str">
        <v>121.19</v>
      </c>
    </row>
    <row r="279">
      <c r="A279" s="6" t="str">
        <v>30303M</v>
      </c>
      <c r="B279" s="6" t="str">
        <v>United States</v>
      </c>
      <c r="C279" s="6" t="str">
        <v>Facebook Inc</v>
      </c>
      <c r="D279" s="6" t="str">
        <v>Facebook Inc</v>
      </c>
      <c r="F279" s="6" t="str">
        <v>United States</v>
      </c>
      <c r="G279" s="6" t="str">
        <v>FriendFeed Inc</v>
      </c>
      <c r="H279" s="6" t="str">
        <v>Business Services</v>
      </c>
      <c r="I279" s="6" t="str">
        <v>35854T</v>
      </c>
      <c r="J279" s="6" t="str">
        <v>FriendFeed Inc</v>
      </c>
      <c r="K279" s="6" t="str">
        <v>FriendFeed Inc</v>
      </c>
      <c r="L279" s="7">
        <f>=DATE(2009,8,10)</f>
        <v>40034.99949074074</v>
      </c>
      <c r="M279" s="7">
        <f>=DATE(2009,8,10)</f>
        <v>40034.99949074074</v>
      </c>
      <c r="W279" s="6" t="str">
        <v>Internet Services &amp; Software</v>
      </c>
      <c r="X279" s="6" t="str">
        <v>Internet Services &amp; Software</v>
      </c>
      <c r="Y279" s="6" t="str">
        <v>Internet Services &amp; Software</v>
      </c>
      <c r="Z279" s="6" t="str">
        <v>Internet Services &amp; Software</v>
      </c>
      <c r="AA279" s="6" t="str">
        <v>Internet Services &amp; Software</v>
      </c>
      <c r="AB279" s="6" t="str">
        <v>Internet Services &amp; Software</v>
      </c>
    </row>
    <row r="280">
      <c r="A280" s="6" t="str">
        <v>55383E</v>
      </c>
      <c r="B280" s="6" t="str">
        <v>United States</v>
      </c>
      <c r="C280" s="6" t="str">
        <v>MSNBC</v>
      </c>
      <c r="D280" s="6" t="str">
        <v>General Electric Co</v>
      </c>
      <c r="F280" s="6" t="str">
        <v>United States</v>
      </c>
      <c r="G280" s="6" t="str">
        <v>EveryBlock</v>
      </c>
      <c r="H280" s="6" t="str">
        <v>Business Services</v>
      </c>
      <c r="I280" s="6" t="str">
        <v>29815N</v>
      </c>
      <c r="J280" s="6" t="str">
        <v>EveryBlock</v>
      </c>
      <c r="K280" s="6" t="str">
        <v>EveryBlock</v>
      </c>
      <c r="L280" s="7">
        <f>=DATE(2009,8,17)</f>
        <v>40041.99949074074</v>
      </c>
      <c r="M280" s="7">
        <f>=DATE(2009,8,17)</f>
        <v>40041.99949074074</v>
      </c>
      <c r="W280" s="6" t="str">
        <v>Internet Services &amp; Software</v>
      </c>
      <c r="X280" s="6" t="str">
        <v>Internet Services &amp; Software</v>
      </c>
      <c r="Y280" s="6" t="str">
        <v>Internet Services &amp; Software</v>
      </c>
      <c r="Z280" s="6" t="str">
        <v>Internet Services &amp; Software</v>
      </c>
      <c r="AA280" s="6" t="str">
        <v>Primary Business not Hi-Tech</v>
      </c>
      <c r="AB280" s="6" t="str">
        <v>Other Electronics;Other High Technology Industry</v>
      </c>
    </row>
    <row r="281">
      <c r="A281" s="6" t="str">
        <v>31708V</v>
      </c>
      <c r="B281" s="6" t="str">
        <v>United States</v>
      </c>
      <c r="C281" s="6" t="str">
        <v>TheFind Inc</v>
      </c>
      <c r="D281" s="6" t="str">
        <v>TheFind Inc</v>
      </c>
      <c r="F281" s="6" t="str">
        <v>United States</v>
      </c>
      <c r="G281" s="6" t="str">
        <v>iStorez Inc</v>
      </c>
      <c r="H281" s="6" t="str">
        <v>Miscellaneous Retail Trade</v>
      </c>
      <c r="I281" s="6" t="str">
        <v>47170X</v>
      </c>
      <c r="J281" s="6" t="str">
        <v>iStorez Inc</v>
      </c>
      <c r="K281" s="6" t="str">
        <v>iStorez Inc</v>
      </c>
      <c r="L281" s="7">
        <f>=DATE(2009,9,2)</f>
        <v>40057.99949074074</v>
      </c>
      <c r="M281" s="7">
        <f>=DATE(2009,9,2)</f>
        <v>40057.99949074074</v>
      </c>
      <c r="W281" s="6" t="str">
        <v>Internet Services &amp; Software</v>
      </c>
      <c r="X281" s="6" t="str">
        <v>Internet Services &amp; Software</v>
      </c>
      <c r="Y281" s="6" t="str">
        <v>Internet Services &amp; Software</v>
      </c>
      <c r="Z281" s="6" t="str">
        <v>Internet Services &amp; Software</v>
      </c>
      <c r="AA281" s="6" t="str">
        <v>Internet Services &amp; Software</v>
      </c>
      <c r="AB281" s="6" t="str">
        <v>Internet Services &amp; Software</v>
      </c>
    </row>
    <row r="282">
      <c r="A282" s="6" t="str">
        <v>38259P</v>
      </c>
      <c r="B282" s="6" t="str">
        <v>United States</v>
      </c>
      <c r="C282" s="6" t="str">
        <v>Google Inc</v>
      </c>
      <c r="D282" s="6" t="str">
        <v>Alphabet Inc</v>
      </c>
      <c r="F282" s="6" t="str">
        <v>United States</v>
      </c>
      <c r="G282" s="6" t="str">
        <v>reCAPTCHA</v>
      </c>
      <c r="H282" s="6" t="str">
        <v>Business Services</v>
      </c>
      <c r="I282" s="6" t="str">
        <v>75786Q</v>
      </c>
      <c r="J282" s="6" t="str">
        <v>reCAPTCHA</v>
      </c>
      <c r="K282" s="6" t="str">
        <v>reCAPTCHA</v>
      </c>
      <c r="L282" s="7">
        <f>=DATE(2009,9,16)</f>
        <v>40071.99949074074</v>
      </c>
      <c r="M282" s="7">
        <f>=DATE(2009,9,16)</f>
        <v>40071.99949074074</v>
      </c>
      <c r="W282" s="6" t="str">
        <v>Internet Services &amp; Software;Programming Services</v>
      </c>
      <c r="X282" s="6" t="str">
        <v>Networking Systems (LAN,WAN);Internet Services &amp; Software</v>
      </c>
      <c r="Y282" s="6" t="str">
        <v>Internet Services &amp; Software;Networking Systems (LAN,WAN)</v>
      </c>
      <c r="Z282" s="6" t="str">
        <v>Networking Systems (LAN,WAN);Internet Services &amp; Software</v>
      </c>
      <c r="AA282" s="6" t="str">
        <v>Internet Services &amp; Software;Telecommunications Equipment;Primary Business not Hi-Tech;Programming Services;Computer Consulting Services</v>
      </c>
      <c r="AB282" s="6" t="str">
        <v>Internet Services &amp; Software;Telecommunications Equipment;Programming Services;Primary Business not Hi-Tech;Computer Consulting Services</v>
      </c>
    </row>
    <row r="283">
      <c r="A283" s="6" t="str">
        <v>594918</v>
      </c>
      <c r="B283" s="6" t="str">
        <v>United States</v>
      </c>
      <c r="C283" s="6" t="str">
        <v>Microsoft Corp</v>
      </c>
      <c r="D283" s="6" t="str">
        <v>Microsoft Corp</v>
      </c>
      <c r="F283" s="6" t="str">
        <v>United States</v>
      </c>
      <c r="G283" s="6" t="str">
        <v>Interactive Supercomputing</v>
      </c>
      <c r="H283" s="6" t="str">
        <v>Prepackaged Software</v>
      </c>
      <c r="I283" s="6" t="str">
        <v>47183L</v>
      </c>
      <c r="J283" s="6" t="str">
        <v>Interactive Supercomputing</v>
      </c>
      <c r="K283" s="6" t="str">
        <v>Interactive Supercomputing</v>
      </c>
      <c r="L283" s="7">
        <f>=DATE(2009,9,22)</f>
        <v>40077.99949074074</v>
      </c>
      <c r="M283" s="7">
        <f>=DATE(2009,9,22)</f>
        <v>40077.99949074074</v>
      </c>
      <c r="W283" s="6" t="str">
        <v>Internet Services &amp; Software;Operating Systems;Applications Software(Business;Monitors/Terminals;Other Peripherals;Computer Consulting Services</v>
      </c>
      <c r="X283" s="6" t="str">
        <v>Other Software (inq. Games)</v>
      </c>
      <c r="Y283" s="6" t="str">
        <v>Other Software (inq. Games)</v>
      </c>
      <c r="Z283" s="6" t="str">
        <v>Other Software (inq. Games)</v>
      </c>
      <c r="AA283" s="6" t="str">
        <v>Computer Consulting Services;Operating Systems;Applications Software(Business;Monitors/Terminals;Internet Services &amp; Software;Other Peripherals</v>
      </c>
      <c r="AB283" s="6" t="str">
        <v>Other Peripherals;Monitors/Terminals;Computer Consulting Services;Operating Systems;Applications Software(Business;Internet Services &amp; Software</v>
      </c>
    </row>
    <row r="284">
      <c r="A284" s="6" t="str">
        <v>67020Y</v>
      </c>
      <c r="B284" s="6" t="str">
        <v>United States</v>
      </c>
      <c r="C284" s="6" t="str">
        <v>Nuance Communications Inc</v>
      </c>
      <c r="D284" s="6" t="str">
        <v>Nuance Communications Inc</v>
      </c>
      <c r="F284" s="6" t="str">
        <v>United States</v>
      </c>
      <c r="G284" s="6" t="str">
        <v>eCopy Inc</v>
      </c>
      <c r="H284" s="6" t="str">
        <v>Prepackaged Software</v>
      </c>
      <c r="I284" s="6" t="str">
        <v>27907N</v>
      </c>
      <c r="J284" s="6" t="str">
        <v>eCopy Inc</v>
      </c>
      <c r="K284" s="6" t="str">
        <v>eCopy Inc</v>
      </c>
      <c r="L284" s="7">
        <f>=DATE(2009,9,30)</f>
        <v>40085.99949074074</v>
      </c>
      <c r="M284" s="7">
        <f>=DATE(2009,9,30)</f>
        <v>40085.99949074074</v>
      </c>
      <c r="N284" s="8">
        <v>54</v>
      </c>
      <c r="O284" s="8">
        <v>54</v>
      </c>
      <c r="W284" s="6" t="str">
        <v>Desktop Publishing;Computer Consulting Services;Primary Business not Hi-Tech;Programming Services;Applications Software(Business;Communication/Network Software;Database Software/Programming;Utilities/File Mgmt Software;Internet Services &amp; Software;Networking Systems (LAN,WAN);Other Computer Related Svcs;Other Software (inq. Games);Applications Software(Home)</v>
      </c>
      <c r="X284" s="6" t="str">
        <v>Data Processing Services;Applications Software(Business</v>
      </c>
      <c r="Y284" s="6" t="str">
        <v>Applications Software(Business;Data Processing Services</v>
      </c>
      <c r="Z284" s="6" t="str">
        <v>Data Processing Services;Applications Software(Business</v>
      </c>
      <c r="AA284" s="6" t="str">
        <v>Communication/Network Software;Applications Software(Business;Primary Business not Hi-Tech;Programming Services;Database Software/Programming;Applications Software(Home);Other Software (inq. Games);Desktop Publishing;Other Computer Related Svcs;Networking Systems (LAN,WAN);Computer Consulting Services;Utilities/File Mgmt Software;Internet Services &amp; Software</v>
      </c>
      <c r="AB284" s="6" t="str">
        <v>Other Computer Related Svcs;Applications Software(Home);Applications Software(Business;Database Software/Programming;Internet Services &amp; Software;Networking Systems (LAN,WAN);Desktop Publishing;Communication/Network Software;Computer Consulting Services;Other Software (inq. Games);Utilities/File Mgmt Software;Programming Services;Primary Business not Hi-Tech</v>
      </c>
      <c r="AC284" s="8">
        <v>54</v>
      </c>
      <c r="AD284" s="7">
        <f>=DATE(2009,10,5)</f>
        <v>40090.99949074074</v>
      </c>
      <c r="AF284" s="8" t="str">
        <v>54.00</v>
      </c>
      <c r="AG284" s="8" t="str">
        <v>54.00</v>
      </c>
    </row>
    <row r="285">
      <c r="A285" s="6" t="str">
        <v>037833</v>
      </c>
      <c r="B285" s="6" t="str">
        <v>United States</v>
      </c>
      <c r="C285" s="6" t="str">
        <v>Apple Inc</v>
      </c>
      <c r="D285" s="6" t="str">
        <v>Apple Inc</v>
      </c>
      <c r="F285" s="6" t="str">
        <v>United States</v>
      </c>
      <c r="G285" s="6" t="str">
        <v>Placebase</v>
      </c>
      <c r="H285" s="6" t="str">
        <v>Business Services</v>
      </c>
      <c r="I285" s="6" t="str">
        <v>72599W</v>
      </c>
      <c r="J285" s="6" t="str">
        <v>Placebase</v>
      </c>
      <c r="K285" s="6" t="str">
        <v>Placebase</v>
      </c>
      <c r="L285" s="7">
        <f>=DATE(2009,10,31)</f>
        <v>40116.99949074074</v>
      </c>
      <c r="M285" s="7">
        <f>=DATE(2009,10,31)</f>
        <v>40116.99949074074</v>
      </c>
      <c r="W285" s="6" t="str">
        <v>Disk Drives;Other Peripherals;Printers;Portable Computers;Micro-Computers (PCs);Other Software (inq. Games);Monitors/Terminals;Mainframes &amp; Super Computers</v>
      </c>
      <c r="X285" s="6" t="str">
        <v>Internet Services &amp; Software</v>
      </c>
      <c r="Y285" s="6" t="str">
        <v>Internet Services &amp; Software</v>
      </c>
      <c r="Z285" s="6" t="str">
        <v>Internet Services &amp; Software</v>
      </c>
      <c r="AA285" s="6" t="str">
        <v>Other Software (inq. Games);Monitors/Terminals;Micro-Computers (PCs);Printers;Other Peripherals;Disk Drives;Mainframes &amp; Super Computers;Portable Computers</v>
      </c>
      <c r="AB285" s="6" t="str">
        <v>Portable Computers;Mainframes &amp; Super Computers;Printers;Other Peripherals;Micro-Computers (PCs);Monitors/Terminals;Other Software (inq. Games);Disk Drives</v>
      </c>
    </row>
    <row r="286">
      <c r="A286" s="6" t="str">
        <v>38259P</v>
      </c>
      <c r="B286" s="6" t="str">
        <v>United States</v>
      </c>
      <c r="C286" s="6" t="str">
        <v>Google Inc</v>
      </c>
      <c r="D286" s="6" t="str">
        <v>Alphabet Inc</v>
      </c>
      <c r="F286" s="6" t="str">
        <v>United States</v>
      </c>
      <c r="G286" s="6" t="str">
        <v>AdMob Inc</v>
      </c>
      <c r="H286" s="6" t="str">
        <v>Advertising Services</v>
      </c>
      <c r="I286" s="6" t="str">
        <v>23930W</v>
      </c>
      <c r="J286" s="6" t="str">
        <v>AdMob Inc</v>
      </c>
      <c r="K286" s="6" t="str">
        <v>AdMob Inc</v>
      </c>
      <c r="L286" s="7">
        <f>=DATE(2009,11,9)</f>
        <v>40125.99949074074</v>
      </c>
      <c r="M286" s="7">
        <f>=DATE(2010,5,27)</f>
        <v>40324.99949074074</v>
      </c>
      <c r="N286" s="8">
        <v>750</v>
      </c>
      <c r="O286" s="8">
        <v>750</v>
      </c>
      <c r="W286" s="6" t="str">
        <v>Programming Services;Internet Services &amp; Software</v>
      </c>
      <c r="X286" s="6" t="str">
        <v>Primary Business not Hi-Tech;Internet Services &amp; Software</v>
      </c>
      <c r="Y286" s="6" t="str">
        <v>Primary Business not Hi-Tech;Internet Services &amp; Software</v>
      </c>
      <c r="Z286" s="6" t="str">
        <v>Primary Business not Hi-Tech;Internet Services &amp; Software</v>
      </c>
      <c r="AA286" s="6" t="str">
        <v>Primary Business not Hi-Tech;Computer Consulting Services;Telecommunications Equipment;Internet Services &amp; Software;Programming Services</v>
      </c>
      <c r="AB286" s="6" t="str">
        <v>Programming Services;Internet Services &amp; Software;Computer Consulting Services;Primary Business not Hi-Tech;Telecommunications Equipment</v>
      </c>
      <c r="AC286" s="8">
        <v>750</v>
      </c>
      <c r="AD286" s="7">
        <f>=DATE(2009,11,9)</f>
        <v>40125.99949074074</v>
      </c>
      <c r="AF286" s="8" t="str">
        <v>750.00</v>
      </c>
    </row>
    <row r="287">
      <c r="A287" s="6" t="str">
        <v>38259P</v>
      </c>
      <c r="B287" s="6" t="str">
        <v>United States</v>
      </c>
      <c r="C287" s="6" t="str">
        <v>Google Inc</v>
      </c>
      <c r="D287" s="6" t="str">
        <v>Alphabet Inc</v>
      </c>
      <c r="F287" s="6" t="str">
        <v>United States</v>
      </c>
      <c r="G287" s="6" t="str">
        <v>Gizmo5</v>
      </c>
      <c r="H287" s="6" t="str">
        <v>Telecommunications</v>
      </c>
      <c r="I287" s="6" t="str">
        <v>37629Y</v>
      </c>
      <c r="J287" s="6" t="str">
        <v>Gizmo5</v>
      </c>
      <c r="K287" s="6" t="str">
        <v>Gizmo5</v>
      </c>
      <c r="L287" s="7">
        <f>=DATE(2009,11,9)</f>
        <v>40125.99949074074</v>
      </c>
      <c r="M287" s="7">
        <f>=DATE(2009,11,13)</f>
        <v>40129.99949074074</v>
      </c>
      <c r="W287" s="6" t="str">
        <v>Programming Services;Internet Services &amp; Software</v>
      </c>
      <c r="X287" s="6" t="str">
        <v>Internet Services &amp; Software;Telecommunications Equipment;Communication/Network Software</v>
      </c>
      <c r="Y287" s="6" t="str">
        <v>Internet Services &amp; Software;Telecommunications Equipment;Communication/Network Software</v>
      </c>
      <c r="Z287" s="6" t="str">
        <v>Internet Services &amp; Software;Communication/Network Software;Telecommunications Equipment</v>
      </c>
      <c r="AA287" s="6" t="str">
        <v>Telecommunications Equipment;Internet Services &amp; Software;Programming Services;Primary Business not Hi-Tech;Computer Consulting Services</v>
      </c>
      <c r="AB287" s="6" t="str">
        <v>Internet Services &amp; Software;Telecommunications Equipment;Computer Consulting Services;Primary Business not Hi-Tech;Programming Services</v>
      </c>
    </row>
    <row r="288">
      <c r="A288" s="6" t="str">
        <v>594918</v>
      </c>
      <c r="B288" s="6" t="str">
        <v>United States</v>
      </c>
      <c r="C288" s="6" t="str">
        <v>Microsoft Corp</v>
      </c>
      <c r="D288" s="6" t="str">
        <v>Microsoft Corp</v>
      </c>
      <c r="F288" s="6" t="str">
        <v>United States</v>
      </c>
      <c r="G288" s="6" t="str">
        <v>SourceGear LLC-Teamprise Assets</v>
      </c>
      <c r="H288" s="6" t="str">
        <v>Business Services</v>
      </c>
      <c r="I288" s="6" t="str">
        <v>83771J</v>
      </c>
      <c r="J288" s="6" t="str">
        <v>SourceGear LLC</v>
      </c>
      <c r="K288" s="6" t="str">
        <v>SourceGear LLC</v>
      </c>
      <c r="L288" s="7">
        <f>=DATE(2009,11,9)</f>
        <v>40125.99949074074</v>
      </c>
      <c r="M288" s="7">
        <f>=DATE(2009,11,9)</f>
        <v>40125.99949074074</v>
      </c>
      <c r="W288" s="6" t="str">
        <v>Internet Services &amp; Software;Other Peripherals;Operating Systems;Computer Consulting Services;Monitors/Terminals;Applications Software(Business</v>
      </c>
      <c r="X288" s="6" t="str">
        <v>Database Software/Programming;Applications Software(Business;Programming Services</v>
      </c>
      <c r="Y288" s="6" t="str">
        <v>Programming Services;Database Software/Programming;Applications Software(Business</v>
      </c>
      <c r="Z288" s="6" t="str">
        <v>Applications Software(Business;Programming Services;Database Software/Programming</v>
      </c>
      <c r="AA288" s="6" t="str">
        <v>Applications Software(Business;Other Peripherals;Monitors/Terminals;Computer Consulting Services;Operating Systems;Internet Services &amp; Software</v>
      </c>
      <c r="AB288" s="6" t="str">
        <v>Computer Consulting Services;Other Peripherals;Internet Services &amp; Software;Monitors/Terminals;Operating Systems;Applications Software(Business</v>
      </c>
    </row>
    <row r="289">
      <c r="A289" s="6" t="str">
        <v>38259P</v>
      </c>
      <c r="B289" s="6" t="str">
        <v>United States</v>
      </c>
      <c r="C289" s="6" t="str">
        <v>Google Inc</v>
      </c>
      <c r="D289" s="6" t="str">
        <v>Alphabet Inc</v>
      </c>
      <c r="F289" s="6" t="str">
        <v>United States</v>
      </c>
      <c r="G289" s="6" t="str">
        <v>Teracent Corp</v>
      </c>
      <c r="H289" s="6" t="str">
        <v>Prepackaged Software</v>
      </c>
      <c r="I289" s="6" t="str">
        <v>86522N</v>
      </c>
      <c r="J289" s="6" t="str">
        <v>Teracent Corp</v>
      </c>
      <c r="K289" s="6" t="str">
        <v>Teracent Corp</v>
      </c>
      <c r="L289" s="7">
        <f>=DATE(2009,11,23)</f>
        <v>40139.99949074074</v>
      </c>
      <c r="M289" s="7">
        <f>=DATE(2009,12,31)</f>
        <v>40177.99949074074</v>
      </c>
      <c r="W289" s="6" t="str">
        <v>Programming Services;Internet Services &amp; Software</v>
      </c>
      <c r="X289" s="6" t="str">
        <v>Internet Services &amp; Software;Communication/Network Software</v>
      </c>
      <c r="Y289" s="6" t="str">
        <v>Communication/Network Software;Internet Services &amp; Software</v>
      </c>
      <c r="Z289" s="6" t="str">
        <v>Internet Services &amp; Software;Communication/Network Software</v>
      </c>
      <c r="AA289" s="6" t="str">
        <v>Internet Services &amp; Software;Telecommunications Equipment;Primary Business not Hi-Tech;Programming Services;Computer Consulting Services</v>
      </c>
      <c r="AB289" s="6" t="str">
        <v>Internet Services &amp; Software;Primary Business not Hi-Tech;Computer Consulting Services;Programming Services;Telecommunications Equipment</v>
      </c>
    </row>
    <row r="290">
      <c r="A290" s="6" t="str">
        <v>38259P</v>
      </c>
      <c r="B290" s="6" t="str">
        <v>United States</v>
      </c>
      <c r="C290" s="6" t="str">
        <v>Google Inc</v>
      </c>
      <c r="D290" s="6" t="str">
        <v>Alphabet Inc</v>
      </c>
      <c r="F290" s="6" t="str">
        <v>United States</v>
      </c>
      <c r="G290" s="6" t="str">
        <v>AppJet Inc</v>
      </c>
      <c r="H290" s="6" t="str">
        <v>Prepackaged Software</v>
      </c>
      <c r="I290" s="6" t="str">
        <v>01506C</v>
      </c>
      <c r="J290" s="6" t="str">
        <v>AppJet Inc</v>
      </c>
      <c r="K290" s="6" t="str">
        <v>AppJet Inc</v>
      </c>
      <c r="L290" s="7">
        <f>=DATE(2009,12,4)</f>
        <v>40150.99949074074</v>
      </c>
      <c r="M290" s="7">
        <f>=DATE(2009,12,4)</f>
        <v>40150.99949074074</v>
      </c>
      <c r="W290" s="6" t="str">
        <v>Programming Services;Internet Services &amp; Software</v>
      </c>
      <c r="X290" s="6" t="str">
        <v>Communication/Network Software;Internet Services &amp; Software</v>
      </c>
      <c r="Y290" s="6" t="str">
        <v>Internet Services &amp; Software;Communication/Network Software</v>
      </c>
      <c r="Z290" s="6" t="str">
        <v>Communication/Network Software;Internet Services &amp; Software</v>
      </c>
      <c r="AA290" s="6" t="str">
        <v>Computer Consulting Services;Programming Services;Telecommunications Equipment;Primary Business not Hi-Tech;Internet Services &amp; Software</v>
      </c>
      <c r="AB290" s="6" t="str">
        <v>Primary Business not Hi-Tech;Computer Consulting Services;Internet Services &amp; Software;Programming Services;Telecommunications Equipment</v>
      </c>
    </row>
    <row r="291">
      <c r="A291" s="6" t="str">
        <v>037833</v>
      </c>
      <c r="B291" s="6" t="str">
        <v>United States</v>
      </c>
      <c r="C291" s="6" t="str">
        <v>Apple Inc</v>
      </c>
      <c r="D291" s="6" t="str">
        <v>Apple Inc</v>
      </c>
      <c r="F291" s="6" t="str">
        <v>United States</v>
      </c>
      <c r="G291" s="6" t="str">
        <v>la la Media Inc</v>
      </c>
      <c r="H291" s="6" t="str">
        <v>Business Services</v>
      </c>
      <c r="I291" s="6" t="str">
        <v>49755M</v>
      </c>
      <c r="J291" s="6" t="str">
        <v>la la Media Inc</v>
      </c>
      <c r="K291" s="6" t="str">
        <v>la la Media Inc</v>
      </c>
      <c r="L291" s="7">
        <f>=DATE(2009,12,4)</f>
        <v>40150.99949074074</v>
      </c>
      <c r="M291" s="7">
        <f>=DATE(2009,12,6)</f>
        <v>40152.99949074074</v>
      </c>
      <c r="W291" s="6" t="str">
        <v>Printers;Monitors/Terminals;Other Peripherals;Disk Drives;Portable Computers;Mainframes &amp; Super Computers;Other Software (inq. Games);Micro-Computers (PCs)</v>
      </c>
      <c r="X291" s="6" t="str">
        <v>Internet Services &amp; Software</v>
      </c>
      <c r="Y291" s="6" t="str">
        <v>Internet Services &amp; Software</v>
      </c>
      <c r="Z291" s="6" t="str">
        <v>Internet Services &amp; Software</v>
      </c>
      <c r="AA291" s="6" t="str">
        <v>Portable Computers;Disk Drives;Printers;Micro-Computers (PCs);Other Software (inq. Games);Mainframes &amp; Super Computers;Other Peripherals;Monitors/Terminals</v>
      </c>
      <c r="AB291" s="6" t="str">
        <v>Printers;Other Software (inq. Games);Disk Drives;Monitors/Terminals;Other Peripherals;Mainframes &amp; Super Computers;Micro-Computers (PCs);Portable Computers</v>
      </c>
    </row>
    <row r="292">
      <c r="A292" s="6" t="str">
        <v>59558H</v>
      </c>
      <c r="B292" s="6" t="str">
        <v>United States</v>
      </c>
      <c r="C292" s="6" t="str">
        <v>Microsoft Corp-Internet Search &amp; Advertising Operations</v>
      </c>
      <c r="D292" s="6" t="str">
        <v>Microsoft Corp</v>
      </c>
      <c r="F292" s="6" t="str">
        <v>United States</v>
      </c>
      <c r="G292" s="6" t="str">
        <v>Yahoo! Inc-Internet Search &amp; Advertising Operations</v>
      </c>
      <c r="H292" s="6" t="str">
        <v>Business Services</v>
      </c>
      <c r="I292" s="6" t="str">
        <v>98700F</v>
      </c>
      <c r="J292" s="6" t="str">
        <v>Yahoo! Inc</v>
      </c>
      <c r="K292" s="6" t="str">
        <v>Yahoo! Inc</v>
      </c>
      <c r="L292" s="7">
        <f>=DATE(2009,12,4)</f>
        <v>40150.99949074074</v>
      </c>
      <c r="M292" s="7">
        <f>=DATE(2009,12,31)</f>
        <v>40177.99949074074</v>
      </c>
      <c r="W292" s="6" t="str">
        <v>Internet Services &amp; Software;Applications Software(Business;Operating Systems;Computer Consulting Services;Monitors/Terminals;Other Peripherals</v>
      </c>
      <c r="X292" s="6" t="str">
        <v>Internet Services &amp; Software</v>
      </c>
      <c r="Y292" s="6" t="str">
        <v>Internet Services &amp; Software</v>
      </c>
      <c r="Z292" s="6" t="str">
        <v>Internet Services &amp; Software</v>
      </c>
      <c r="AA292" s="6" t="str">
        <v>Operating Systems;Computer Consulting Services;Other Peripherals;Monitors/Terminals;Internet Services &amp; Software;Applications Software(Business</v>
      </c>
      <c r="AB292" s="6" t="str">
        <v>Operating Systems;Other Peripherals;Internet Services &amp; Software;Monitors/Terminals;Applications Software(Business;Computer Consulting Services</v>
      </c>
    </row>
    <row r="293">
      <c r="A293" s="6" t="str">
        <v>594918</v>
      </c>
      <c r="B293" s="6" t="str">
        <v>United States</v>
      </c>
      <c r="C293" s="6" t="str">
        <v>Microsoft Corp</v>
      </c>
      <c r="D293" s="6" t="str">
        <v>Microsoft Corp</v>
      </c>
      <c r="F293" s="6" t="str">
        <v>United States</v>
      </c>
      <c r="G293" s="6" t="str">
        <v>Sentillion Inc</v>
      </c>
      <c r="H293" s="6" t="str">
        <v>Prepackaged Software</v>
      </c>
      <c r="I293" s="6" t="str">
        <v>81828W</v>
      </c>
      <c r="J293" s="6" t="str">
        <v>Sentillion Inc</v>
      </c>
      <c r="K293" s="6" t="str">
        <v>Sentillion Inc</v>
      </c>
      <c r="L293" s="7">
        <f>=DATE(2009,12,10)</f>
        <v>40156.99949074074</v>
      </c>
      <c r="M293" s="7">
        <f>=DATE(2010,2,2)</f>
        <v>40210.99949074074</v>
      </c>
      <c r="W293" s="6" t="str">
        <v>Internet Services &amp; Software;Other Peripherals;Computer Consulting Services;Monitors/Terminals;Applications Software(Business;Operating Systems</v>
      </c>
      <c r="X293" s="6" t="str">
        <v>Other Software (inq. Games)</v>
      </c>
      <c r="Y293" s="6" t="str">
        <v>Other Software (inq. Games)</v>
      </c>
      <c r="Z293" s="6" t="str">
        <v>Other Software (inq. Games)</v>
      </c>
      <c r="AA293" s="6" t="str">
        <v>Internet Services &amp; Software;Operating Systems;Computer Consulting Services;Other Peripherals;Applications Software(Business;Monitors/Terminals</v>
      </c>
      <c r="AB293" s="6" t="str">
        <v>Internet Services &amp; Software;Computer Consulting Services;Operating Systems;Applications Software(Business;Monitors/Terminals;Other Peripherals</v>
      </c>
    </row>
    <row r="294">
      <c r="A294" s="6" t="str">
        <v>037833</v>
      </c>
      <c r="B294" s="6" t="str">
        <v>United States</v>
      </c>
      <c r="C294" s="6" t="str">
        <v>Apple Inc</v>
      </c>
      <c r="D294" s="6" t="str">
        <v>Apple Inc</v>
      </c>
      <c r="F294" s="6" t="str">
        <v>United States</v>
      </c>
      <c r="G294" s="6" t="str">
        <v>Quattro Wireless Inc</v>
      </c>
      <c r="H294" s="6" t="str">
        <v>Advertising Services</v>
      </c>
      <c r="I294" s="6" t="str">
        <v>75544Y</v>
      </c>
      <c r="J294" s="6" t="str">
        <v>Quattro Wireless Inc</v>
      </c>
      <c r="K294" s="6" t="str">
        <v>Quattro Wireless Inc</v>
      </c>
      <c r="L294" s="7">
        <f>=DATE(2010,1,5)</f>
        <v>40182.99949074074</v>
      </c>
      <c r="M294" s="7">
        <f>=DATE(2010,1,5)</f>
        <v>40182.99949074074</v>
      </c>
      <c r="W294" s="6" t="str">
        <v>Monitors/Terminals;Mainframes &amp; Super Computers;Disk Drives;Micro-Computers (PCs);Portable Computers;Printers;Other Peripherals;Other Software (inq. Games)</v>
      </c>
      <c r="X294" s="6" t="str">
        <v>Primary Business not Hi-Tech;Cellular Communications</v>
      </c>
      <c r="Y294" s="6" t="str">
        <v>Cellular Communications;Primary Business not Hi-Tech</v>
      </c>
      <c r="Z294" s="6" t="str">
        <v>Cellular Communications;Primary Business not Hi-Tech</v>
      </c>
      <c r="AA294" s="6" t="str">
        <v>Other Peripherals;Mainframes &amp; Super Computers;Monitors/Terminals;Micro-Computers (PCs);Portable Computers;Disk Drives;Printers;Other Software (inq. Games)</v>
      </c>
      <c r="AB294" s="6" t="str">
        <v>Other Peripherals;Monitors/Terminals;Micro-Computers (PCs);Printers;Disk Drives;Mainframes &amp; Super Computers;Portable Computers;Other Software (inq. Games)</v>
      </c>
    </row>
    <row r="295">
      <c r="A295" s="6" t="str">
        <v>052660</v>
      </c>
      <c r="B295" s="6" t="str">
        <v>United States</v>
      </c>
      <c r="C295" s="6" t="str">
        <v>AuthenTec Inc</v>
      </c>
      <c r="D295" s="6" t="str">
        <v>AuthenTec Inc</v>
      </c>
      <c r="F295" s="6" t="str">
        <v>United States</v>
      </c>
      <c r="G295" s="6" t="str">
        <v>UPEK Inc</v>
      </c>
      <c r="H295" s="6" t="str">
        <v>Electronic and Electrical Equipment</v>
      </c>
      <c r="I295" s="6" t="str">
        <v>90415Z</v>
      </c>
      <c r="J295" s="6" t="str">
        <v>UPEK Inc</v>
      </c>
      <c r="K295" s="6" t="str">
        <v>UPEK Inc</v>
      </c>
      <c r="L295" s="7">
        <f>=DATE(2010,1,29)</f>
        <v>40206.99949074074</v>
      </c>
      <c r="M295" s="7">
        <f>=DATE(2010,9,7)</f>
        <v>40427.99949074074</v>
      </c>
      <c r="N295" s="8">
        <v>31.984</v>
      </c>
      <c r="O295" s="8">
        <v>31.984</v>
      </c>
      <c r="W295" s="6" t="str">
        <v>Search, Detection, Navigation;Other Electronics;Semiconductors</v>
      </c>
      <c r="X295" s="6" t="str">
        <v>Other Software (inq. Games);Applications Software(Business;Semiconductors;Other Electronics</v>
      </c>
      <c r="Y295" s="6" t="str">
        <v>Other Software (inq. Games);Applications Software(Business;Semiconductors;Other Electronics</v>
      </c>
      <c r="Z295" s="6" t="str">
        <v>Applications Software(Business;Other Software (inq. Games);Semiconductors;Other Electronics</v>
      </c>
      <c r="AA295" s="6" t="str">
        <v>Semiconductors;Search, Detection, Navigation;Other Electronics</v>
      </c>
      <c r="AB295" s="6" t="str">
        <v>Semiconductors;Search, Detection, Navigation;Other Electronics</v>
      </c>
      <c r="AC295" s="8">
        <v>31.984</v>
      </c>
      <c r="AD295" s="7">
        <f>=DATE(2010,9,7)</f>
        <v>40427.99949074074</v>
      </c>
      <c r="AF295" s="8" t="str">
        <v>31.98</v>
      </c>
      <c r="AG295" s="8" t="str">
        <v>31.98</v>
      </c>
    </row>
    <row r="296">
      <c r="A296" s="6" t="str">
        <v>023135</v>
      </c>
      <c r="B296" s="6" t="str">
        <v>United States</v>
      </c>
      <c r="C296" s="6" t="str">
        <v>Amazon.com Inc</v>
      </c>
      <c r="D296" s="6" t="str">
        <v>Amazon.com Inc</v>
      </c>
      <c r="F296" s="6" t="str">
        <v>United States</v>
      </c>
      <c r="G296" s="6" t="str">
        <v>Touchco Inc</v>
      </c>
      <c r="H296" s="6" t="str">
        <v>Electronic and Electrical Equipment</v>
      </c>
      <c r="I296" s="6" t="str">
        <v>86414C</v>
      </c>
      <c r="J296" s="6" t="str">
        <v>Touchco Inc</v>
      </c>
      <c r="K296" s="6" t="str">
        <v>Touchco Inc</v>
      </c>
      <c r="L296" s="7">
        <f>=DATE(2010,1,31)</f>
        <v>40208.99949074074</v>
      </c>
      <c r="M296" s="7">
        <f>=DATE(2010,1,31)</f>
        <v>40208.99949074074</v>
      </c>
      <c r="W296" s="6" t="str">
        <v>Primary Business not Hi-Tech</v>
      </c>
      <c r="X296" s="6" t="str">
        <v>Other Electronics;Other Computer Related Svcs;Database Software/Programming;Micro-Computers (PCs)</v>
      </c>
      <c r="Y296" s="6" t="str">
        <v>Other Electronics;Other Computer Related Svcs;Database Software/Programming;Micro-Computers (PCs)</v>
      </c>
      <c r="Z296" s="6" t="str">
        <v>Other Computer Related Svcs;Other Electronics;Micro-Computers (PCs);Database Software/Programming</v>
      </c>
      <c r="AA296" s="6" t="str">
        <v>Primary Business not Hi-Tech</v>
      </c>
      <c r="AB296" s="6" t="str">
        <v>Primary Business not Hi-Tech</v>
      </c>
    </row>
    <row r="297">
      <c r="A297" s="6" t="str">
        <v>00507V</v>
      </c>
      <c r="B297" s="6" t="str">
        <v>United States</v>
      </c>
      <c r="C297" s="6" t="str">
        <v>Activision Blizzard Inc</v>
      </c>
      <c r="D297" s="6" t="str">
        <v>Vivendi SE</v>
      </c>
      <c r="F297" s="6" t="str">
        <v>United States</v>
      </c>
      <c r="G297" s="6" t="str">
        <v>Activision Blizzard Inc</v>
      </c>
      <c r="H297" s="6" t="str">
        <v>Prepackaged Software</v>
      </c>
      <c r="I297" s="6" t="str">
        <v>00507V</v>
      </c>
      <c r="J297" s="6" t="str">
        <v>Vivendi SE</v>
      </c>
      <c r="K297" s="6" t="str">
        <v>Vivendi SE</v>
      </c>
      <c r="L297" s="7">
        <f>=DATE(2010,2,10)</f>
        <v>40218.99949074074</v>
      </c>
      <c r="M297" s="7">
        <f>=DATE(2010,12,31)</f>
        <v>40542.99949074074</v>
      </c>
      <c r="N297" s="8">
        <v>966</v>
      </c>
      <c r="O297" s="8">
        <v>966</v>
      </c>
      <c r="P297" s="8" t="str">
        <v>11,397.44</v>
      </c>
      <c r="R297" s="8">
        <v>-287</v>
      </c>
      <c r="S297" s="8">
        <v>1557</v>
      </c>
      <c r="T297" s="8">
        <v>-246</v>
      </c>
      <c r="U297" s="8">
        <v>-145</v>
      </c>
      <c r="V297" s="8">
        <v>813</v>
      </c>
      <c r="W297" s="6" t="str">
        <v>Other Computer Systems;Other Software (inq. Games);Operating Systems</v>
      </c>
      <c r="X297" s="6" t="str">
        <v>Other Computer Systems;Other Software (inq. Games);Operating Systems</v>
      </c>
      <c r="Y297" s="6" t="str">
        <v>Other Software (inq. Games);Primary Business not Hi-Tech;Internet Services &amp; Software</v>
      </c>
      <c r="Z297" s="6" t="str">
        <v>Primary Business not Hi-Tech;Other Software (inq. Games);Internet Services &amp; Software</v>
      </c>
      <c r="AA297" s="6" t="str">
        <v>Other Software (inq. Games);Primary Business not Hi-Tech;Internet Services &amp; Software</v>
      </c>
      <c r="AB297" s="6" t="str">
        <v>Internet Services &amp; Software;Primary Business not Hi-Tech;Other Software (inq. Games)</v>
      </c>
      <c r="AC297" s="8">
        <v>966</v>
      </c>
      <c r="AD297" s="7">
        <f>=DATE(2010,12,31)</f>
        <v>40542.99949074074</v>
      </c>
      <c r="AF297" s="8" t="str">
        <v>11,397.44</v>
      </c>
      <c r="AG297" s="8" t="str">
        <v>11,397.44</v>
      </c>
    </row>
    <row r="298">
      <c r="A298" s="6" t="str">
        <v>38259P</v>
      </c>
      <c r="B298" s="6" t="str">
        <v>United States</v>
      </c>
      <c r="C298" s="6" t="str">
        <v>Google Inc</v>
      </c>
      <c r="D298" s="6" t="str">
        <v>Alphabet Inc</v>
      </c>
      <c r="F298" s="6" t="str">
        <v>United States</v>
      </c>
      <c r="G298" s="6" t="str">
        <v>Mechanical Zoo Inc</v>
      </c>
      <c r="H298" s="6" t="str">
        <v>Business Services</v>
      </c>
      <c r="I298" s="6" t="str">
        <v>58357C</v>
      </c>
      <c r="J298" s="6" t="str">
        <v>Mechanical Zoo Inc</v>
      </c>
      <c r="K298" s="6" t="str">
        <v>Mechanical Zoo Inc</v>
      </c>
      <c r="L298" s="7">
        <f>=DATE(2010,2,11)</f>
        <v>40219.99949074074</v>
      </c>
      <c r="M298" s="7">
        <f>=DATE(2010,2,11)</f>
        <v>40219.99949074074</v>
      </c>
      <c r="W298" s="6" t="str">
        <v>Internet Services &amp; Software;Programming Services</v>
      </c>
      <c r="X298" s="6" t="str">
        <v>Internet Services &amp; Software</v>
      </c>
      <c r="Y298" s="6" t="str">
        <v>Internet Services &amp; Software</v>
      </c>
      <c r="Z298" s="6" t="str">
        <v>Internet Services &amp; Software</v>
      </c>
      <c r="AA298" s="6" t="str">
        <v>Computer Consulting Services;Internet Services &amp; Software;Primary Business not Hi-Tech;Programming Services;Telecommunications Equipment</v>
      </c>
      <c r="AB298" s="6" t="str">
        <v>Internet Services &amp; Software;Telecommunications Equipment;Primary Business not Hi-Tech;Computer Consulting Services;Programming Services</v>
      </c>
    </row>
    <row r="299">
      <c r="A299" s="6" t="str">
        <v>67020Y</v>
      </c>
      <c r="B299" s="6" t="str">
        <v>United States</v>
      </c>
      <c r="C299" s="6" t="str">
        <v>Nuance Communications Inc</v>
      </c>
      <c r="D299" s="6" t="str">
        <v>Nuance Communications Inc</v>
      </c>
      <c r="F299" s="6" t="str">
        <v>United States</v>
      </c>
      <c r="G299" s="6" t="str">
        <v>MacSpeech Inc</v>
      </c>
      <c r="H299" s="6" t="str">
        <v>Prepackaged Software</v>
      </c>
      <c r="I299" s="6" t="str">
        <v>55691V</v>
      </c>
      <c r="J299" s="6" t="str">
        <v>MacSpeech Inc</v>
      </c>
      <c r="K299" s="6" t="str">
        <v>MacSpeech Inc</v>
      </c>
      <c r="L299" s="7">
        <f>=DATE(2010,2,16)</f>
        <v>40224.99949074074</v>
      </c>
      <c r="M299" s="7">
        <f>=DATE(2010,2,16)</f>
        <v>40224.99949074074</v>
      </c>
      <c r="W299" s="6" t="str">
        <v>Programming Services;Computer Consulting Services;Database Software/Programming;Utilities/File Mgmt Software;Primary Business not Hi-Tech;Networking Systems (LAN,WAN);Other Software (inq. Games);Desktop Publishing;Internet Services &amp; Software;Other Computer Related Svcs;Applications Software(Home);Communication/Network Software;Applications Software(Business</v>
      </c>
      <c r="X299" s="6" t="str">
        <v>Other Software (inq. Games);Internet Services &amp; Software</v>
      </c>
      <c r="Y299" s="6" t="str">
        <v>Other Software (inq. Games);Internet Services &amp; Software</v>
      </c>
      <c r="Z299" s="6" t="str">
        <v>Internet Services &amp; Software;Other Software (inq. Games)</v>
      </c>
      <c r="AA299" s="6" t="str">
        <v>Communication/Network Software;Applications Software(Business;Database Software/Programming;Internet Services &amp; Software;Primary Business not Hi-Tech;Other Software (inq. Games);Utilities/File Mgmt Software;Other Computer Related Svcs;Desktop Publishing;Applications Software(Home);Networking Systems (LAN,WAN);Computer Consulting Services;Programming Services</v>
      </c>
      <c r="AB299" s="6" t="str">
        <v>Utilities/File Mgmt Software;Communication/Network Software;Programming Services;Applications Software(Home);Networking Systems (LAN,WAN);Internet Services &amp; Software;Other Software (inq. Games);Computer Consulting Services;Database Software/Programming;Primary Business not Hi-Tech;Desktop Publishing;Applications Software(Business;Other Computer Related Svcs</v>
      </c>
    </row>
    <row r="300">
      <c r="A300" s="6" t="str">
        <v>38259P</v>
      </c>
      <c r="B300" s="6" t="str">
        <v>United States</v>
      </c>
      <c r="C300" s="6" t="str">
        <v>Google Inc</v>
      </c>
      <c r="D300" s="6" t="str">
        <v>Alphabet Inc</v>
      </c>
      <c r="F300" s="6" t="str">
        <v>United States</v>
      </c>
      <c r="G300" s="6" t="str">
        <v>reMail</v>
      </c>
      <c r="H300" s="6" t="str">
        <v>Prepackaged Software</v>
      </c>
      <c r="I300" s="6" t="str">
        <v>76394T</v>
      </c>
      <c r="J300" s="6" t="str">
        <v>reMail</v>
      </c>
      <c r="K300" s="6" t="str">
        <v>reMail</v>
      </c>
      <c r="L300" s="7">
        <f>=DATE(2010,2,17)</f>
        <v>40225.99949074074</v>
      </c>
      <c r="M300" s="7">
        <f>=DATE(2010,2,17)</f>
        <v>40225.99949074074</v>
      </c>
      <c r="W300" s="6" t="str">
        <v>Programming Services;Internet Services &amp; Software</v>
      </c>
      <c r="X300" s="6" t="str">
        <v>Other Software (inq. Games)</v>
      </c>
      <c r="Y300" s="6" t="str">
        <v>Other Software (inq. Games)</v>
      </c>
      <c r="Z300" s="6" t="str">
        <v>Other Software (inq. Games)</v>
      </c>
      <c r="AA300" s="6" t="str">
        <v>Programming Services;Primary Business not Hi-Tech;Telecommunications Equipment;Computer Consulting Services;Internet Services &amp; Software</v>
      </c>
      <c r="AB300" s="6" t="str">
        <v>Internet Services &amp; Software;Primary Business not Hi-Tech;Computer Consulting Services;Telecommunications Equipment;Programming Services</v>
      </c>
    </row>
    <row r="301">
      <c r="A301" s="6" t="str">
        <v>052660</v>
      </c>
      <c r="B301" s="6" t="str">
        <v>United States</v>
      </c>
      <c r="C301" s="6" t="str">
        <v>AuthenTec Inc</v>
      </c>
      <c r="D301" s="6" t="str">
        <v>AuthenTec Inc</v>
      </c>
      <c r="F301" s="6" t="str">
        <v>United States</v>
      </c>
      <c r="G301" s="6" t="str">
        <v>SafeNet Inc-Embedded Security Business</v>
      </c>
      <c r="H301" s="6" t="str">
        <v>Prepackaged Software</v>
      </c>
      <c r="I301" s="6" t="str">
        <v>78953Q</v>
      </c>
      <c r="J301" s="6" t="str">
        <v>Vector Capital Corp</v>
      </c>
      <c r="K301" s="6" t="str">
        <v>SafeNet Inc</v>
      </c>
      <c r="L301" s="7">
        <f>=DATE(2010,2,26)</f>
        <v>40234.99949074074</v>
      </c>
      <c r="M301" s="7">
        <f>=DATE(2010,2,26)</f>
        <v>40234.99949074074</v>
      </c>
      <c r="N301" s="8">
        <v>13.799</v>
      </c>
      <c r="O301" s="8">
        <v>13.799</v>
      </c>
      <c r="R301" s="8">
        <v>7.043</v>
      </c>
      <c r="S301" s="8">
        <v>19.258</v>
      </c>
      <c r="T301" s="8">
        <v>-5.07</v>
      </c>
      <c r="U301" s="8">
        <v>-0.094</v>
      </c>
      <c r="V301" s="8">
        <v>5.406</v>
      </c>
      <c r="W301" s="6" t="str">
        <v>Semiconductors;Search, Detection, Navigation;Other Electronics</v>
      </c>
      <c r="X301" s="6" t="str">
        <v>Applications Software(Business</v>
      </c>
      <c r="Y301" s="6" t="str">
        <v>Applications Software(Business;Other Electronics;Semiconductors;Other Computer Systems;Communication/Network Software;Internet Services &amp; Software;Other Software (inq. Games)</v>
      </c>
      <c r="Z301" s="6" t="str">
        <v>Primary Business not Hi-Tech</v>
      </c>
      <c r="AA301" s="6" t="str">
        <v>Other Electronics;Search, Detection, Navigation;Semiconductors</v>
      </c>
      <c r="AB301" s="6" t="str">
        <v>Search, Detection, Navigation;Semiconductors;Other Electronics</v>
      </c>
      <c r="AC301" s="8">
        <v>13.799</v>
      </c>
      <c r="AD301" s="7">
        <f>=DATE(2010,2,26)</f>
        <v>40234.99949074074</v>
      </c>
    </row>
    <row r="302">
      <c r="A302" s="6" t="str">
        <v>67020Y</v>
      </c>
      <c r="B302" s="6" t="str">
        <v>United States</v>
      </c>
      <c r="C302" s="6" t="str">
        <v>Nuance Communications Inc</v>
      </c>
      <c r="D302" s="6" t="str">
        <v>Nuance Communications Inc</v>
      </c>
      <c r="F302" s="6" t="str">
        <v>United States</v>
      </c>
      <c r="G302" s="6" t="str">
        <v>Language &amp; Computing Inc</v>
      </c>
      <c r="H302" s="6" t="str">
        <v>Prepackaged Software</v>
      </c>
      <c r="I302" s="6" t="str">
        <v>51583Q</v>
      </c>
      <c r="J302" s="6" t="str">
        <v>Language &amp; Computing Inc</v>
      </c>
      <c r="K302" s="6" t="str">
        <v>Language &amp; Computing Inc</v>
      </c>
      <c r="L302" s="7">
        <f>=DATE(2010,3,1)</f>
        <v>40237.99949074074</v>
      </c>
      <c r="M302" s="7">
        <f>=DATE(2010,3,1)</f>
        <v>40237.99949074074</v>
      </c>
      <c r="N302" s="8">
        <v>13.39</v>
      </c>
      <c r="O302" s="8">
        <v>13.39</v>
      </c>
      <c r="W302" s="6" t="str">
        <v>Internet Services &amp; Software;Communication/Network Software;Other Computer Related Svcs;Other Software (inq. Games);Desktop Publishing;Primary Business not Hi-Tech;Programming Services;Applications Software(Business;Utilities/File Mgmt Software;Database Software/Programming;Networking Systems (LAN,WAN);Applications Software(Home);Computer Consulting Services</v>
      </c>
      <c r="X302" s="6" t="str">
        <v>Other Software (inq. Games)</v>
      </c>
      <c r="Y302" s="6" t="str">
        <v>Other Software (inq. Games)</v>
      </c>
      <c r="Z302" s="6" t="str">
        <v>Other Software (inq. Games)</v>
      </c>
      <c r="AA302" s="6" t="str">
        <v>Programming Services;Primary Business not Hi-Tech;Database Software/Programming;Applications Software(Business;Computer Consulting Services;Networking Systems (LAN,WAN);Utilities/File Mgmt Software;Internet Services &amp; Software;Other Computer Related Svcs;Other Software (inq. Games);Applications Software(Home);Desktop Publishing;Communication/Network Software</v>
      </c>
      <c r="AB302" s="6" t="str">
        <v>Applications Software(Home);Desktop Publishing;Utilities/File Mgmt Software;Other Software (inq. Games);Primary Business not Hi-Tech;Programming Services;Database Software/Programming;Communication/Network Software;Applications Software(Business;Networking Systems (LAN,WAN);Internet Services &amp; Software;Other Computer Related Svcs;Computer Consulting Services</v>
      </c>
      <c r="AC302" s="8">
        <v>13.39</v>
      </c>
      <c r="AD302" s="7">
        <f>=DATE(2010,3,1)</f>
        <v>40237.99949074074</v>
      </c>
    </row>
    <row r="303">
      <c r="A303" s="6" t="str">
        <v>38259P</v>
      </c>
      <c r="B303" s="6" t="str">
        <v>United States</v>
      </c>
      <c r="C303" s="6" t="str">
        <v>Google Inc</v>
      </c>
      <c r="D303" s="6" t="str">
        <v>Alphabet Inc</v>
      </c>
      <c r="F303" s="6" t="str">
        <v>United States</v>
      </c>
      <c r="G303" s="6" t="str">
        <v>Picnik.com</v>
      </c>
      <c r="H303" s="6" t="str">
        <v>Prepackaged Software</v>
      </c>
      <c r="I303" s="6" t="str">
        <v>69768R</v>
      </c>
      <c r="J303" s="6" t="str">
        <v>Picnik.com</v>
      </c>
      <c r="K303" s="6" t="str">
        <v>Picnik.com</v>
      </c>
      <c r="L303" s="7">
        <f>=DATE(2010,3,1)</f>
        <v>40237.99949074074</v>
      </c>
      <c r="M303" s="7">
        <f>=DATE(2010,3,1)</f>
        <v>40237.99949074074</v>
      </c>
      <c r="N303" s="8">
        <v>5</v>
      </c>
      <c r="O303" s="8">
        <v>5</v>
      </c>
      <c r="W303" s="6" t="str">
        <v>Internet Services &amp; Software;Programming Services</v>
      </c>
      <c r="X303" s="6" t="str">
        <v>Internet Services &amp; Software</v>
      </c>
      <c r="Y303" s="6" t="str">
        <v>Internet Services &amp; Software</v>
      </c>
      <c r="Z303" s="6" t="str">
        <v>Internet Services &amp; Software</v>
      </c>
      <c r="AA303" s="6" t="str">
        <v>Computer Consulting Services;Primary Business not Hi-Tech;Internet Services &amp; Software;Telecommunications Equipment;Programming Services</v>
      </c>
      <c r="AB303" s="6" t="str">
        <v>Internet Services &amp; Software;Telecommunications Equipment;Computer Consulting Services;Primary Business not Hi-Tech;Programming Services</v>
      </c>
      <c r="AC303" s="8">
        <v>5</v>
      </c>
      <c r="AD303" s="7">
        <f>=DATE(2010,3,1)</f>
        <v>40237.99949074074</v>
      </c>
    </row>
    <row r="304">
      <c r="A304" s="6" t="str">
        <v>38259P</v>
      </c>
      <c r="B304" s="6" t="str">
        <v>United States</v>
      </c>
      <c r="C304" s="6" t="str">
        <v>Google Inc</v>
      </c>
      <c r="D304" s="6" t="str">
        <v>Alphabet Inc</v>
      </c>
      <c r="F304" s="6" t="str">
        <v>United States</v>
      </c>
      <c r="G304" s="6" t="str">
        <v>DocVerse Inc</v>
      </c>
      <c r="H304" s="6" t="str">
        <v>Prepackaged Software</v>
      </c>
      <c r="I304" s="6" t="str">
        <v>25602Z</v>
      </c>
      <c r="J304" s="6" t="str">
        <v>DocVerse Inc</v>
      </c>
      <c r="K304" s="6" t="str">
        <v>DocVerse Inc</v>
      </c>
      <c r="L304" s="7">
        <f>=DATE(2010,3,5)</f>
        <v>40241.99949074074</v>
      </c>
      <c r="M304" s="7">
        <f>=DATE(2010,3,5)</f>
        <v>40241.99949074074</v>
      </c>
      <c r="W304" s="6" t="str">
        <v>Programming Services;Internet Services &amp; Software</v>
      </c>
      <c r="X304" s="6" t="str">
        <v>Internet Services &amp; Software;Communication/Network Software</v>
      </c>
      <c r="Y304" s="6" t="str">
        <v>Internet Services &amp; Software;Communication/Network Software</v>
      </c>
      <c r="Z304" s="6" t="str">
        <v>Internet Services &amp; Software;Communication/Network Software</v>
      </c>
      <c r="AA304" s="6" t="str">
        <v>Telecommunications Equipment;Computer Consulting Services;Programming Services;Primary Business not Hi-Tech;Internet Services &amp; Software</v>
      </c>
      <c r="AB304" s="6" t="str">
        <v>Primary Business not Hi-Tech;Internet Services &amp; Software;Telecommunications Equipment;Programming Services;Computer Consulting Services</v>
      </c>
    </row>
    <row r="305">
      <c r="A305" s="6" t="str">
        <v>38259P</v>
      </c>
      <c r="B305" s="6" t="str">
        <v>United States</v>
      </c>
      <c r="C305" s="6" t="str">
        <v>Google Inc</v>
      </c>
      <c r="D305" s="6" t="str">
        <v>Alphabet Inc</v>
      </c>
      <c r="F305" s="6" t="str">
        <v>United States</v>
      </c>
      <c r="G305" s="6" t="str">
        <v>Episodic Inc</v>
      </c>
      <c r="H305" s="6" t="str">
        <v>Business Services</v>
      </c>
      <c r="I305" s="6" t="str">
        <v>30031L</v>
      </c>
      <c r="J305" s="6" t="str">
        <v>Episodic Inc</v>
      </c>
      <c r="K305" s="6" t="str">
        <v>Episodic Inc</v>
      </c>
      <c r="L305" s="7">
        <f>=DATE(2010,4,2)</f>
        <v>40269.99949074074</v>
      </c>
      <c r="M305" s="7">
        <f>=DATE(2010,4,2)</f>
        <v>40269.99949074074</v>
      </c>
      <c r="W305" s="6" t="str">
        <v>Internet Services &amp; Software;Programming Services</v>
      </c>
      <c r="X305" s="6" t="str">
        <v>Internet Services &amp; Software</v>
      </c>
      <c r="Y305" s="6" t="str">
        <v>Internet Services &amp; Software</v>
      </c>
      <c r="Z305" s="6" t="str">
        <v>Internet Services &amp; Software</v>
      </c>
      <c r="AA305" s="6" t="str">
        <v>Telecommunications Equipment;Primary Business not Hi-Tech;Internet Services &amp; Software;Programming Services;Computer Consulting Services</v>
      </c>
      <c r="AB305" s="6" t="str">
        <v>Telecommunications Equipment;Programming Services;Internet Services &amp; Software;Primary Business not Hi-Tech;Computer Consulting Services</v>
      </c>
    </row>
    <row r="306">
      <c r="A306" s="6" t="str">
        <v>38259P</v>
      </c>
      <c r="B306" s="6" t="str">
        <v>United States</v>
      </c>
      <c r="C306" s="6" t="str">
        <v>Google Inc</v>
      </c>
      <c r="D306" s="6" t="str">
        <v>Alphabet Inc</v>
      </c>
      <c r="F306" s="6" t="str">
        <v>United States</v>
      </c>
      <c r="G306" s="6" t="str">
        <v>Agnilux Inc</v>
      </c>
      <c r="H306" s="6" t="str">
        <v>Business Services</v>
      </c>
      <c r="I306" s="6" t="str">
        <v>63955J</v>
      </c>
      <c r="J306" s="6" t="str">
        <v>Apple Inc</v>
      </c>
      <c r="K306" s="6" t="str">
        <v>Apple Inc</v>
      </c>
      <c r="L306" s="7">
        <f>=DATE(2010,4,21)</f>
        <v>40288.99949074074</v>
      </c>
      <c r="M306" s="7">
        <f>=DATE(2010,4,21)</f>
        <v>40288.99949074074</v>
      </c>
      <c r="W306" s="6" t="str">
        <v>Programming Services;Internet Services &amp; Software</v>
      </c>
      <c r="X306" s="6" t="str">
        <v>Applications Software(Business;Other Software (inq. Games);Data Processing Services;Computer Consulting Services;Other Computer Related Svcs</v>
      </c>
      <c r="Y306" s="6" t="str">
        <v>Disk Drives;Portable Computers;Micro-Computers (PCs);Other Software (inq. Games);Printers;Other Peripherals;Mainframes &amp; Super Computers;Monitors/Terminals</v>
      </c>
      <c r="Z306" s="6" t="str">
        <v>Other Peripherals;Micro-Computers (PCs);Portable Computers;Other Software (inq. Games);Mainframes &amp; Super Computers;Monitors/Terminals;Disk Drives;Printers</v>
      </c>
      <c r="AA306" s="6" t="str">
        <v>Internet Services &amp; Software;Telecommunications Equipment;Computer Consulting Services;Programming Services;Primary Business not Hi-Tech</v>
      </c>
      <c r="AB306" s="6" t="str">
        <v>Telecommunications Equipment;Programming Services;Primary Business not Hi-Tech;Computer Consulting Services;Internet Services &amp; Software</v>
      </c>
    </row>
    <row r="307">
      <c r="A307" s="6" t="str">
        <v>01864J</v>
      </c>
      <c r="B307" s="6" t="str">
        <v>United States</v>
      </c>
      <c r="C307" s="6" t="str">
        <v>Avanade Inc</v>
      </c>
      <c r="D307" s="6" t="str">
        <v>Accenture PLC</v>
      </c>
      <c r="F307" s="6" t="str">
        <v>United States</v>
      </c>
      <c r="G307" s="6" t="str">
        <v>Ascentium Corp-US Microsoft Dynamics CRM Business</v>
      </c>
      <c r="H307" s="6" t="str">
        <v>Business Services</v>
      </c>
      <c r="I307" s="6" t="str">
        <v>04440V</v>
      </c>
      <c r="J307" s="6" t="str">
        <v>Ascentium Corp</v>
      </c>
      <c r="K307" s="6" t="str">
        <v>Ascentium Corp</v>
      </c>
      <c r="L307" s="7">
        <f>=DATE(2010,4,23)</f>
        <v>40290.99949074074</v>
      </c>
      <c r="M307" s="7">
        <f>=DATE(2010,5,18)</f>
        <v>40315.99949074074</v>
      </c>
      <c r="W307" s="6" t="str">
        <v>Other Computer Related Svcs;Computer Consulting Services;Other Software (inq. Games)</v>
      </c>
      <c r="X307" s="6" t="str">
        <v>Computer Consulting Services;Applications Software(Business;Internet Services &amp; Software</v>
      </c>
      <c r="Y307" s="6" t="str">
        <v>Computer Consulting Services;Applications Software(Business;Internet Services &amp; Software</v>
      </c>
      <c r="Z307" s="6" t="str">
        <v>Computer Consulting Services;Internet Services &amp; Software;Applications Software(Business</v>
      </c>
      <c r="AA307" s="6" t="str">
        <v>Desktop Publishing;Networking Systems (LAN,WAN);Applications Software(Home);Utilities/File Mgmt Software;Primary Business not Hi-Tech;CAD/CAM/CAE/Graphics Systems;Communication/Network Software;Data Commun(Exclude networking;Workstations;Other Computer Systems;Internet Services &amp; Software;Data Processing Services;Other Computer Related Svcs;Computer Consulting Services;Applications Software(Business;Operating Systems;Turnkey Systems;Other Software (inq. Games)</v>
      </c>
      <c r="AB307" s="6" t="str">
        <v>Other Computer Related Svcs;Applications Software(Business;Workstations;Internet Services &amp; Software;Communication/Network Software;Other Software (inq. Games);Data Commun(Exclude networking;Primary Business not Hi-Tech;Other Computer Systems;CAD/CAM/CAE/Graphics Systems;Networking Systems (LAN,WAN);Data Processing Services;Operating Systems;Computer Consulting Services;Applications Software(Home);Desktop Publishing;Utilities/File Mgmt Software;Turnkey Systems</v>
      </c>
    </row>
    <row r="308">
      <c r="A308" s="6" t="str">
        <v>037833</v>
      </c>
      <c r="B308" s="6" t="str">
        <v>United States</v>
      </c>
      <c r="C308" s="6" t="str">
        <v>Apple Inc</v>
      </c>
      <c r="D308" s="6" t="str">
        <v>Apple Inc</v>
      </c>
      <c r="F308" s="6" t="str">
        <v>United States</v>
      </c>
      <c r="G308" s="6" t="str">
        <v>SIRI Inc</v>
      </c>
      <c r="H308" s="6" t="str">
        <v>Prepackaged Software</v>
      </c>
      <c r="I308" s="6" t="str">
        <v>78967T</v>
      </c>
      <c r="J308" s="6" t="str">
        <v>SIRI Inc</v>
      </c>
      <c r="K308" s="6" t="str">
        <v>SIRI Inc</v>
      </c>
      <c r="L308" s="7">
        <f>=DATE(2010,4,28)</f>
        <v>40295.99949074074</v>
      </c>
      <c r="M308" s="7">
        <f>=DATE(2010,4,28)</f>
        <v>40295.99949074074</v>
      </c>
      <c r="W308" s="6" t="str">
        <v>Other Software (inq. Games);Monitors/Terminals;Disk Drives;Other Peripherals;Micro-Computers (PCs);Mainframes &amp; Super Computers;Printers;Portable Computers</v>
      </c>
      <c r="X308" s="6" t="str">
        <v>Internet Services &amp; Software;Communication/Network Software</v>
      </c>
      <c r="Y308" s="6" t="str">
        <v>Internet Services &amp; Software;Communication/Network Software</v>
      </c>
      <c r="Z308" s="6" t="str">
        <v>Internet Services &amp; Software;Communication/Network Software</v>
      </c>
      <c r="AA308" s="6" t="str">
        <v>Other Peripherals;Other Software (inq. Games);Mainframes &amp; Super Computers;Monitors/Terminals;Printers;Micro-Computers (PCs);Disk Drives;Portable Computers</v>
      </c>
      <c r="AB308" s="6" t="str">
        <v>Micro-Computers (PCs);Printers;Disk Drives;Other Software (inq. Games);Portable Computers;Mainframes &amp; Super Computers;Other Peripherals;Monitors/Terminals</v>
      </c>
    </row>
    <row r="309">
      <c r="A309" s="6" t="str">
        <v>17406P</v>
      </c>
      <c r="B309" s="6" t="str">
        <v>United States</v>
      </c>
      <c r="C309" s="6" t="str">
        <v>ChoiceVendor Inc</v>
      </c>
      <c r="D309" s="6" t="str">
        <v>ChoiceVendor Inc</v>
      </c>
      <c r="F309" s="6" t="str">
        <v>United States</v>
      </c>
      <c r="G309" s="6" t="str">
        <v>VendorCity</v>
      </c>
      <c r="H309" s="6" t="str">
        <v>Business Services</v>
      </c>
      <c r="I309" s="6" t="str">
        <v>92428L</v>
      </c>
      <c r="J309" s="6" t="str">
        <v>VendorCity</v>
      </c>
      <c r="K309" s="6" t="str">
        <v>VendorCity</v>
      </c>
      <c r="L309" s="7">
        <f>=DATE(2010,5,3)</f>
        <v>40300.99949074074</v>
      </c>
      <c r="M309" s="7">
        <f>=DATE(2010,5,3)</f>
        <v>40300.99949074074</v>
      </c>
      <c r="W309" s="6" t="str">
        <v>Internet Services &amp; Software</v>
      </c>
      <c r="X309" s="6" t="str">
        <v>Internet Services &amp; Software</v>
      </c>
      <c r="Y309" s="6" t="str">
        <v>Internet Services &amp; Software</v>
      </c>
      <c r="Z309" s="6" t="str">
        <v>Internet Services &amp; Software</v>
      </c>
      <c r="AA309" s="6" t="str">
        <v>Internet Services &amp; Software</v>
      </c>
      <c r="AB309" s="6" t="str">
        <v>Internet Services &amp; Software</v>
      </c>
    </row>
    <row r="310">
      <c r="A310" s="6" t="str">
        <v>38259P</v>
      </c>
      <c r="B310" s="6" t="str">
        <v>United States</v>
      </c>
      <c r="C310" s="6" t="str">
        <v>Google Inc</v>
      </c>
      <c r="D310" s="6" t="str">
        <v>Alphabet Inc</v>
      </c>
      <c r="F310" s="6" t="str">
        <v>United States</v>
      </c>
      <c r="G310" s="6" t="str">
        <v>Ruba Inc</v>
      </c>
      <c r="H310" s="6" t="str">
        <v>Business Services</v>
      </c>
      <c r="I310" s="6" t="str">
        <v>78088Q</v>
      </c>
      <c r="J310" s="6" t="str">
        <v>Ruba Inc</v>
      </c>
      <c r="K310" s="6" t="str">
        <v>Ruba Inc</v>
      </c>
      <c r="L310" s="7">
        <f>=DATE(2010,5,21)</f>
        <v>40318.99949074074</v>
      </c>
      <c r="M310" s="7">
        <f>=DATE(2010,5,21)</f>
        <v>40318.99949074074</v>
      </c>
      <c r="W310" s="6" t="str">
        <v>Internet Services &amp; Software;Programming Services</v>
      </c>
      <c r="X310" s="6" t="str">
        <v>Internet Services &amp; Software</v>
      </c>
      <c r="Y310" s="6" t="str">
        <v>Internet Services &amp; Software</v>
      </c>
      <c r="Z310" s="6" t="str">
        <v>Internet Services &amp; Software</v>
      </c>
      <c r="AA310" s="6" t="str">
        <v>Internet Services &amp; Software;Computer Consulting Services;Primary Business not Hi-Tech;Telecommunications Equipment;Programming Services</v>
      </c>
      <c r="AB310" s="6" t="str">
        <v>Telecommunications Equipment;Programming Services;Internet Services &amp; Software;Primary Business not Hi-Tech;Computer Consulting Services</v>
      </c>
    </row>
    <row r="311">
      <c r="A311" s="6" t="str">
        <v>38259P</v>
      </c>
      <c r="B311" s="6" t="str">
        <v>United States</v>
      </c>
      <c r="C311" s="6" t="str">
        <v>Google Inc</v>
      </c>
      <c r="D311" s="6" t="str">
        <v>Alphabet Inc</v>
      </c>
      <c r="F311" s="6" t="str">
        <v>United States</v>
      </c>
      <c r="G311" s="6" t="str">
        <v>Simplify Media Inc</v>
      </c>
      <c r="H311" s="6" t="str">
        <v>Business Services</v>
      </c>
      <c r="I311" s="6" t="str">
        <v>83854T</v>
      </c>
      <c r="J311" s="6" t="str">
        <v>Simplify Media Inc</v>
      </c>
      <c r="K311" s="6" t="str">
        <v>Simplify Media Inc</v>
      </c>
      <c r="L311" s="7">
        <f>=DATE(2010,5,21)</f>
        <v>40318.99949074074</v>
      </c>
      <c r="M311" s="7">
        <f>=DATE(2010,5,21)</f>
        <v>40318.99949074074</v>
      </c>
      <c r="W311" s="6" t="str">
        <v>Programming Services;Internet Services &amp; Software</v>
      </c>
      <c r="X311" s="6" t="str">
        <v>Internet Services &amp; Software</v>
      </c>
      <c r="Y311" s="6" t="str">
        <v>Internet Services &amp; Software</v>
      </c>
      <c r="Z311" s="6" t="str">
        <v>Internet Services &amp; Software</v>
      </c>
      <c r="AA311" s="6" t="str">
        <v>Primary Business not Hi-Tech;Telecommunications Equipment;Internet Services &amp; Software;Programming Services;Computer Consulting Services</v>
      </c>
      <c r="AB311" s="6" t="str">
        <v>Programming Services;Computer Consulting Services;Telecommunications Equipment;Primary Business not Hi-Tech;Internet Services &amp; Software</v>
      </c>
    </row>
    <row r="312">
      <c r="A312" s="6" t="str">
        <v>30303M</v>
      </c>
      <c r="B312" s="6" t="str">
        <v>United States</v>
      </c>
      <c r="C312" s="6" t="str">
        <v>Facebook Inc</v>
      </c>
      <c r="D312" s="6" t="str">
        <v>Facebook Inc</v>
      </c>
      <c r="F312" s="6" t="str">
        <v>United States</v>
      </c>
      <c r="G312" s="6" t="str">
        <v>Sharegrove Inc</v>
      </c>
      <c r="H312" s="6" t="str">
        <v>Business Services</v>
      </c>
      <c r="I312" s="6" t="str">
        <v>81485M</v>
      </c>
      <c r="J312" s="6" t="str">
        <v>Sharegrove Inc</v>
      </c>
      <c r="K312" s="6" t="str">
        <v>Sharegrove Inc</v>
      </c>
      <c r="L312" s="7">
        <f>=DATE(2010,5,26)</f>
        <v>40323.99949074074</v>
      </c>
      <c r="M312" s="7">
        <f>=DATE(2010,5,26)</f>
        <v>40323.99949074074</v>
      </c>
      <c r="W312" s="6" t="str">
        <v>Internet Services &amp; Software</v>
      </c>
      <c r="X312" s="6" t="str">
        <v>Internet Services &amp; Software</v>
      </c>
      <c r="Y312" s="6" t="str">
        <v>Internet Services &amp; Software</v>
      </c>
      <c r="Z312" s="6" t="str">
        <v>Internet Services &amp; Software</v>
      </c>
      <c r="AA312" s="6" t="str">
        <v>Internet Services &amp; Software</v>
      </c>
      <c r="AB312" s="6" t="str">
        <v>Internet Services &amp; Software</v>
      </c>
    </row>
    <row r="313">
      <c r="A313" s="6" t="str">
        <v>67020Y</v>
      </c>
      <c r="B313" s="6" t="str">
        <v>United States</v>
      </c>
      <c r="C313" s="6" t="str">
        <v>Nuance Communications Inc</v>
      </c>
      <c r="D313" s="6" t="str">
        <v>Nuance Communications Inc</v>
      </c>
      <c r="F313" s="6" t="str">
        <v>United States</v>
      </c>
      <c r="G313" s="6" t="str">
        <v>Shapewriter Inc</v>
      </c>
      <c r="H313" s="6" t="str">
        <v>Prepackaged Software</v>
      </c>
      <c r="I313" s="6" t="str">
        <v>83891H</v>
      </c>
      <c r="J313" s="6" t="str">
        <v>Shapewriter Inc</v>
      </c>
      <c r="K313" s="6" t="str">
        <v>Shapewriter Inc</v>
      </c>
      <c r="L313" s="7">
        <f>=DATE(2010,5,28)</f>
        <v>40325.99949074074</v>
      </c>
      <c r="M313" s="7">
        <f>=DATE(2010,5,28)</f>
        <v>40325.99949074074</v>
      </c>
      <c r="W313" s="6" t="str">
        <v>Networking Systems (LAN,WAN);Primary Business not Hi-Tech;Desktop Publishing;Applications Software(Business;Communication/Network Software;Internet Services &amp; Software;Other Software (inq. Games);Database Software/Programming;Programming Services;Utilities/File Mgmt Software;Applications Software(Home);Computer Consulting Services;Other Computer Related Svcs</v>
      </c>
      <c r="X313" s="6" t="str">
        <v>Other Software (inq. Games)</v>
      </c>
      <c r="Y313" s="6" t="str">
        <v>Other Software (inq. Games)</v>
      </c>
      <c r="Z313" s="6" t="str">
        <v>Other Software (inq. Games)</v>
      </c>
      <c r="AA313" s="6" t="str">
        <v>Communication/Network Software;Computer Consulting Services;Internet Services &amp; Software;Utilities/File Mgmt Software;Other Software (inq. Games);Other Computer Related Svcs;Primary Business not Hi-Tech;Applications Software(Home);Networking Systems (LAN,WAN);Applications Software(Business;Desktop Publishing;Programming Services;Database Software/Programming</v>
      </c>
      <c r="AB313" s="6" t="str">
        <v>Networking Systems (LAN,WAN);Utilities/File Mgmt Software;Other Computer Related Svcs;Applications Software(Business;Internet Services &amp; Software;Other Software (inq. Games);Database Software/Programming;Desktop Publishing;Primary Business not Hi-Tech;Programming Services;Computer Consulting Services;Communication/Network Software;Applications Software(Home)</v>
      </c>
    </row>
    <row r="314">
      <c r="A314" s="6" t="str">
        <v>38259P</v>
      </c>
      <c r="B314" s="6" t="str">
        <v>United States</v>
      </c>
      <c r="C314" s="6" t="str">
        <v>Google Inc</v>
      </c>
      <c r="D314" s="6" t="str">
        <v>Alphabet Inc</v>
      </c>
      <c r="F314" s="6" t="str">
        <v>United States</v>
      </c>
      <c r="G314" s="6" t="str">
        <v>Invite Media Inc</v>
      </c>
      <c r="H314" s="6" t="str">
        <v>Business Services</v>
      </c>
      <c r="I314" s="6" t="str">
        <v>47273H</v>
      </c>
      <c r="J314" s="6" t="str">
        <v>Invite Media Inc</v>
      </c>
      <c r="K314" s="6" t="str">
        <v>Invite Media Inc</v>
      </c>
      <c r="L314" s="7">
        <f>=DATE(2010,6,2)</f>
        <v>40330.99949074074</v>
      </c>
      <c r="M314" s="7">
        <f>=DATE(2010,6,2)</f>
        <v>40330.99949074074</v>
      </c>
      <c r="W314" s="6" t="str">
        <v>Programming Services;Internet Services &amp; Software</v>
      </c>
      <c r="X314" s="6" t="str">
        <v>Internet Services &amp; Software</v>
      </c>
      <c r="Y314" s="6" t="str">
        <v>Internet Services &amp; Software</v>
      </c>
      <c r="Z314" s="6" t="str">
        <v>Internet Services &amp; Software</v>
      </c>
      <c r="AA314" s="6" t="str">
        <v>Telecommunications Equipment;Computer Consulting Services;Programming Services;Internet Services &amp; Software;Primary Business not Hi-Tech</v>
      </c>
      <c r="AB314" s="6" t="str">
        <v>Telecommunications Equipment;Internet Services &amp; Software;Computer Consulting Services;Primary Business not Hi-Tech;Programming Services</v>
      </c>
      <c r="AD314" s="7">
        <f>=DATE(2010,6,2)</f>
        <v>40330.99949074074</v>
      </c>
    </row>
    <row r="315">
      <c r="A315" s="6" t="str">
        <v>38259P</v>
      </c>
      <c r="B315" s="6" t="str">
        <v>United States</v>
      </c>
      <c r="C315" s="6" t="str">
        <v>Google Inc</v>
      </c>
      <c r="D315" s="6" t="str">
        <v>Alphabet Inc</v>
      </c>
      <c r="F315" s="6" t="str">
        <v>United States</v>
      </c>
      <c r="G315" s="6" t="str">
        <v>ITA Software Inc</v>
      </c>
      <c r="H315" s="6" t="str">
        <v>Prepackaged Software</v>
      </c>
      <c r="I315" s="6" t="str">
        <v>46748M</v>
      </c>
      <c r="J315" s="6" t="str">
        <v>ITA Software Inc</v>
      </c>
      <c r="K315" s="6" t="str">
        <v>ITA Software Inc</v>
      </c>
      <c r="L315" s="7">
        <f>=DATE(2010,7,1)</f>
        <v>40359.99949074074</v>
      </c>
      <c r="M315" s="7">
        <f>=DATE(2011,4,12)</f>
        <v>40644.99949074074</v>
      </c>
      <c r="N315" s="8">
        <v>700</v>
      </c>
      <c r="O315" s="8">
        <v>700</v>
      </c>
      <c r="W315" s="6" t="str">
        <v>Programming Services;Internet Services &amp; Software</v>
      </c>
      <c r="X315" s="6" t="str">
        <v>Other Software (inq. Games)</v>
      </c>
      <c r="Y315" s="6" t="str">
        <v>Other Software (inq. Games)</v>
      </c>
      <c r="Z315" s="6" t="str">
        <v>Other Software (inq. Games)</v>
      </c>
      <c r="AA315" s="6" t="str">
        <v>Computer Consulting Services;Internet Services &amp; Software;Programming Services;Primary Business not Hi-Tech;Telecommunications Equipment</v>
      </c>
      <c r="AB315" s="6" t="str">
        <v>Programming Services;Primary Business not Hi-Tech;Telecommunications Equipment;Internet Services &amp; Software;Computer Consulting Services</v>
      </c>
      <c r="AC315" s="8">
        <v>700</v>
      </c>
      <c r="AD315" s="7">
        <f>=DATE(2010,7,1)</f>
        <v>40359.99949074074</v>
      </c>
    </row>
    <row r="316">
      <c r="A316" s="6" t="str">
        <v>023135</v>
      </c>
      <c r="B316" s="6" t="str">
        <v>United States</v>
      </c>
      <c r="C316" s="6" t="str">
        <v>Amazon.com Inc</v>
      </c>
      <c r="D316" s="6" t="str">
        <v>Amazon.com Inc</v>
      </c>
      <c r="F316" s="6" t="str">
        <v>United States</v>
      </c>
      <c r="G316" s="6" t="str">
        <v>Woot Inc</v>
      </c>
      <c r="H316" s="6" t="str">
        <v>Miscellaneous Retail Trade</v>
      </c>
      <c r="I316" s="6" t="str">
        <v>98103N</v>
      </c>
      <c r="J316" s="6" t="str">
        <v>Woot Inc</v>
      </c>
      <c r="K316" s="6" t="str">
        <v>Woot Inc</v>
      </c>
      <c r="L316" s="7">
        <f>=DATE(2010,7,1)</f>
        <v>40359.99949074074</v>
      </c>
      <c r="M316" s="7">
        <f>=DATE(2010,7,1)</f>
        <v>40359.99949074074</v>
      </c>
      <c r="W316" s="6" t="str">
        <v>Primary Business not Hi-Tech</v>
      </c>
      <c r="X316" s="6" t="str">
        <v>Internet Services &amp; Software</v>
      </c>
      <c r="Y316" s="6" t="str">
        <v>Internet Services &amp; Software</v>
      </c>
      <c r="Z316" s="6" t="str">
        <v>Internet Services &amp; Software</v>
      </c>
      <c r="AA316" s="6" t="str">
        <v>Primary Business not Hi-Tech</v>
      </c>
      <c r="AB316" s="6" t="str">
        <v>Primary Business not Hi-Tech</v>
      </c>
    </row>
    <row r="317">
      <c r="A317" s="6" t="str">
        <v>30303M</v>
      </c>
      <c r="B317" s="6" t="str">
        <v>United States</v>
      </c>
      <c r="C317" s="6" t="str">
        <v>Facebook Inc</v>
      </c>
      <c r="D317" s="6" t="str">
        <v>Facebook Inc</v>
      </c>
      <c r="F317" s="6" t="str">
        <v>United States</v>
      </c>
      <c r="G317" s="6" t="str">
        <v>Nextstop.com</v>
      </c>
      <c r="H317" s="6" t="str">
        <v>Business Services</v>
      </c>
      <c r="I317" s="6" t="str">
        <v>65835V</v>
      </c>
      <c r="J317" s="6" t="str">
        <v>Nextstop.com</v>
      </c>
      <c r="K317" s="6" t="str">
        <v>Nextstop.com</v>
      </c>
      <c r="L317" s="7">
        <f>=DATE(2010,7,8)</f>
        <v>40366.99949074074</v>
      </c>
      <c r="M317" s="7">
        <f>=DATE(2010,7,8)</f>
        <v>40366.99949074074</v>
      </c>
      <c r="W317" s="6" t="str">
        <v>Internet Services &amp; Software</v>
      </c>
      <c r="X317" s="6" t="str">
        <v>Database Software/Programming;Internet Services &amp; Software</v>
      </c>
      <c r="Y317" s="6" t="str">
        <v>Database Software/Programming;Internet Services &amp; Software</v>
      </c>
      <c r="Z317" s="6" t="str">
        <v>Internet Services &amp; Software;Database Software/Programming</v>
      </c>
      <c r="AA317" s="6" t="str">
        <v>Internet Services &amp; Software</v>
      </c>
      <c r="AB317" s="6" t="str">
        <v>Internet Services &amp; Software</v>
      </c>
    </row>
    <row r="318">
      <c r="A318" s="6" t="str">
        <v>38259P</v>
      </c>
      <c r="B318" s="6" t="str">
        <v>United States</v>
      </c>
      <c r="C318" s="6" t="str">
        <v>Google Inc</v>
      </c>
      <c r="D318" s="6" t="str">
        <v>Alphabet Inc</v>
      </c>
      <c r="F318" s="6" t="str">
        <v>United States</v>
      </c>
      <c r="G318" s="6" t="str">
        <v>Metaweb Technologies Inc</v>
      </c>
      <c r="H318" s="6" t="str">
        <v>Business Services</v>
      </c>
      <c r="I318" s="6" t="str">
        <v>59228N</v>
      </c>
      <c r="J318" s="6" t="str">
        <v>Metaweb Technologies Inc</v>
      </c>
      <c r="K318" s="6" t="str">
        <v>Metaweb Technologies Inc</v>
      </c>
      <c r="L318" s="7">
        <f>=DATE(2010,7,16)</f>
        <v>40374.99949074074</v>
      </c>
      <c r="M318" s="7">
        <f>=DATE(2010,7,16)</f>
        <v>40374.99949074074</v>
      </c>
      <c r="W318" s="6" t="str">
        <v>Internet Services &amp; Software;Programming Services</v>
      </c>
      <c r="X318" s="6" t="str">
        <v>Internet Services &amp; Software</v>
      </c>
      <c r="Y318" s="6" t="str">
        <v>Internet Services &amp; Software</v>
      </c>
      <c r="Z318" s="6" t="str">
        <v>Internet Services &amp; Software</v>
      </c>
      <c r="AA318" s="6" t="str">
        <v>Computer Consulting Services;Internet Services &amp; Software;Primary Business not Hi-Tech;Telecommunications Equipment;Programming Services</v>
      </c>
      <c r="AB318" s="6" t="str">
        <v>Telecommunications Equipment;Computer Consulting Services;Primary Business not Hi-Tech;Programming Services;Internet Services &amp; Software</v>
      </c>
    </row>
    <row r="319">
      <c r="A319" s="6" t="str">
        <v>53578A</v>
      </c>
      <c r="B319" s="6" t="str">
        <v>United States</v>
      </c>
      <c r="C319" s="6" t="str">
        <v>LinkedIn Corp</v>
      </c>
      <c r="D319" s="6" t="str">
        <v>LinkedIn Corp</v>
      </c>
      <c r="F319" s="6" t="str">
        <v>United States</v>
      </c>
      <c r="G319" s="6" t="str">
        <v>mSpoke Inc</v>
      </c>
      <c r="H319" s="6" t="str">
        <v>Business Services</v>
      </c>
      <c r="I319" s="6" t="str">
        <v>55703M</v>
      </c>
      <c r="J319" s="6" t="str">
        <v>mSpoke Inc</v>
      </c>
      <c r="K319" s="6" t="str">
        <v>mSpoke Inc</v>
      </c>
      <c r="L319" s="7">
        <f>=DATE(2010,8,4)</f>
        <v>40393.99949074074</v>
      </c>
      <c r="M319" s="7">
        <f>=DATE(2010,8,4)</f>
        <v>40393.99949074074</v>
      </c>
      <c r="W319" s="6" t="str">
        <v>Internet Services &amp; Software</v>
      </c>
      <c r="X319" s="6" t="str">
        <v>Data Processing Services;Other Software (inq. Games);Other Computer Related Svcs;Computer Consulting Services</v>
      </c>
      <c r="Y319" s="6" t="str">
        <v>Computer Consulting Services;Other Software (inq. Games);Data Processing Services;Other Computer Related Svcs</v>
      </c>
      <c r="Z319" s="6" t="str">
        <v>Other Computer Related Svcs;Data Processing Services;Other Software (inq. Games);Computer Consulting Services</v>
      </c>
      <c r="AA319" s="6" t="str">
        <v>Internet Services &amp; Software</v>
      </c>
      <c r="AB319" s="6" t="str">
        <v>Internet Services &amp; Software</v>
      </c>
    </row>
    <row r="320">
      <c r="A320" s="6" t="str">
        <v>38259P</v>
      </c>
      <c r="B320" s="6" t="str">
        <v>United States</v>
      </c>
      <c r="C320" s="6" t="str">
        <v>Google Inc</v>
      </c>
      <c r="D320" s="6" t="str">
        <v>Alphabet Inc</v>
      </c>
      <c r="F320" s="6" t="str">
        <v>United States</v>
      </c>
      <c r="G320" s="6" t="str">
        <v>Slide Inc</v>
      </c>
      <c r="H320" s="6" t="str">
        <v>Prepackaged Software</v>
      </c>
      <c r="I320" s="6" t="str">
        <v>83887K</v>
      </c>
      <c r="J320" s="6" t="str">
        <v>Slide Inc</v>
      </c>
      <c r="K320" s="6" t="str">
        <v>Slide Inc</v>
      </c>
      <c r="L320" s="7">
        <f>=DATE(2010,8,4)</f>
        <v>40393.99949074074</v>
      </c>
      <c r="M320" s="7">
        <f>=DATE(2010,8,7)</f>
        <v>40396.99949074074</v>
      </c>
      <c r="N320" s="8">
        <v>182</v>
      </c>
      <c r="O320" s="8">
        <v>182</v>
      </c>
      <c r="W320" s="6" t="str">
        <v>Internet Services &amp; Software;Programming Services</v>
      </c>
      <c r="X320" s="6" t="str">
        <v>Communication/Network Software;Internet Services &amp; Software</v>
      </c>
      <c r="Y320" s="6" t="str">
        <v>Internet Services &amp; Software;Communication/Network Software</v>
      </c>
      <c r="Z320" s="6" t="str">
        <v>Communication/Network Software;Internet Services &amp; Software</v>
      </c>
      <c r="AA320" s="6" t="str">
        <v>Primary Business not Hi-Tech;Computer Consulting Services;Internet Services &amp; Software;Telecommunications Equipment;Programming Services</v>
      </c>
      <c r="AB320" s="6" t="str">
        <v>Internet Services &amp; Software;Telecommunications Equipment;Computer Consulting Services;Primary Business not Hi-Tech;Programming Services</v>
      </c>
      <c r="AC320" s="8">
        <v>182</v>
      </c>
      <c r="AD320" s="7">
        <f>=DATE(2010,8,7)</f>
        <v>40396.99949074074</v>
      </c>
    </row>
    <row r="321">
      <c r="A321" s="6" t="str">
        <v>38259P</v>
      </c>
      <c r="B321" s="6" t="str">
        <v>United States</v>
      </c>
      <c r="C321" s="6" t="str">
        <v>Google Inc</v>
      </c>
      <c r="D321" s="6" t="str">
        <v>Alphabet Inc</v>
      </c>
      <c r="F321" s="6" t="str">
        <v>United States</v>
      </c>
      <c r="G321" s="6" t="str">
        <v>Jambool Inc</v>
      </c>
      <c r="H321" s="6" t="str">
        <v>Business Services</v>
      </c>
      <c r="I321" s="6" t="str">
        <v>47298F</v>
      </c>
      <c r="J321" s="6" t="str">
        <v>Jambool Inc</v>
      </c>
      <c r="K321" s="6" t="str">
        <v>Jambool Inc</v>
      </c>
      <c r="L321" s="7">
        <f>=DATE(2010,8,9)</f>
        <v>40398.99949074074</v>
      </c>
      <c r="M321" s="7">
        <f>=DATE(2010,8,13)</f>
        <v>40402.99949074074</v>
      </c>
      <c r="W321" s="6" t="str">
        <v>Internet Services &amp; Software;Programming Services</v>
      </c>
      <c r="X321" s="6" t="str">
        <v>Internet Services &amp; Software</v>
      </c>
      <c r="Y321" s="6" t="str">
        <v>Internet Services &amp; Software</v>
      </c>
      <c r="Z321" s="6" t="str">
        <v>Internet Services &amp; Software</v>
      </c>
      <c r="AA321" s="6" t="str">
        <v>Computer Consulting Services;Internet Services &amp; Software;Primary Business not Hi-Tech;Programming Services;Telecommunications Equipment</v>
      </c>
      <c r="AB321" s="6" t="str">
        <v>Internet Services &amp; Software;Telecommunications Equipment;Primary Business not Hi-Tech;Programming Services;Computer Consulting Services</v>
      </c>
      <c r="AD321" s="7">
        <f>=DATE(2010,8,9)</f>
        <v>40398.99949074074</v>
      </c>
    </row>
    <row r="322">
      <c r="A322" s="6" t="str">
        <v>30303M</v>
      </c>
      <c r="B322" s="6" t="str">
        <v>United States</v>
      </c>
      <c r="C322" s="6" t="str">
        <v>Facebook Inc</v>
      </c>
      <c r="D322" s="6" t="str">
        <v>Facebook Inc</v>
      </c>
      <c r="F322" s="6" t="str">
        <v>United States</v>
      </c>
      <c r="G322" s="6" t="str">
        <v>Chai Labs Inc</v>
      </c>
      <c r="H322" s="6" t="str">
        <v>Business Services</v>
      </c>
      <c r="I322" s="6" t="str">
        <v>15605T</v>
      </c>
      <c r="J322" s="6" t="str">
        <v>Chai Labs Inc</v>
      </c>
      <c r="K322" s="6" t="str">
        <v>Chai Labs Inc</v>
      </c>
      <c r="L322" s="7">
        <f>=DATE(2010,8,15)</f>
        <v>40404.99949074074</v>
      </c>
      <c r="M322" s="7">
        <f>=DATE(2010,8,15)</f>
        <v>40404.99949074074</v>
      </c>
      <c r="N322" s="8">
        <v>10</v>
      </c>
      <c r="O322" s="8">
        <v>10</v>
      </c>
      <c r="W322" s="6" t="str">
        <v>Internet Services &amp; Software</v>
      </c>
      <c r="X322" s="6" t="str">
        <v>Internet Services &amp; Software</v>
      </c>
      <c r="Y322" s="6" t="str">
        <v>Internet Services &amp; Software</v>
      </c>
      <c r="Z322" s="6" t="str">
        <v>Internet Services &amp; Software</v>
      </c>
      <c r="AA322" s="6" t="str">
        <v>Internet Services &amp; Software</v>
      </c>
      <c r="AB322" s="6" t="str">
        <v>Internet Services &amp; Software</v>
      </c>
      <c r="AC322" s="8">
        <v>10</v>
      </c>
      <c r="AD322" s="7">
        <f>=DATE(2010,8,15)</f>
        <v>40404.99949074074</v>
      </c>
    </row>
    <row r="323">
      <c r="A323" s="6" t="str">
        <v>30303M</v>
      </c>
      <c r="B323" s="6" t="str">
        <v>United States</v>
      </c>
      <c r="C323" s="6" t="str">
        <v>Facebook Inc</v>
      </c>
      <c r="D323" s="6" t="str">
        <v>Facebook Inc</v>
      </c>
      <c r="F323" s="6" t="str">
        <v>United States</v>
      </c>
      <c r="G323" s="6" t="str">
        <v>HotPotato Media Inc</v>
      </c>
      <c r="H323" s="6" t="str">
        <v>Business Services</v>
      </c>
      <c r="I323" s="6" t="str">
        <v>44203X</v>
      </c>
      <c r="J323" s="6" t="str">
        <v>HotPotato Media Inc</v>
      </c>
      <c r="K323" s="6" t="str">
        <v>HotPotato Media Inc</v>
      </c>
      <c r="L323" s="7">
        <f>=DATE(2010,8,20)</f>
        <v>40409.99949074074</v>
      </c>
      <c r="M323" s="7">
        <f>=DATE(2010,8,20)</f>
        <v>40409.99949074074</v>
      </c>
      <c r="W323" s="6" t="str">
        <v>Internet Services &amp; Software</v>
      </c>
      <c r="X323" s="6" t="str">
        <v>Internet Services &amp; Software</v>
      </c>
      <c r="Y323" s="6" t="str">
        <v>Internet Services &amp; Software</v>
      </c>
      <c r="Z323" s="6" t="str">
        <v>Internet Services &amp; Software</v>
      </c>
      <c r="AA323" s="6" t="str">
        <v>Internet Services &amp; Software</v>
      </c>
      <c r="AB323" s="6" t="str">
        <v>Internet Services &amp; Software</v>
      </c>
    </row>
    <row r="324">
      <c r="A324" s="6" t="str">
        <v>38259P</v>
      </c>
      <c r="B324" s="6" t="str">
        <v>United States</v>
      </c>
      <c r="C324" s="6" t="str">
        <v>Google Inc</v>
      </c>
      <c r="D324" s="6" t="str">
        <v>Alphabet Inc</v>
      </c>
      <c r="F324" s="6" t="str">
        <v>United States</v>
      </c>
      <c r="G324" s="6" t="str">
        <v>Like.com</v>
      </c>
      <c r="H324" s="6" t="str">
        <v>Business Services</v>
      </c>
      <c r="I324" s="6" t="str">
        <v>53289H</v>
      </c>
      <c r="J324" s="6" t="str">
        <v>Like.com</v>
      </c>
      <c r="K324" s="6" t="str">
        <v>Like.com</v>
      </c>
      <c r="L324" s="7">
        <f>=DATE(2010,8,20)</f>
        <v>40409.99949074074</v>
      </c>
      <c r="M324" s="7">
        <f>=DATE(2010,8,20)</f>
        <v>40409.99949074074</v>
      </c>
      <c r="W324" s="6" t="str">
        <v>Programming Services;Internet Services &amp; Software</v>
      </c>
      <c r="X324" s="6" t="str">
        <v>Internet Services &amp; Software</v>
      </c>
      <c r="Y324" s="6" t="str">
        <v>Internet Services &amp; Software</v>
      </c>
      <c r="Z324" s="6" t="str">
        <v>Internet Services &amp; Software</v>
      </c>
      <c r="AA324" s="6" t="str">
        <v>Internet Services &amp; Software;Computer Consulting Services;Primary Business not Hi-Tech;Telecommunications Equipment;Programming Services</v>
      </c>
      <c r="AB324" s="6" t="str">
        <v>Internet Services &amp; Software;Programming Services;Computer Consulting Services;Primary Business not Hi-Tech;Telecommunications Equipment</v>
      </c>
    </row>
    <row r="325">
      <c r="A325" s="6" t="str">
        <v>38259P</v>
      </c>
      <c r="B325" s="6" t="str">
        <v>United States</v>
      </c>
      <c r="C325" s="6" t="str">
        <v>Google Inc</v>
      </c>
      <c r="D325" s="6" t="str">
        <v>Alphabet Inc</v>
      </c>
      <c r="F325" s="6" t="str">
        <v>United States</v>
      </c>
      <c r="G325" s="6" t="str">
        <v>Angstro Inc</v>
      </c>
      <c r="H325" s="6" t="str">
        <v>Business Services</v>
      </c>
      <c r="I325" s="6" t="str">
        <v>03498T</v>
      </c>
      <c r="J325" s="6" t="str">
        <v>Angstro Inc</v>
      </c>
      <c r="K325" s="6" t="str">
        <v>Angstro Inc</v>
      </c>
      <c r="L325" s="7">
        <f>=DATE(2010,8,26)</f>
        <v>40415.99949074074</v>
      </c>
      <c r="M325" s="7">
        <f>=DATE(2010,8,26)</f>
        <v>40415.99949074074</v>
      </c>
      <c r="W325" s="6" t="str">
        <v>Programming Services;Internet Services &amp; Software</v>
      </c>
      <c r="X325" s="6" t="str">
        <v>Internet Services &amp; Software</v>
      </c>
      <c r="Y325" s="6" t="str">
        <v>Internet Services &amp; Software</v>
      </c>
      <c r="Z325" s="6" t="str">
        <v>Internet Services &amp; Software</v>
      </c>
      <c r="AA325" s="6" t="str">
        <v>Programming Services;Computer Consulting Services;Primary Business not Hi-Tech;Internet Services &amp; Software;Telecommunications Equipment</v>
      </c>
      <c r="AB325" s="6" t="str">
        <v>Programming Services;Primary Business not Hi-Tech;Internet Services &amp; Software;Computer Consulting Services;Telecommunications Equipment</v>
      </c>
    </row>
    <row r="326">
      <c r="A326" s="6" t="str">
        <v>023135</v>
      </c>
      <c r="B326" s="6" t="str">
        <v>United States</v>
      </c>
      <c r="C326" s="6" t="str">
        <v>Amazon.com Inc</v>
      </c>
      <c r="D326" s="6" t="str">
        <v>Amazon.com Inc</v>
      </c>
      <c r="F326" s="6" t="str">
        <v>United States</v>
      </c>
      <c r="G326" s="6" t="str">
        <v>Amie Street Inc</v>
      </c>
      <c r="H326" s="6" t="str">
        <v>Miscellaneous Retail Trade</v>
      </c>
      <c r="I326" s="6" t="str">
        <v>01288Y</v>
      </c>
      <c r="J326" s="6" t="str">
        <v>Amie Street Inc</v>
      </c>
      <c r="K326" s="6" t="str">
        <v>Amie Street Inc</v>
      </c>
      <c r="L326" s="7">
        <f>=DATE(2010,9,9)</f>
        <v>40429.99949074074</v>
      </c>
      <c r="M326" s="7">
        <f>=DATE(2010,9,9)</f>
        <v>40429.99949074074</v>
      </c>
      <c r="W326" s="6" t="str">
        <v>Primary Business not Hi-Tech</v>
      </c>
      <c r="X326" s="6" t="str">
        <v>Internet Services &amp; Software</v>
      </c>
      <c r="Y326" s="6" t="str">
        <v>Internet Services &amp; Software</v>
      </c>
      <c r="Z326" s="6" t="str">
        <v>Internet Services &amp; Software</v>
      </c>
      <c r="AA326" s="6" t="str">
        <v>Primary Business not Hi-Tech</v>
      </c>
      <c r="AB326" s="6" t="str">
        <v>Primary Business not Hi-Tech</v>
      </c>
    </row>
    <row r="327">
      <c r="A327" s="6" t="str">
        <v>53578A</v>
      </c>
      <c r="B327" s="6" t="str">
        <v>United States</v>
      </c>
      <c r="C327" s="6" t="str">
        <v>LinkedIn Corp</v>
      </c>
      <c r="D327" s="6" t="str">
        <v>LinkedIn Corp</v>
      </c>
      <c r="F327" s="6" t="str">
        <v>United States</v>
      </c>
      <c r="G327" s="6" t="str">
        <v>ChoiceVendor Inc</v>
      </c>
      <c r="H327" s="6" t="str">
        <v>Business Services</v>
      </c>
      <c r="I327" s="6" t="str">
        <v>17406P</v>
      </c>
      <c r="J327" s="6" t="str">
        <v>ChoiceVendor Inc</v>
      </c>
      <c r="K327" s="6" t="str">
        <v>ChoiceVendor Inc</v>
      </c>
      <c r="L327" s="7">
        <f>=DATE(2010,9,23)</f>
        <v>40443.99949074074</v>
      </c>
      <c r="M327" s="7">
        <f>=DATE(2010,9,23)</f>
        <v>40443.99949074074</v>
      </c>
      <c r="W327" s="6" t="str">
        <v>Internet Services &amp; Software</v>
      </c>
      <c r="X327" s="6" t="str">
        <v>Internet Services &amp; Software</v>
      </c>
      <c r="Y327" s="6" t="str">
        <v>Internet Services &amp; Software</v>
      </c>
      <c r="Z327" s="6" t="str">
        <v>Internet Services &amp; Software</v>
      </c>
      <c r="AA327" s="6" t="str">
        <v>Internet Services &amp; Software</v>
      </c>
      <c r="AB327" s="6" t="str">
        <v>Internet Services &amp; Software</v>
      </c>
    </row>
    <row r="328">
      <c r="A328" s="6" t="str">
        <v>38259P</v>
      </c>
      <c r="B328" s="6" t="str">
        <v>United States</v>
      </c>
      <c r="C328" s="6" t="str">
        <v>Google Inc</v>
      </c>
      <c r="D328" s="6" t="str">
        <v>Alphabet Inc</v>
      </c>
      <c r="F328" s="6" t="str">
        <v>United States</v>
      </c>
      <c r="G328" s="6" t="str">
        <v>BlindType Inc</v>
      </c>
      <c r="H328" s="6" t="str">
        <v>Prepackaged Software</v>
      </c>
      <c r="I328" s="6" t="str">
        <v>09361A</v>
      </c>
      <c r="J328" s="6" t="str">
        <v>BlindType Inc</v>
      </c>
      <c r="K328" s="6" t="str">
        <v>BlindType Inc</v>
      </c>
      <c r="L328" s="7">
        <f>=DATE(2010,10,1)</f>
        <v>40451.99949074074</v>
      </c>
      <c r="M328" s="7">
        <f>=DATE(2010,10,1)</f>
        <v>40451.99949074074</v>
      </c>
      <c r="W328" s="6" t="str">
        <v>Programming Services;Internet Services &amp; Software</v>
      </c>
      <c r="X328" s="6" t="str">
        <v>Applications Software(Business;Communication/Network Software</v>
      </c>
      <c r="Y328" s="6" t="str">
        <v>Communication/Network Software;Applications Software(Business</v>
      </c>
      <c r="Z328" s="6" t="str">
        <v>Applications Software(Business;Communication/Network Software</v>
      </c>
      <c r="AA328" s="6" t="str">
        <v>Telecommunications Equipment;Internet Services &amp; Software;Computer Consulting Services;Programming Services;Primary Business not Hi-Tech</v>
      </c>
      <c r="AB328" s="6" t="str">
        <v>Internet Services &amp; Software;Computer Consulting Services;Telecommunications Equipment;Programming Services;Primary Business not Hi-Tech</v>
      </c>
    </row>
    <row r="329">
      <c r="A329" s="6" t="str">
        <v>594918</v>
      </c>
      <c r="B329" s="6" t="str">
        <v>United States</v>
      </c>
      <c r="C329" s="6" t="str">
        <v>Microsoft Corp</v>
      </c>
      <c r="D329" s="6" t="str">
        <v>Microsoft Corp</v>
      </c>
      <c r="F329" s="6" t="str">
        <v>United States</v>
      </c>
      <c r="G329" s="6" t="str">
        <v>AVIcode Inc</v>
      </c>
      <c r="H329" s="6" t="str">
        <v>Prepackaged Software</v>
      </c>
      <c r="I329" s="6" t="str">
        <v>05045R</v>
      </c>
      <c r="J329" s="6" t="str">
        <v>AVIcode Inc</v>
      </c>
      <c r="K329" s="6" t="str">
        <v>AVIcode Inc</v>
      </c>
      <c r="L329" s="7">
        <f>=DATE(2010,10,6)</f>
        <v>40456.99949074074</v>
      </c>
      <c r="M329" s="7">
        <f>=DATE(2010,10,6)</f>
        <v>40456.99949074074</v>
      </c>
      <c r="W329" s="6" t="str">
        <v>Applications Software(Business;Computer Consulting Services;Internet Services &amp; Software;Other Peripherals;Monitors/Terminals;Operating Systems</v>
      </c>
      <c r="X329" s="6" t="str">
        <v>Other Software (inq. Games)</v>
      </c>
      <c r="Y329" s="6" t="str">
        <v>Other Software (inq. Games)</v>
      </c>
      <c r="Z329" s="6" t="str">
        <v>Other Software (inq. Games)</v>
      </c>
      <c r="AA329" s="6" t="str">
        <v>Internet Services &amp; Software;Computer Consulting Services;Monitors/Terminals;Other Peripherals;Applications Software(Business;Operating Systems</v>
      </c>
      <c r="AB329" s="6" t="str">
        <v>Computer Consulting Services;Applications Software(Business;Internet Services &amp; Software;Monitors/Terminals;Operating Systems;Other Peripherals</v>
      </c>
    </row>
    <row r="330">
      <c r="A330" s="6" t="str">
        <v>38259P</v>
      </c>
      <c r="B330" s="6" t="str">
        <v>United States</v>
      </c>
      <c r="C330" s="6" t="str">
        <v>Google Inc</v>
      </c>
      <c r="D330" s="6" t="str">
        <v>Alphabet Inc</v>
      </c>
      <c r="F330" s="6" t="str">
        <v>United States</v>
      </c>
      <c r="G330" s="6" t="str">
        <v>Everything Is The Best LLC</v>
      </c>
      <c r="H330" s="6" t="str">
        <v>Prepackaged Software</v>
      </c>
      <c r="I330" s="6" t="str">
        <v>30501L</v>
      </c>
      <c r="J330" s="6" t="str">
        <v>Everything Is The Best LLC</v>
      </c>
      <c r="K330" s="6" t="str">
        <v>Everything Is The Best LLC</v>
      </c>
      <c r="L330" s="7">
        <f>=DATE(2010,10,8)</f>
        <v>40458.99949074074</v>
      </c>
      <c r="M330" s="7">
        <f>=DATE(2010,10,8)</f>
        <v>40458.99949074074</v>
      </c>
      <c r="W330" s="6" t="str">
        <v>Internet Services &amp; Software;Programming Services</v>
      </c>
      <c r="X330" s="6" t="str">
        <v>Applications Software(Business</v>
      </c>
      <c r="Y330" s="6" t="str">
        <v>Applications Software(Business</v>
      </c>
      <c r="Z330" s="6" t="str">
        <v>Applications Software(Business</v>
      </c>
      <c r="AA330" s="6" t="str">
        <v>Computer Consulting Services;Primary Business not Hi-Tech;Programming Services;Telecommunications Equipment;Internet Services &amp; Software</v>
      </c>
      <c r="AB330" s="6" t="str">
        <v>Computer Consulting Services;Telecommunications Equipment;Internet Services &amp; Software;Programming Services;Primary Business not Hi-Tech</v>
      </c>
    </row>
    <row r="331">
      <c r="A331" s="6" t="str">
        <v>594918</v>
      </c>
      <c r="B331" s="6" t="str">
        <v>United States</v>
      </c>
      <c r="C331" s="6" t="str">
        <v>Microsoft Corp</v>
      </c>
      <c r="D331" s="6" t="str">
        <v>Microsoft Corp</v>
      </c>
      <c r="F331" s="6" t="str">
        <v>United States</v>
      </c>
      <c r="G331" s="6" t="str">
        <v>Canesta Inc</v>
      </c>
      <c r="H331" s="6" t="str">
        <v>Prepackaged Software</v>
      </c>
      <c r="I331" s="6" t="str">
        <v>13752L</v>
      </c>
      <c r="J331" s="6" t="str">
        <v>Canesta Inc</v>
      </c>
      <c r="K331" s="6" t="str">
        <v>Canesta Inc</v>
      </c>
      <c r="L331" s="7">
        <f>=DATE(2010,10,29)</f>
        <v>40479.99949074074</v>
      </c>
      <c r="M331" s="7">
        <f>=DATE(2010,12,31)</f>
        <v>40542.99949074074</v>
      </c>
      <c r="W331" s="6" t="str">
        <v>Other Peripherals;Operating Systems;Applications Software(Business;Internet Services &amp; Software;Monitors/Terminals;Computer Consulting Services</v>
      </c>
      <c r="X331" s="6" t="str">
        <v>Other Software (inq. Games)</v>
      </c>
      <c r="Y331" s="6" t="str">
        <v>Other Software (inq. Games)</v>
      </c>
      <c r="Z331" s="6" t="str">
        <v>Other Software (inq. Games)</v>
      </c>
      <c r="AA331" s="6" t="str">
        <v>Internet Services &amp; Software;Operating Systems;Computer Consulting Services;Monitors/Terminals;Applications Software(Business;Other Peripherals</v>
      </c>
      <c r="AB331" s="6" t="str">
        <v>Internet Services &amp; Software;Operating Systems;Computer Consulting Services;Other Peripherals;Monitors/Terminals;Applications Software(Business</v>
      </c>
    </row>
    <row r="332">
      <c r="A332" s="6" t="str">
        <v>30303M</v>
      </c>
      <c r="B332" s="6" t="str">
        <v>United States</v>
      </c>
      <c r="C332" s="6" t="str">
        <v>Facebook Inc</v>
      </c>
      <c r="D332" s="6" t="str">
        <v>Facebook Inc</v>
      </c>
      <c r="F332" s="6" t="str">
        <v>United States</v>
      </c>
      <c r="G332" s="6" t="str">
        <v>Drop.io Inc</v>
      </c>
      <c r="H332" s="6" t="str">
        <v>Business Services</v>
      </c>
      <c r="I332" s="6" t="str">
        <v>26231X</v>
      </c>
      <c r="J332" s="6" t="str">
        <v>Drop.io Inc</v>
      </c>
      <c r="K332" s="6" t="str">
        <v>Drop.io Inc</v>
      </c>
      <c r="L332" s="7">
        <f>=DATE(2010,10,29)</f>
        <v>40479.99949074074</v>
      </c>
      <c r="M332" s="7">
        <f>=DATE(2010,10,29)</f>
        <v>40479.99949074074</v>
      </c>
      <c r="W332" s="6" t="str">
        <v>Internet Services &amp; Software</v>
      </c>
      <c r="X332" s="6" t="str">
        <v>Internet Services &amp; Software</v>
      </c>
      <c r="Y332" s="6" t="str">
        <v>Internet Services &amp; Software</v>
      </c>
      <c r="Z332" s="6" t="str">
        <v>Internet Services &amp; Software</v>
      </c>
      <c r="AA332" s="6" t="str">
        <v>Internet Services &amp; Software</v>
      </c>
      <c r="AB332" s="6" t="str">
        <v>Internet Services &amp; Software</v>
      </c>
    </row>
    <row r="333">
      <c r="A333" s="6" t="str">
        <v>38305P</v>
      </c>
      <c r="B333" s="6" t="str">
        <v>United States</v>
      </c>
      <c r="C333" s="6" t="str">
        <v>Google Ventures</v>
      </c>
      <c r="D333" s="6" t="str">
        <v>Alphabet Inc</v>
      </c>
      <c r="F333" s="6" t="str">
        <v>United States</v>
      </c>
      <c r="G333" s="6" t="str">
        <v>HomeAway Inc</v>
      </c>
      <c r="H333" s="6" t="str">
        <v>Business Services</v>
      </c>
      <c r="I333" s="6" t="str">
        <v>43739Q</v>
      </c>
      <c r="J333" s="6" t="str">
        <v>HomeAway Inc</v>
      </c>
      <c r="K333" s="6" t="str">
        <v>HomeAway Inc</v>
      </c>
      <c r="L333" s="7">
        <f>=DATE(2010,10,29)</f>
        <v>40479.99949074074</v>
      </c>
      <c r="M333" s="7">
        <f>=DATE(2010,10,29)</f>
        <v>40479.99949074074</v>
      </c>
      <c r="R333" s="8">
        <v>27.369</v>
      </c>
      <c r="S333" s="8">
        <v>290.284</v>
      </c>
      <c r="T333" s="8">
        <v>-12.24</v>
      </c>
      <c r="U333" s="8">
        <v>-140.838</v>
      </c>
      <c r="V333" s="8">
        <v>106.512</v>
      </c>
      <c r="W333" s="6" t="str">
        <v>Primary Business not Hi-Tech</v>
      </c>
      <c r="X333" s="6" t="str">
        <v>Internet Services &amp; Software</v>
      </c>
      <c r="Y333" s="6" t="str">
        <v>Internet Services &amp; Software</v>
      </c>
      <c r="Z333" s="6" t="str">
        <v>Internet Services &amp; Software</v>
      </c>
      <c r="AA333" s="6" t="str">
        <v>Internet Services &amp; Software;Programming Services</v>
      </c>
      <c r="AB333" s="6" t="str">
        <v>Computer Consulting Services;Telecommunications Equipment;Primary Business not Hi-Tech;Internet Services &amp; Software;Programming Services</v>
      </c>
    </row>
    <row r="334">
      <c r="A334" s="6" t="str">
        <v>023135</v>
      </c>
      <c r="B334" s="6" t="str">
        <v>United States</v>
      </c>
      <c r="C334" s="6" t="str">
        <v>Amazon.com Inc</v>
      </c>
      <c r="D334" s="6" t="str">
        <v>Amazon.com Inc</v>
      </c>
      <c r="F334" s="6" t="str">
        <v>United States</v>
      </c>
      <c r="G334" s="6" t="str">
        <v>Quidsi Inc</v>
      </c>
      <c r="H334" s="6" t="str">
        <v>Business Services</v>
      </c>
      <c r="I334" s="6" t="str">
        <v>75731Y</v>
      </c>
      <c r="J334" s="6" t="str">
        <v>Quidsi Inc</v>
      </c>
      <c r="K334" s="6" t="str">
        <v>Quidsi Inc</v>
      </c>
      <c r="L334" s="7">
        <f>=DATE(2010,11,8)</f>
        <v>40489.99949074074</v>
      </c>
      <c r="M334" s="7">
        <f>=DATE(2011,4,27)</f>
        <v>40659.99949074074</v>
      </c>
      <c r="N334" s="8">
        <v>545</v>
      </c>
      <c r="O334" s="8">
        <v>545</v>
      </c>
      <c r="W334" s="6" t="str">
        <v>Primary Business not Hi-Tech</v>
      </c>
      <c r="X334" s="6" t="str">
        <v>Internet Services &amp; Software</v>
      </c>
      <c r="Y334" s="6" t="str">
        <v>Internet Services &amp; Software</v>
      </c>
      <c r="Z334" s="6" t="str">
        <v>Internet Services &amp; Software</v>
      </c>
      <c r="AA334" s="6" t="str">
        <v>Primary Business not Hi-Tech</v>
      </c>
      <c r="AB334" s="6" t="str">
        <v>Primary Business not Hi-Tech</v>
      </c>
      <c r="AC334" s="8">
        <v>545</v>
      </c>
      <c r="AD334" s="7">
        <f>=DATE(2010,11,8)</f>
        <v>40489.99949074074</v>
      </c>
      <c r="AF334" s="8" t="str">
        <v>545.00</v>
      </c>
      <c r="AG334" s="8" t="str">
        <v>545.00</v>
      </c>
    </row>
    <row r="335">
      <c r="A335" s="6" t="str">
        <v>30303M</v>
      </c>
      <c r="B335" s="6" t="str">
        <v>United States</v>
      </c>
      <c r="C335" s="6" t="str">
        <v>Facebook Inc</v>
      </c>
      <c r="D335" s="6" t="str">
        <v>Facebook Inc</v>
      </c>
      <c r="F335" s="6" t="str">
        <v>United States</v>
      </c>
      <c r="G335" s="6" t="str">
        <v>Walletin</v>
      </c>
      <c r="H335" s="6" t="str">
        <v>Prepackaged Software</v>
      </c>
      <c r="I335" s="6" t="str">
        <v>93352Z</v>
      </c>
      <c r="J335" s="6" t="str">
        <v>Walletin</v>
      </c>
      <c r="K335" s="6" t="str">
        <v>Walletin</v>
      </c>
      <c r="L335" s="7">
        <f>=DATE(2010,11,16)</f>
        <v>40497.99949074074</v>
      </c>
      <c r="M335" s="7">
        <f>=DATE(2010,11,16)</f>
        <v>40497.99949074074</v>
      </c>
      <c r="W335" s="6" t="str">
        <v>Internet Services &amp; Software</v>
      </c>
      <c r="X335" s="6" t="str">
        <v>Internet Services &amp; Software;Other Software (inq. Games);Communication/Network Software</v>
      </c>
      <c r="Y335" s="6" t="str">
        <v>Internet Services &amp; Software;Communication/Network Software;Other Software (inq. Games)</v>
      </c>
      <c r="Z335" s="6" t="str">
        <v>Internet Services &amp; Software;Communication/Network Software;Other Software (inq. Games)</v>
      </c>
      <c r="AA335" s="6" t="str">
        <v>Internet Services &amp; Software</v>
      </c>
      <c r="AB335" s="6" t="str">
        <v>Internet Services &amp; Software</v>
      </c>
    </row>
    <row r="336">
      <c r="A336" s="6" t="str">
        <v>60616V</v>
      </c>
      <c r="B336" s="6" t="str">
        <v>United States</v>
      </c>
      <c r="C336" s="6" t="str">
        <v>Montage Healthcare Solutions Inc</v>
      </c>
      <c r="D336" s="6" t="str">
        <v>Montage Healthcare Solutions Inc</v>
      </c>
      <c r="F336" s="6" t="str">
        <v>United States</v>
      </c>
      <c r="G336" s="6" t="str">
        <v>iVirtuoso Inc</v>
      </c>
      <c r="H336" s="6" t="str">
        <v>Business Services</v>
      </c>
      <c r="I336" s="6" t="str">
        <v>47333P</v>
      </c>
      <c r="J336" s="6" t="str">
        <v>iVirtuoso Inc</v>
      </c>
      <c r="K336" s="6" t="str">
        <v>iVirtuoso Inc</v>
      </c>
      <c r="L336" s="7">
        <f>=DATE(2010,11,24)</f>
        <v>40505.99949074074</v>
      </c>
      <c r="M336" s="7">
        <f>=DATE(2010,12,31)</f>
        <v>40542.99949074074</v>
      </c>
      <c r="W336" s="6" t="str">
        <v>Internet Services &amp; Software</v>
      </c>
      <c r="X336" s="6" t="str">
        <v>Applications Software(Business;Internet Services &amp; Software</v>
      </c>
      <c r="Y336" s="6" t="str">
        <v>Internet Services &amp; Software;Applications Software(Business</v>
      </c>
      <c r="Z336" s="6" t="str">
        <v>Internet Services &amp; Software;Applications Software(Business</v>
      </c>
      <c r="AA336" s="6" t="str">
        <v>Internet Services &amp; Software</v>
      </c>
      <c r="AB336" s="6" t="str">
        <v>Internet Services &amp; Software</v>
      </c>
    </row>
    <row r="337">
      <c r="A337" s="6" t="str">
        <v>023135</v>
      </c>
      <c r="B337" s="6" t="str">
        <v>United States</v>
      </c>
      <c r="C337" s="6" t="str">
        <v>Amazon.com Inc</v>
      </c>
      <c r="D337" s="6" t="str">
        <v>Amazon.com Inc</v>
      </c>
      <c r="F337" s="6" t="str">
        <v>United States</v>
      </c>
      <c r="G337" s="6" t="str">
        <v>LivingSocial Inc</v>
      </c>
      <c r="H337" s="6" t="str">
        <v>Business Services</v>
      </c>
      <c r="I337" s="6" t="str">
        <v>53843A</v>
      </c>
      <c r="J337" s="6" t="str">
        <v>LivingSocial Inc</v>
      </c>
      <c r="K337" s="6" t="str">
        <v>LivingSocial Inc</v>
      </c>
      <c r="L337" s="7">
        <f>=DATE(2010,12,2)</f>
        <v>40513.99949074074</v>
      </c>
      <c r="M337" s="7">
        <f>=DATE(2010,12,2)</f>
        <v>40513.99949074074</v>
      </c>
      <c r="N337" s="8">
        <v>175</v>
      </c>
      <c r="O337" s="8">
        <v>175</v>
      </c>
      <c r="W337" s="6" t="str">
        <v>Primary Business not Hi-Tech</v>
      </c>
      <c r="X337" s="6" t="str">
        <v>Internet Services &amp; Software</v>
      </c>
      <c r="Y337" s="6" t="str">
        <v>Internet Services &amp; Software</v>
      </c>
      <c r="Z337" s="6" t="str">
        <v>Internet Services &amp; Software</v>
      </c>
      <c r="AA337" s="6" t="str">
        <v>Primary Business not Hi-Tech</v>
      </c>
      <c r="AB337" s="6" t="str">
        <v>Primary Business not Hi-Tech</v>
      </c>
      <c r="AC337" s="8">
        <v>175</v>
      </c>
      <c r="AD337" s="7">
        <f>=DATE(2010,12,2)</f>
        <v>40513.99949074074</v>
      </c>
    </row>
    <row r="338">
      <c r="A338" s="6" t="str">
        <v>38259P</v>
      </c>
      <c r="B338" s="6" t="str">
        <v>United States</v>
      </c>
      <c r="C338" s="6" t="str">
        <v>Google Inc</v>
      </c>
      <c r="D338" s="6" t="str">
        <v>Alphabet Inc</v>
      </c>
      <c r="F338" s="6" t="str">
        <v>United States</v>
      </c>
      <c r="G338" s="6" t="str">
        <v>Widevine Technologies Inc</v>
      </c>
      <c r="H338" s="6" t="str">
        <v>Prepackaged Software</v>
      </c>
      <c r="I338" s="6" t="str">
        <v>96781V</v>
      </c>
      <c r="J338" s="6" t="str">
        <v>Widevine Technologies Inc</v>
      </c>
      <c r="K338" s="6" t="str">
        <v>Widevine Technologies Inc</v>
      </c>
      <c r="L338" s="7">
        <f>=DATE(2010,12,3)</f>
        <v>40514.99949074074</v>
      </c>
      <c r="M338" s="7">
        <f>=DATE(2010,12,31)</f>
        <v>40542.99949074074</v>
      </c>
      <c r="W338" s="6" t="str">
        <v>Internet Services &amp; Software;Programming Services</v>
      </c>
      <c r="X338" s="6" t="str">
        <v>Communication/Network Software;Internet Services &amp; Software</v>
      </c>
      <c r="Y338" s="6" t="str">
        <v>Internet Services &amp; Software;Communication/Network Software</v>
      </c>
      <c r="Z338" s="6" t="str">
        <v>Communication/Network Software;Internet Services &amp; Software</v>
      </c>
      <c r="AA338" s="6" t="str">
        <v>Programming Services;Internet Services &amp; Software;Telecommunications Equipment;Primary Business not Hi-Tech;Computer Consulting Services</v>
      </c>
      <c r="AB338" s="6" t="str">
        <v>Computer Consulting Services;Telecommunications Equipment;Internet Services &amp; Software;Primary Business not Hi-Tech;Programming Services</v>
      </c>
    </row>
    <row r="339">
      <c r="A339" s="6" t="str">
        <v>98787H</v>
      </c>
      <c r="B339" s="6" t="str">
        <v>United States</v>
      </c>
      <c r="C339" s="6" t="str">
        <v>YouTube Inc</v>
      </c>
      <c r="D339" s="6" t="str">
        <v>Alphabet Inc</v>
      </c>
      <c r="F339" s="6" t="str">
        <v>United States</v>
      </c>
      <c r="G339" s="6" t="str">
        <v>Next New Networks</v>
      </c>
      <c r="H339" s="6" t="str">
        <v>Business Services</v>
      </c>
      <c r="I339" s="6" t="str">
        <v>65764X</v>
      </c>
      <c r="J339" s="6" t="str">
        <v>Next New Networks</v>
      </c>
      <c r="K339" s="6" t="str">
        <v>Next New Networks</v>
      </c>
      <c r="L339" s="7">
        <f>=DATE(2010,12,16)</f>
        <v>40527.99949074074</v>
      </c>
      <c r="M339" s="7">
        <f>=DATE(2011,3,7)</f>
        <v>40608.99949074074</v>
      </c>
      <c r="W339" s="6" t="str">
        <v>Internet Services &amp; Software</v>
      </c>
      <c r="X339" s="6" t="str">
        <v>Internet Services &amp; Software</v>
      </c>
      <c r="Y339" s="6" t="str">
        <v>Internet Services &amp; Software</v>
      </c>
      <c r="Z339" s="6" t="str">
        <v>Internet Services &amp; Software</v>
      </c>
      <c r="AA339" s="6" t="str">
        <v>Programming Services;Internet Services &amp; Software</v>
      </c>
      <c r="AB339" s="6" t="str">
        <v>Programming Services;Internet Services &amp; Software;Primary Business not Hi-Tech;Telecommunications Equipment;Computer Consulting Services</v>
      </c>
    </row>
    <row r="340">
      <c r="A340" s="6" t="str">
        <v>38259P</v>
      </c>
      <c r="B340" s="6" t="str">
        <v>United States</v>
      </c>
      <c r="C340" s="6" t="str">
        <v>Google Inc</v>
      </c>
      <c r="D340" s="6" t="str">
        <v>Alphabet Inc</v>
      </c>
      <c r="F340" s="6" t="str">
        <v>United States</v>
      </c>
      <c r="G340" s="6" t="str">
        <v>eBook Technologies Inc</v>
      </c>
      <c r="H340" s="6" t="str">
        <v>Business Services</v>
      </c>
      <c r="I340" s="6" t="str">
        <v>27850C</v>
      </c>
      <c r="J340" s="6" t="str">
        <v>eBook Technologies Inc</v>
      </c>
      <c r="K340" s="6" t="str">
        <v>eBook Technologies Inc</v>
      </c>
      <c r="L340" s="7">
        <f>=DATE(2011,1,12)</f>
        <v>40554.99949074074</v>
      </c>
      <c r="M340" s="7">
        <f>=DATE(2011,1,12)</f>
        <v>40554.99949074074</v>
      </c>
      <c r="W340" s="6" t="str">
        <v>Programming Services;Internet Services &amp; Software</v>
      </c>
      <c r="X340" s="6" t="str">
        <v>Internet Services &amp; Software</v>
      </c>
      <c r="Y340" s="6" t="str">
        <v>Internet Services &amp; Software</v>
      </c>
      <c r="Z340" s="6" t="str">
        <v>Internet Services &amp; Software</v>
      </c>
      <c r="AA340" s="6" t="str">
        <v>Primary Business not Hi-Tech;Computer Consulting Services;Internet Services &amp; Software;Telecommunications Equipment;Programming Services</v>
      </c>
      <c r="AB340" s="6" t="str">
        <v>Telecommunications Equipment;Programming Services;Computer Consulting Services;Internet Services &amp; Software;Primary Business not Hi-Tech</v>
      </c>
    </row>
    <row r="341">
      <c r="A341" s="6" t="str">
        <v>98787H</v>
      </c>
      <c r="B341" s="6" t="str">
        <v>United States</v>
      </c>
      <c r="C341" s="6" t="str">
        <v>YouTube Inc</v>
      </c>
      <c r="D341" s="6" t="str">
        <v>Alphabet Inc</v>
      </c>
      <c r="F341" s="6" t="str">
        <v>United States</v>
      </c>
      <c r="G341" s="6" t="str">
        <v>fflick Inc</v>
      </c>
      <c r="H341" s="6" t="str">
        <v>Business Services</v>
      </c>
      <c r="I341" s="6" t="str">
        <v>30536N</v>
      </c>
      <c r="J341" s="6" t="str">
        <v>fflick Inc</v>
      </c>
      <c r="K341" s="6" t="str">
        <v>fflick Inc</v>
      </c>
      <c r="L341" s="7">
        <f>=DATE(2011,1,25)</f>
        <v>40567.99949074074</v>
      </c>
      <c r="M341" s="7">
        <f>=DATE(2011,1,26)</f>
        <v>40568.99949074074</v>
      </c>
      <c r="N341" s="8">
        <v>10</v>
      </c>
      <c r="O341" s="8">
        <v>10</v>
      </c>
      <c r="W341" s="6" t="str">
        <v>Internet Services &amp; Software</v>
      </c>
      <c r="X341" s="6" t="str">
        <v>Data Processing Services;Internet Services &amp; Software</v>
      </c>
      <c r="Y341" s="6" t="str">
        <v>Internet Services &amp; Software;Data Processing Services</v>
      </c>
      <c r="Z341" s="6" t="str">
        <v>Data Processing Services;Internet Services &amp; Software</v>
      </c>
      <c r="AA341" s="6" t="str">
        <v>Programming Services;Internet Services &amp; Software</v>
      </c>
      <c r="AB341" s="6" t="str">
        <v>Internet Services &amp; Software;Programming Services;Primary Business not Hi-Tech;Telecommunications Equipment;Computer Consulting Services</v>
      </c>
      <c r="AC341" s="8">
        <v>10</v>
      </c>
      <c r="AD341" s="7">
        <f>=DATE(2011,1,25)</f>
        <v>40567.99949074074</v>
      </c>
    </row>
    <row r="342">
      <c r="A342" s="6" t="str">
        <v>38259P</v>
      </c>
      <c r="B342" s="6" t="str">
        <v>United States</v>
      </c>
      <c r="C342" s="6" t="str">
        <v>Google Inc</v>
      </c>
      <c r="D342" s="6" t="str">
        <v>Alphabet Inc</v>
      </c>
      <c r="F342" s="6" t="str">
        <v>United States</v>
      </c>
      <c r="G342" s="6" t="str">
        <v>SayNow Inc</v>
      </c>
      <c r="H342" s="6" t="str">
        <v>Telecommunications</v>
      </c>
      <c r="I342" s="6" t="str">
        <v>80569K</v>
      </c>
      <c r="J342" s="6" t="str">
        <v>SayNow Inc</v>
      </c>
      <c r="K342" s="6" t="str">
        <v>SayNow Inc</v>
      </c>
      <c r="L342" s="7">
        <f>=DATE(2011,1,25)</f>
        <v>40567.99949074074</v>
      </c>
      <c r="M342" s="7">
        <f>=DATE(2011,1,25)</f>
        <v>40567.99949074074</v>
      </c>
      <c r="W342" s="6" t="str">
        <v>Internet Services &amp; Software;Programming Services</v>
      </c>
      <c r="X342" s="6" t="str">
        <v>Communication/Network Software;Internet Services &amp; Software</v>
      </c>
      <c r="Y342" s="6" t="str">
        <v>Internet Services &amp; Software;Communication/Network Software</v>
      </c>
      <c r="Z342" s="6" t="str">
        <v>Communication/Network Software;Internet Services &amp; Software</v>
      </c>
      <c r="AA342" s="6" t="str">
        <v>Internet Services &amp; Software;Primary Business not Hi-Tech;Programming Services;Computer Consulting Services;Telecommunications Equipment</v>
      </c>
      <c r="AB342" s="6" t="str">
        <v>Internet Services &amp; Software;Programming Services;Telecommunications Equipment;Primary Business not Hi-Tech;Computer Consulting Services</v>
      </c>
    </row>
    <row r="343">
      <c r="A343" s="6" t="str">
        <v>53578A</v>
      </c>
      <c r="B343" s="6" t="str">
        <v>United States</v>
      </c>
      <c r="C343" s="6" t="str">
        <v>LinkedIn Corp</v>
      </c>
      <c r="D343" s="6" t="str">
        <v>LinkedIn Corp</v>
      </c>
      <c r="F343" s="6" t="str">
        <v>United States</v>
      </c>
      <c r="G343" s="6" t="str">
        <v>CardMunch Inc</v>
      </c>
      <c r="H343" s="6" t="str">
        <v>Prepackaged Software</v>
      </c>
      <c r="I343" s="6" t="str">
        <v>73696X</v>
      </c>
      <c r="J343" s="6" t="str">
        <v>CardMunch Inc</v>
      </c>
      <c r="K343" s="6" t="str">
        <v>CardMunch Inc</v>
      </c>
      <c r="L343" s="7">
        <f>=DATE(2011,1,26)</f>
        <v>40568.99949074074</v>
      </c>
      <c r="M343" s="7">
        <f>=DATE(2011,1,26)</f>
        <v>40568.99949074074</v>
      </c>
      <c r="W343" s="6" t="str">
        <v>Internet Services &amp; Software</v>
      </c>
      <c r="X343" s="6" t="str">
        <v>Communication/Network Software;Internet Services &amp; Software</v>
      </c>
      <c r="Y343" s="6" t="str">
        <v>Communication/Network Software;Internet Services &amp; Software</v>
      </c>
      <c r="Z343" s="6" t="str">
        <v>Communication/Network Software;Internet Services &amp; Software</v>
      </c>
      <c r="AA343" s="6" t="str">
        <v>Internet Services &amp; Software</v>
      </c>
      <c r="AB343" s="6" t="str">
        <v>Internet Services &amp; Software</v>
      </c>
    </row>
    <row r="344">
      <c r="A344" s="6" t="str">
        <v>30303M</v>
      </c>
      <c r="B344" s="6" t="str">
        <v>United States</v>
      </c>
      <c r="C344" s="6" t="str">
        <v>Facebook Inc</v>
      </c>
      <c r="D344" s="6" t="str">
        <v>Facebook Inc</v>
      </c>
      <c r="F344" s="6" t="str">
        <v>United States</v>
      </c>
      <c r="G344" s="6" t="str">
        <v>Beluga Inc</v>
      </c>
      <c r="H344" s="6" t="str">
        <v>Prepackaged Software</v>
      </c>
      <c r="I344" s="6" t="str">
        <v>08116L</v>
      </c>
      <c r="J344" s="6" t="str">
        <v>Beluga Inc</v>
      </c>
      <c r="K344" s="6" t="str">
        <v>Beluga Inc</v>
      </c>
      <c r="L344" s="7">
        <f>=DATE(2011,3,1)</f>
        <v>40602.99949074074</v>
      </c>
      <c r="M344" s="7">
        <f>=DATE(2011,3,1)</f>
        <v>40602.99949074074</v>
      </c>
      <c r="W344" s="6" t="str">
        <v>Internet Services &amp; Software</v>
      </c>
      <c r="X344" s="6" t="str">
        <v>Communication/Network Software;Internet Services &amp; Software</v>
      </c>
      <c r="Y344" s="6" t="str">
        <v>Internet Services &amp; Software;Communication/Network Software</v>
      </c>
      <c r="Z344" s="6" t="str">
        <v>Internet Services &amp; Software;Communication/Network Software</v>
      </c>
      <c r="AA344" s="6" t="str">
        <v>Internet Services &amp; Software</v>
      </c>
      <c r="AB344" s="6" t="str">
        <v>Internet Services &amp; Software</v>
      </c>
    </row>
    <row r="345">
      <c r="A345" s="6" t="str">
        <v>893929</v>
      </c>
      <c r="B345" s="6" t="str">
        <v>United States</v>
      </c>
      <c r="C345" s="6" t="str">
        <v>Transcend Services Inc</v>
      </c>
      <c r="D345" s="6" t="str">
        <v>Transcend Services Inc</v>
      </c>
      <c r="F345" s="6" t="str">
        <v>United States</v>
      </c>
      <c r="G345" s="6" t="str">
        <v>DTS America Inc</v>
      </c>
      <c r="H345" s="6" t="str">
        <v>Business Services</v>
      </c>
      <c r="I345" s="6" t="str">
        <v>42091Z</v>
      </c>
      <c r="J345" s="6" t="str">
        <v>DTS America Inc</v>
      </c>
      <c r="K345" s="6" t="str">
        <v>DTS America Inc</v>
      </c>
      <c r="L345" s="7">
        <f>=DATE(2011,3,3)</f>
        <v>40604.99949074074</v>
      </c>
      <c r="M345" s="7">
        <f>=DATE(2011,5,3)</f>
        <v>40665.99949074074</v>
      </c>
      <c r="N345" s="8">
        <v>12.1</v>
      </c>
      <c r="O345" s="8">
        <v>12.1</v>
      </c>
      <c r="W345" s="6" t="str">
        <v>Data Processing Services;Other Computer Related Svcs</v>
      </c>
      <c r="X345" s="6" t="str">
        <v>Data Processing Services</v>
      </c>
      <c r="Y345" s="6" t="str">
        <v>Data Processing Services</v>
      </c>
      <c r="Z345" s="6" t="str">
        <v>Data Processing Services</v>
      </c>
      <c r="AA345" s="6" t="str">
        <v>Other Computer Related Svcs;Data Processing Services</v>
      </c>
      <c r="AB345" s="6" t="str">
        <v>Other Computer Related Svcs;Data Processing Services</v>
      </c>
      <c r="AC345" s="8">
        <v>12.1</v>
      </c>
      <c r="AD345" s="7">
        <f>=DATE(2011,3,3)</f>
        <v>40604.99949074074</v>
      </c>
    </row>
    <row r="346">
      <c r="A346" s="6" t="str">
        <v>38259P</v>
      </c>
      <c r="B346" s="6" t="str">
        <v>United States</v>
      </c>
      <c r="C346" s="6" t="str">
        <v>Google Inc</v>
      </c>
      <c r="D346" s="6" t="str">
        <v>Alphabet Inc</v>
      </c>
      <c r="F346" s="6" t="str">
        <v>United States</v>
      </c>
      <c r="G346" s="6" t="str">
        <v>TalkBin</v>
      </c>
      <c r="H346" s="6" t="str">
        <v>Business Services</v>
      </c>
      <c r="I346" s="6" t="str">
        <v>91099Y</v>
      </c>
      <c r="J346" s="6" t="str">
        <v>TalkBin</v>
      </c>
      <c r="K346" s="6" t="str">
        <v>TalkBin</v>
      </c>
      <c r="L346" s="7">
        <f>=DATE(2011,4,1)</f>
        <v>40633.99949074074</v>
      </c>
      <c r="M346" s="7">
        <f>=DATE(2011,4,1)</f>
        <v>40633.99949074074</v>
      </c>
      <c r="W346" s="6" t="str">
        <v>Internet Services &amp; Software;Programming Services</v>
      </c>
      <c r="X346" s="6" t="str">
        <v>Internet Services &amp; Software</v>
      </c>
      <c r="Y346" s="6" t="str">
        <v>Internet Services &amp; Software</v>
      </c>
      <c r="Z346" s="6" t="str">
        <v>Internet Services &amp; Software</v>
      </c>
      <c r="AA346" s="6" t="str">
        <v>Internet Services &amp; Software;Primary Business not Hi-Tech;Computer Consulting Services;Telecommunications Equipment;Programming Services</v>
      </c>
      <c r="AB346" s="6" t="str">
        <v>Internet Services &amp; Software;Programming Services;Primary Business not Hi-Tech;Telecommunications Equipment;Computer Consulting Services</v>
      </c>
    </row>
    <row r="347">
      <c r="A347" s="6" t="str">
        <v>38259P</v>
      </c>
      <c r="B347" s="6" t="str">
        <v>United States</v>
      </c>
      <c r="C347" s="6" t="str">
        <v>Google Inc</v>
      </c>
      <c r="D347" s="6" t="str">
        <v>Alphabet Inc</v>
      </c>
      <c r="F347" s="6" t="str">
        <v>United States</v>
      </c>
      <c r="G347" s="6" t="str">
        <v>Sparkbuy Inc</v>
      </c>
      <c r="H347" s="6" t="str">
        <v>Business Services</v>
      </c>
      <c r="I347" s="6" t="str">
        <v>84806C</v>
      </c>
      <c r="J347" s="6" t="str">
        <v>Sparkbuy Inc</v>
      </c>
      <c r="K347" s="6" t="str">
        <v>Sparkbuy Inc</v>
      </c>
      <c r="L347" s="7">
        <f>=DATE(2011,5,23)</f>
        <v>40685.99949074074</v>
      </c>
      <c r="M347" s="7">
        <f>=DATE(2011,5,23)</f>
        <v>40685.99949074074</v>
      </c>
      <c r="W347" s="6" t="str">
        <v>Internet Services &amp; Software;Programming Services</v>
      </c>
      <c r="X347" s="6" t="str">
        <v>Internet Services &amp; Software</v>
      </c>
      <c r="Y347" s="6" t="str">
        <v>Internet Services &amp; Software</v>
      </c>
      <c r="Z347" s="6" t="str">
        <v>Internet Services &amp; Software</v>
      </c>
      <c r="AA347" s="6" t="str">
        <v>Telecommunications Equipment;Computer Consulting Services;Programming Services;Primary Business not Hi-Tech;Internet Services &amp; Software</v>
      </c>
      <c r="AB347" s="6" t="str">
        <v>Telecommunications Equipment;Programming Services;Internet Services &amp; Software;Computer Consulting Services;Primary Business not Hi-Tech</v>
      </c>
    </row>
    <row r="348">
      <c r="A348" s="6" t="str">
        <v>38259P</v>
      </c>
      <c r="B348" s="6" t="str">
        <v>United States</v>
      </c>
      <c r="C348" s="6" t="str">
        <v>Google Inc</v>
      </c>
      <c r="D348" s="6" t="str">
        <v>Alphabet Inc</v>
      </c>
      <c r="F348" s="6" t="str">
        <v>United States</v>
      </c>
      <c r="G348" s="6" t="str">
        <v>Admeld Inc</v>
      </c>
      <c r="H348" s="6" t="str">
        <v>Business Services</v>
      </c>
      <c r="I348" s="6" t="str">
        <v>01726Y</v>
      </c>
      <c r="J348" s="6" t="str">
        <v>Admeld Inc</v>
      </c>
      <c r="K348" s="6" t="str">
        <v>Admeld Inc</v>
      </c>
      <c r="L348" s="7">
        <f>=DATE(2011,6,13)</f>
        <v>40706.99949074074</v>
      </c>
      <c r="M348" s="7">
        <f>=DATE(2011,12,6)</f>
        <v>40882.99949074074</v>
      </c>
      <c r="W348" s="6" t="str">
        <v>Programming Services;Internet Services &amp; Software</v>
      </c>
      <c r="X348" s="6" t="str">
        <v>Internet Services &amp; Software;Networking Systems (LAN,WAN)</v>
      </c>
      <c r="Y348" s="6" t="str">
        <v>Internet Services &amp; Software;Networking Systems (LAN,WAN)</v>
      </c>
      <c r="Z348" s="6" t="str">
        <v>Networking Systems (LAN,WAN);Internet Services &amp; Software</v>
      </c>
      <c r="AA348" s="6" t="str">
        <v>Internet Services &amp; Software;Primary Business not Hi-Tech;Telecommunications Equipment;Computer Consulting Services;Programming Services</v>
      </c>
      <c r="AB348" s="6" t="str">
        <v>Primary Business not Hi-Tech;Computer Consulting Services;Programming Services;Telecommunications Equipment;Internet Services &amp; Software</v>
      </c>
    </row>
    <row r="349">
      <c r="A349" s="6" t="str">
        <v>38259P</v>
      </c>
      <c r="B349" s="6" t="str">
        <v>United States</v>
      </c>
      <c r="C349" s="6" t="str">
        <v>Google Inc</v>
      </c>
      <c r="D349" s="6" t="str">
        <v>Alphabet Inc</v>
      </c>
      <c r="F349" s="6" t="str">
        <v>United States</v>
      </c>
      <c r="G349" s="6" t="str">
        <v>SageTV LLC</v>
      </c>
      <c r="H349" s="6" t="str">
        <v>Prepackaged Software</v>
      </c>
      <c r="I349" s="6" t="str">
        <v>79413M</v>
      </c>
      <c r="J349" s="6" t="str">
        <v>SageTV LLC</v>
      </c>
      <c r="K349" s="6" t="str">
        <v>SageTV LLC</v>
      </c>
      <c r="L349" s="7">
        <f>=DATE(2011,6,20)</f>
        <v>40713.99949074074</v>
      </c>
      <c r="M349" s="7">
        <f>=DATE(2011,6,20)</f>
        <v>40713.99949074074</v>
      </c>
      <c r="W349" s="6" t="str">
        <v>Internet Services &amp; Software;Programming Services</v>
      </c>
      <c r="X349" s="6" t="str">
        <v>Applications Software(Business</v>
      </c>
      <c r="Y349" s="6" t="str">
        <v>Applications Software(Business</v>
      </c>
      <c r="Z349" s="6" t="str">
        <v>Applications Software(Business</v>
      </c>
      <c r="AA349" s="6" t="str">
        <v>Primary Business not Hi-Tech;Programming Services;Computer Consulting Services;Telecommunications Equipment;Internet Services &amp; Software</v>
      </c>
      <c r="AB349" s="6" t="str">
        <v>Telecommunications Equipment;Primary Business not Hi-Tech;Computer Consulting Services;Programming Services;Internet Services &amp; Software</v>
      </c>
    </row>
    <row r="350">
      <c r="A350" s="6" t="str">
        <v>38259P</v>
      </c>
      <c r="B350" s="6" t="str">
        <v>United States</v>
      </c>
      <c r="C350" s="6" t="str">
        <v>Google Inc</v>
      </c>
      <c r="D350" s="6" t="str">
        <v>Alphabet Inc</v>
      </c>
      <c r="F350" s="6" t="str">
        <v>United States</v>
      </c>
      <c r="G350" s="6" t="str">
        <v>Punchd Labs Inc</v>
      </c>
      <c r="H350" s="6" t="str">
        <v>Business Services</v>
      </c>
      <c r="I350" s="6" t="str">
        <v>76594Y</v>
      </c>
      <c r="J350" s="6" t="str">
        <v>Punchd Labs Inc</v>
      </c>
      <c r="K350" s="6" t="str">
        <v>Punchd Labs Inc</v>
      </c>
      <c r="L350" s="7">
        <f>=DATE(2011,7,11)</f>
        <v>40734.99949074074</v>
      </c>
      <c r="M350" s="7">
        <f>=DATE(2011,7,11)</f>
        <v>40734.99949074074</v>
      </c>
      <c r="W350" s="6" t="str">
        <v>Internet Services &amp; Software;Programming Services</v>
      </c>
      <c r="X350" s="6" t="str">
        <v>Internet Services &amp; Software;Communication/Network Software</v>
      </c>
      <c r="Y350" s="6" t="str">
        <v>Internet Services &amp; Software;Communication/Network Software</v>
      </c>
      <c r="Z350" s="6" t="str">
        <v>Internet Services &amp; Software;Communication/Network Software</v>
      </c>
      <c r="AA350" s="6" t="str">
        <v>Computer Consulting Services;Programming Services;Primary Business not Hi-Tech;Internet Services &amp; Software;Telecommunications Equipment</v>
      </c>
      <c r="AB350" s="6" t="str">
        <v>Primary Business not Hi-Tech;Telecommunications Equipment;Programming Services;Computer Consulting Services;Internet Services &amp; Software</v>
      </c>
    </row>
    <row r="351">
      <c r="A351" s="6" t="str">
        <v>38259P</v>
      </c>
      <c r="B351" s="6" t="str">
        <v>United States</v>
      </c>
      <c r="C351" s="6" t="str">
        <v>Google Inc</v>
      </c>
      <c r="D351" s="6" t="str">
        <v>Alphabet Inc</v>
      </c>
      <c r="F351" s="6" t="str">
        <v>United States</v>
      </c>
      <c r="G351" s="6" t="str">
        <v>Fridge</v>
      </c>
      <c r="H351" s="6" t="str">
        <v>Business Services</v>
      </c>
      <c r="I351" s="6" t="str">
        <v>25729C</v>
      </c>
      <c r="J351" s="6" t="str">
        <v>Fridge</v>
      </c>
      <c r="K351" s="6" t="str">
        <v>Fridge</v>
      </c>
      <c r="L351" s="7">
        <f>=DATE(2011,7,21)</f>
        <v>40744.99949074074</v>
      </c>
      <c r="M351" s="7">
        <f>=DATE(2011,7,21)</f>
        <v>40744.99949074074</v>
      </c>
      <c r="W351" s="6" t="str">
        <v>Internet Services &amp; Software;Programming Services</v>
      </c>
      <c r="X351" s="6" t="str">
        <v>Internet Services &amp; Software</v>
      </c>
      <c r="Y351" s="6" t="str">
        <v>Internet Services &amp; Software</v>
      </c>
      <c r="Z351" s="6" t="str">
        <v>Internet Services &amp; Software</v>
      </c>
      <c r="AA351" s="6" t="str">
        <v>Telecommunications Equipment;Primary Business not Hi-Tech;Programming Services;Internet Services &amp; Software;Computer Consulting Services</v>
      </c>
      <c r="AB351" s="6" t="str">
        <v>Telecommunications Equipment;Programming Services;Computer Consulting Services;Primary Business not Hi-Tech;Internet Services &amp; Software</v>
      </c>
    </row>
    <row r="352">
      <c r="A352" s="6" t="str">
        <v>38259P</v>
      </c>
      <c r="B352" s="6" t="str">
        <v>United States</v>
      </c>
      <c r="C352" s="6" t="str">
        <v>Google Inc</v>
      </c>
      <c r="D352" s="6" t="str">
        <v>Alphabet Inc</v>
      </c>
      <c r="F352" s="6" t="str">
        <v>United States</v>
      </c>
      <c r="G352" s="6" t="str">
        <v>Pittsburgh Pattern Recognition {PittPatt}</v>
      </c>
      <c r="H352" s="6" t="str">
        <v>Prepackaged Software</v>
      </c>
      <c r="I352" s="6" t="str">
        <v>72530T</v>
      </c>
      <c r="J352" s="6" t="str">
        <v>Pittsburgh Pattern Recognition {PittPatt}</v>
      </c>
      <c r="K352" s="6" t="str">
        <v>Pittsburgh Pattern Recognition {PittPatt}</v>
      </c>
      <c r="L352" s="7">
        <f>=DATE(2011,7,24)</f>
        <v>40747.99949074074</v>
      </c>
      <c r="M352" s="7">
        <f>=DATE(2011,7,24)</f>
        <v>40747.99949074074</v>
      </c>
      <c r="W352" s="6" t="str">
        <v>Programming Services;Internet Services &amp; Software</v>
      </c>
      <c r="X352" s="6" t="str">
        <v>Other Software (inq. Games)</v>
      </c>
      <c r="Y352" s="6" t="str">
        <v>Other Software (inq. Games)</v>
      </c>
      <c r="Z352" s="6" t="str">
        <v>Other Software (inq. Games)</v>
      </c>
      <c r="AA352" s="6" t="str">
        <v>Programming Services;Internet Services &amp; Software;Telecommunications Equipment;Computer Consulting Services;Primary Business not Hi-Tech</v>
      </c>
      <c r="AB352" s="6" t="str">
        <v>Primary Business not Hi-Tech;Internet Services &amp; Software;Telecommunications Equipment;Computer Consulting Services;Programming Services</v>
      </c>
    </row>
    <row r="353">
      <c r="A353" s="6" t="str">
        <v>893929</v>
      </c>
      <c r="B353" s="6" t="str">
        <v>United States</v>
      </c>
      <c r="C353" s="6" t="str">
        <v>Transcend Services Inc</v>
      </c>
      <c r="D353" s="6" t="str">
        <v>Transcend Services Inc</v>
      </c>
      <c r="F353" s="6" t="str">
        <v>United States</v>
      </c>
      <c r="G353" s="6" t="str">
        <v>Salar Inc</v>
      </c>
      <c r="H353" s="6" t="str">
        <v>Prepackaged Software</v>
      </c>
      <c r="I353" s="6" t="str">
        <v>47474P</v>
      </c>
      <c r="J353" s="6" t="str">
        <v>Salar Inc</v>
      </c>
      <c r="K353" s="6" t="str">
        <v>Salar Inc</v>
      </c>
      <c r="L353" s="7">
        <f>=DATE(2011,7,29)</f>
        <v>40752.99949074074</v>
      </c>
      <c r="M353" s="7">
        <f>=DATE(2011,7,29)</f>
        <v>40752.99949074074</v>
      </c>
      <c r="N353" s="8">
        <v>11</v>
      </c>
      <c r="O353" s="8">
        <v>11</v>
      </c>
      <c r="P353" s="8" t="str">
        <v>11.00</v>
      </c>
      <c r="S353" s="8">
        <v>4</v>
      </c>
      <c r="W353" s="6" t="str">
        <v>Data Processing Services;Other Computer Related Svcs</v>
      </c>
      <c r="X353" s="6" t="str">
        <v>Applications Software(Business;Data Processing Services</v>
      </c>
      <c r="Y353" s="6" t="str">
        <v>Data Processing Services;Applications Software(Business</v>
      </c>
      <c r="Z353" s="6" t="str">
        <v>Data Processing Services;Applications Software(Business</v>
      </c>
      <c r="AA353" s="6" t="str">
        <v>Data Processing Services;Other Computer Related Svcs</v>
      </c>
      <c r="AB353" s="6" t="str">
        <v>Other Computer Related Svcs;Data Processing Services</v>
      </c>
      <c r="AC353" s="8">
        <v>11</v>
      </c>
      <c r="AD353" s="7">
        <f>=DATE(2011,8,1)</f>
        <v>40755.99949074074</v>
      </c>
      <c r="AF353" s="8" t="str">
        <v>11.00</v>
      </c>
      <c r="AG353" s="8" t="str">
        <v>11.00</v>
      </c>
    </row>
    <row r="354">
      <c r="A354" s="6" t="str">
        <v>38259P</v>
      </c>
      <c r="B354" s="6" t="str">
        <v>United States</v>
      </c>
      <c r="C354" s="6" t="str">
        <v>Google Inc</v>
      </c>
      <c r="D354" s="6" t="str">
        <v>Alphabet Inc</v>
      </c>
      <c r="F354" s="6" t="str">
        <v>United States</v>
      </c>
      <c r="G354" s="6" t="str">
        <v>The Dealmap</v>
      </c>
      <c r="H354" s="6" t="str">
        <v>Business Services</v>
      </c>
      <c r="I354" s="6" t="str">
        <v>68486K</v>
      </c>
      <c r="J354" s="6" t="str">
        <v>The Dealmap</v>
      </c>
      <c r="K354" s="6" t="str">
        <v>The Dealmap</v>
      </c>
      <c r="L354" s="7">
        <f>=DATE(2011,8,1)</f>
        <v>40755.99949074074</v>
      </c>
      <c r="M354" s="7">
        <f>=DATE(2011,8,1)</f>
        <v>40755.99949074074</v>
      </c>
      <c r="W354" s="6" t="str">
        <v>Programming Services;Internet Services &amp; Software</v>
      </c>
      <c r="X354" s="6" t="str">
        <v>Internet Services &amp; Software</v>
      </c>
      <c r="Y354" s="6" t="str">
        <v>Internet Services &amp; Software</v>
      </c>
      <c r="Z354" s="6" t="str">
        <v>Internet Services &amp; Software</v>
      </c>
      <c r="AA354" s="6" t="str">
        <v>Computer Consulting Services;Primary Business not Hi-Tech;Programming Services;Telecommunications Equipment;Internet Services &amp; Software</v>
      </c>
      <c r="AB354" s="6" t="str">
        <v>Computer Consulting Services;Telecommunications Equipment;Internet Services &amp; Software;Programming Services;Primary Business not Hi-Tech</v>
      </c>
    </row>
    <row r="355">
      <c r="A355" s="6" t="str">
        <v>30303M</v>
      </c>
      <c r="B355" s="6" t="str">
        <v>United States</v>
      </c>
      <c r="C355" s="6" t="str">
        <v>Facebook Inc</v>
      </c>
      <c r="D355" s="6" t="str">
        <v>Facebook Inc</v>
      </c>
      <c r="F355" s="6" t="str">
        <v>United States</v>
      </c>
      <c r="G355" s="6" t="str">
        <v>Push Pop Press</v>
      </c>
      <c r="H355" s="6" t="str">
        <v>Business Services</v>
      </c>
      <c r="I355" s="6" t="str">
        <v>76601A</v>
      </c>
      <c r="J355" s="6" t="str">
        <v>Push Pop Press</v>
      </c>
      <c r="K355" s="6" t="str">
        <v>Push Pop Press</v>
      </c>
      <c r="L355" s="7">
        <f>=DATE(2011,8,2)</f>
        <v>40756.99949074074</v>
      </c>
      <c r="M355" s="7">
        <f>=DATE(2011,8,2)</f>
        <v>40756.99949074074</v>
      </c>
      <c r="W355" s="6" t="str">
        <v>Internet Services &amp; Software</v>
      </c>
      <c r="X355" s="6" t="str">
        <v>Computer Consulting Services;Applications Software(Business;Applications Software(Home)</v>
      </c>
      <c r="Y355" s="6" t="str">
        <v>Computer Consulting Services;Applications Software(Business;Applications Software(Home)</v>
      </c>
      <c r="Z355" s="6" t="str">
        <v>Applications Software(Home);Applications Software(Business;Computer Consulting Services</v>
      </c>
      <c r="AA355" s="6" t="str">
        <v>Internet Services &amp; Software</v>
      </c>
      <c r="AB355" s="6" t="str">
        <v>Internet Services &amp; Software</v>
      </c>
    </row>
    <row r="356">
      <c r="A356" s="6" t="str">
        <v>38259P</v>
      </c>
      <c r="B356" s="6" t="str">
        <v>United States</v>
      </c>
      <c r="C356" s="6" t="str">
        <v>Google Inc</v>
      </c>
      <c r="D356" s="6" t="str">
        <v>Alphabet Inc</v>
      </c>
      <c r="F356" s="6" t="str">
        <v>United States</v>
      </c>
      <c r="G356" s="6" t="str">
        <v>Motorola Mobility Holdings Inc</v>
      </c>
      <c r="H356" s="6" t="str">
        <v>Communications Equipment</v>
      </c>
      <c r="I356" s="6" t="str">
        <v>620097</v>
      </c>
      <c r="J356" s="6" t="str">
        <v>Motorola Mobility Holdings Inc</v>
      </c>
      <c r="K356" s="6" t="str">
        <v>Motorola Mobility Holdings Inc</v>
      </c>
      <c r="L356" s="7">
        <f>=DATE(2011,8,15)</f>
        <v>40769.99949074074</v>
      </c>
      <c r="M356" s="7">
        <f>=DATE(2012,5,22)</f>
        <v>41050.99949074074</v>
      </c>
      <c r="N356" s="8">
        <v>12449.946</v>
      </c>
      <c r="O356" s="8">
        <v>12449.946</v>
      </c>
      <c r="P356" s="8" t="str">
        <v>9,174.81</v>
      </c>
      <c r="R356" s="8">
        <v>-60</v>
      </c>
      <c r="S356" s="8">
        <v>12740</v>
      </c>
      <c r="T356" s="8">
        <v>2694</v>
      </c>
      <c r="U356" s="8">
        <v>-366</v>
      </c>
      <c r="V356" s="8">
        <v>656</v>
      </c>
      <c r="W356" s="6" t="str">
        <v>Programming Services;Internet Services &amp; Software</v>
      </c>
      <c r="X356" s="6" t="str">
        <v>Cellular Communications;Other Telecommunications Equip;Other Electronics</v>
      </c>
      <c r="Y356" s="6" t="str">
        <v>Other Telecommunications Equip;Cellular Communications;Other Electronics</v>
      </c>
      <c r="Z356" s="6" t="str">
        <v>Other Telecommunications Equip;Cellular Communications;Other Electronics</v>
      </c>
      <c r="AA356" s="6" t="str">
        <v>Internet Services &amp; Software;Programming Services;Primary Business not Hi-Tech;Computer Consulting Services;Telecommunications Equipment</v>
      </c>
      <c r="AB356" s="6" t="str">
        <v>Internet Services &amp; Software;Programming Services;Telecommunications Equipment;Primary Business not Hi-Tech;Computer Consulting Services</v>
      </c>
      <c r="AC356" s="8">
        <v>12449.946</v>
      </c>
      <c r="AD356" s="7">
        <f>=DATE(2011,8,15)</f>
        <v>40769.99949074074</v>
      </c>
      <c r="AE356" s="8">
        <v>13051.1896</v>
      </c>
      <c r="AF356" s="8" t="str">
        <v>9,174.79</v>
      </c>
      <c r="AG356" s="8" t="str">
        <v>9,174.81</v>
      </c>
    </row>
    <row r="357">
      <c r="A357" s="6" t="str">
        <v>38259P</v>
      </c>
      <c r="B357" s="6" t="str">
        <v>United States</v>
      </c>
      <c r="C357" s="6" t="str">
        <v>Google Inc</v>
      </c>
      <c r="D357" s="6" t="str">
        <v>Alphabet Inc</v>
      </c>
      <c r="F357" s="6" t="str">
        <v>United States</v>
      </c>
      <c r="G357" s="6" t="str">
        <v>Zave Networks Inc</v>
      </c>
      <c r="H357" s="6" t="str">
        <v>Prepackaged Software</v>
      </c>
      <c r="I357" s="6" t="str">
        <v>98029F</v>
      </c>
      <c r="J357" s="6" t="str">
        <v>Zave Networks Inc</v>
      </c>
      <c r="K357" s="6" t="str">
        <v>Zave Networks Inc</v>
      </c>
      <c r="L357" s="7">
        <f>=DATE(2011,9,2)</f>
        <v>40787.99949074074</v>
      </c>
      <c r="M357" s="7">
        <f>=DATE(2011,9,2)</f>
        <v>40787.99949074074</v>
      </c>
      <c r="W357" s="6" t="str">
        <v>Internet Services &amp; Software;Programming Services</v>
      </c>
      <c r="X357" s="6" t="str">
        <v>Internet Services &amp; Software;Applications Software(Business;Other Software (inq. Games)</v>
      </c>
      <c r="Y357" s="6" t="str">
        <v>Other Software (inq. Games);Internet Services &amp; Software;Applications Software(Business</v>
      </c>
      <c r="Z357" s="6" t="str">
        <v>Internet Services &amp; Software;Other Software (inq. Games);Applications Software(Business</v>
      </c>
      <c r="AA357" s="6" t="str">
        <v>Telecommunications Equipment;Primary Business not Hi-Tech;Internet Services &amp; Software;Programming Services;Computer Consulting Services</v>
      </c>
      <c r="AB357" s="6" t="str">
        <v>Telecommunications Equipment;Programming Services;Computer Consulting Services;Primary Business not Hi-Tech;Internet Services &amp; Software</v>
      </c>
    </row>
    <row r="358">
      <c r="A358" s="6" t="str">
        <v>38259P</v>
      </c>
      <c r="B358" s="6" t="str">
        <v>United States</v>
      </c>
      <c r="C358" s="6" t="str">
        <v>Google Inc</v>
      </c>
      <c r="D358" s="6" t="str">
        <v>Alphabet Inc</v>
      </c>
      <c r="F358" s="6" t="str">
        <v>United States</v>
      </c>
      <c r="G358" s="6" t="str">
        <v>Zagat Survey LLC</v>
      </c>
      <c r="H358" s="6" t="str">
        <v>Business Services</v>
      </c>
      <c r="I358" s="6" t="str">
        <v>98900R</v>
      </c>
      <c r="J358" s="6" t="str">
        <v>Zagat Survey LLC</v>
      </c>
      <c r="K358" s="6" t="str">
        <v>Zagat Survey LLC</v>
      </c>
      <c r="L358" s="7">
        <f>=DATE(2011,9,8)</f>
        <v>40793.99949074074</v>
      </c>
      <c r="M358" s="7">
        <f>=DATE(2011,9,8)</f>
        <v>40793.99949074074</v>
      </c>
      <c r="N358" s="8">
        <v>151</v>
      </c>
      <c r="O358" s="8">
        <v>151</v>
      </c>
      <c r="W358" s="6" t="str">
        <v>Internet Services &amp; Software;Programming Services</v>
      </c>
      <c r="X358" s="6" t="str">
        <v>Internet Services &amp; Software;Primary Business not Hi-Tech</v>
      </c>
      <c r="Y358" s="6" t="str">
        <v>Internet Services &amp; Software;Primary Business not Hi-Tech</v>
      </c>
      <c r="Z358" s="6" t="str">
        <v>Internet Services &amp; Software;Primary Business not Hi-Tech</v>
      </c>
      <c r="AA358" s="6" t="str">
        <v>Telecommunications Equipment;Internet Services &amp; Software;Computer Consulting Services;Primary Business not Hi-Tech;Programming Services</v>
      </c>
      <c r="AB358" s="6" t="str">
        <v>Programming Services;Telecommunications Equipment;Computer Consulting Services;Internet Services &amp; Software;Primary Business not Hi-Tech</v>
      </c>
      <c r="AC358" s="8">
        <v>151</v>
      </c>
      <c r="AD358" s="7">
        <f>=DATE(2011,9,8)</f>
        <v>40793.99949074074</v>
      </c>
    </row>
    <row r="359">
      <c r="A359" s="6" t="str">
        <v>53578A</v>
      </c>
      <c r="B359" s="6" t="str">
        <v>United States</v>
      </c>
      <c r="C359" s="6" t="str">
        <v>LinkedIn Corp</v>
      </c>
      <c r="D359" s="6" t="str">
        <v>LinkedIn Corp</v>
      </c>
      <c r="F359" s="6" t="str">
        <v>United States</v>
      </c>
      <c r="G359" s="6" t="str">
        <v>Connected</v>
      </c>
      <c r="H359" s="6" t="str">
        <v>Business Services</v>
      </c>
      <c r="I359" s="6" t="str">
        <v>20750V</v>
      </c>
      <c r="J359" s="6" t="str">
        <v>Connected</v>
      </c>
      <c r="K359" s="6" t="str">
        <v>Connected</v>
      </c>
      <c r="L359" s="7">
        <f>=DATE(2011,10,5)</f>
        <v>40820.99949074074</v>
      </c>
      <c r="M359" s="7">
        <f>=DATE(2011,10,5)</f>
        <v>40820.99949074074</v>
      </c>
      <c r="W359" s="6" t="str">
        <v>Internet Services &amp; Software</v>
      </c>
      <c r="X359" s="6" t="str">
        <v>Internet Services &amp; Software</v>
      </c>
      <c r="Y359" s="6" t="str">
        <v>Internet Services &amp; Software</v>
      </c>
      <c r="Z359" s="6" t="str">
        <v>Internet Services &amp; Software</v>
      </c>
      <c r="AA359" s="6" t="str">
        <v>Internet Services &amp; Software</v>
      </c>
      <c r="AB359" s="6" t="str">
        <v>Internet Services &amp; Software</v>
      </c>
    </row>
    <row r="360">
      <c r="A360" s="6" t="str">
        <v>81350Q</v>
      </c>
      <c r="B360" s="6" t="str">
        <v>United States</v>
      </c>
      <c r="C360" s="6" t="str">
        <v>Sonic Acquisition Corp</v>
      </c>
      <c r="D360" s="6" t="str">
        <v>Nuance Communications Inc</v>
      </c>
      <c r="F360" s="6" t="str">
        <v>United States</v>
      </c>
      <c r="G360" s="6" t="str">
        <v>Swype Inc</v>
      </c>
      <c r="H360" s="6" t="str">
        <v>Business Services</v>
      </c>
      <c r="I360" s="6" t="str">
        <v>91299L</v>
      </c>
      <c r="J360" s="6" t="str">
        <v>Swype Inc</v>
      </c>
      <c r="K360" s="6" t="str">
        <v>Swype Inc</v>
      </c>
      <c r="L360" s="7">
        <f>=DATE(2011,10,6)</f>
        <v>40821.99949074074</v>
      </c>
      <c r="M360" s="7">
        <f>=DATE(2011,10,6)</f>
        <v>40821.99949074074</v>
      </c>
      <c r="N360" s="8">
        <v>102.5</v>
      </c>
      <c r="O360" s="8">
        <v>102.5</v>
      </c>
      <c r="P360" s="8" t="str">
        <v>94.59</v>
      </c>
      <c r="R360" s="8">
        <v>-13.862</v>
      </c>
      <c r="T360" s="8">
        <v>7.873</v>
      </c>
      <c r="U360" s="8">
        <v>-0.316</v>
      </c>
      <c r="V360" s="8">
        <v>-1.539</v>
      </c>
      <c r="W360" s="6" t="str">
        <v>Computer Consulting Services;Programming Services;Other Computer Related Svcs</v>
      </c>
      <c r="X360" s="6" t="str">
        <v>Other Computer Related Svcs;Computer Consulting Services;Programming Services</v>
      </c>
      <c r="Y360" s="6" t="str">
        <v>Other Computer Related Svcs;Computer Consulting Services;Programming Services</v>
      </c>
      <c r="Z360" s="6" t="str">
        <v>Other Computer Related Svcs;Programming Services;Computer Consulting Services</v>
      </c>
      <c r="AA360" s="6" t="str">
        <v>Programming Services;Database Software/Programming;Desktop Publishing;Networking Systems (LAN,WAN);Other Software (inq. Games);Communication/Network Software;Utilities/File Mgmt Software;Applications Software(Home);Other Computer Related Svcs;Internet Services &amp; Software;Applications Software(Business;Primary Business not Hi-Tech;Computer Consulting Services</v>
      </c>
      <c r="AB360" s="6" t="str">
        <v>Networking Systems (LAN,WAN);Programming Services;Communication/Network Software;Applications Software(Business;Database Software/Programming;Other Computer Related Svcs;Internet Services &amp; Software;Primary Business not Hi-Tech;Other Software (inq. Games);Computer Consulting Services;Applications Software(Home);Utilities/File Mgmt Software;Desktop Publishing</v>
      </c>
      <c r="AC360" s="8">
        <v>102.5</v>
      </c>
      <c r="AD360" s="7">
        <f>=DATE(2011,10,6)</f>
        <v>40821.99949074074</v>
      </c>
      <c r="AF360" s="8" t="str">
        <v>94.59</v>
      </c>
      <c r="AG360" s="8" t="str">
        <v>94.59</v>
      </c>
    </row>
    <row r="361">
      <c r="A361" s="6" t="str">
        <v>30303M</v>
      </c>
      <c r="B361" s="6" t="str">
        <v>United States</v>
      </c>
      <c r="C361" s="6" t="str">
        <v>Facebook Inc</v>
      </c>
      <c r="D361" s="6" t="str">
        <v>Facebook Inc</v>
      </c>
      <c r="F361" s="6" t="str">
        <v>United States</v>
      </c>
      <c r="G361" s="6" t="str">
        <v>Friend.ly</v>
      </c>
      <c r="H361" s="6" t="str">
        <v>Business Services</v>
      </c>
      <c r="I361" s="6" t="str">
        <v>36711H</v>
      </c>
      <c r="J361" s="6" t="str">
        <v>Friend.ly</v>
      </c>
      <c r="K361" s="6" t="str">
        <v>Friend.ly</v>
      </c>
      <c r="L361" s="7">
        <f>=DATE(2011,10,11)</f>
        <v>40826.99949074074</v>
      </c>
      <c r="M361" s="7">
        <f>=DATE(2011,10,11)</f>
        <v>40826.99949074074</v>
      </c>
      <c r="W361" s="6" t="str">
        <v>Internet Services &amp; Software</v>
      </c>
      <c r="X361" s="6" t="str">
        <v>Internet Services &amp; Software</v>
      </c>
      <c r="Y361" s="6" t="str">
        <v>Internet Services &amp; Software</v>
      </c>
      <c r="Z361" s="6" t="str">
        <v>Internet Services &amp; Software</v>
      </c>
      <c r="AA361" s="6" t="str">
        <v>Internet Services &amp; Software</v>
      </c>
      <c r="AB361" s="6" t="str">
        <v>Internet Services &amp; Software</v>
      </c>
    </row>
    <row r="362">
      <c r="A362" s="6" t="str">
        <v>53578A</v>
      </c>
      <c r="B362" s="6" t="str">
        <v>United States</v>
      </c>
      <c r="C362" s="6" t="str">
        <v>LinkedIn Corp</v>
      </c>
      <c r="D362" s="6" t="str">
        <v>LinkedIn Corp</v>
      </c>
      <c r="F362" s="6" t="str">
        <v>United States</v>
      </c>
      <c r="G362" s="6" t="str">
        <v>IndexTank Inc</v>
      </c>
      <c r="H362" s="6" t="str">
        <v>Business Services</v>
      </c>
      <c r="I362" s="6" t="str">
        <v>47603V</v>
      </c>
      <c r="J362" s="6" t="str">
        <v>IndexTank Inc</v>
      </c>
      <c r="K362" s="6" t="str">
        <v>IndexTank Inc</v>
      </c>
      <c r="L362" s="7">
        <f>=DATE(2011,10,11)</f>
        <v>40826.99949074074</v>
      </c>
      <c r="M362" s="7">
        <f>=DATE(2011,10,11)</f>
        <v>40826.99949074074</v>
      </c>
      <c r="W362" s="6" t="str">
        <v>Internet Services &amp; Software</v>
      </c>
      <c r="X362" s="6" t="str">
        <v>Internet Services &amp; Software</v>
      </c>
      <c r="Y362" s="6" t="str">
        <v>Internet Services &amp; Software</v>
      </c>
      <c r="Z362" s="6" t="str">
        <v>Internet Services &amp; Software</v>
      </c>
      <c r="AA362" s="6" t="str">
        <v>Internet Services &amp; Software</v>
      </c>
      <c r="AB362" s="6" t="str">
        <v>Internet Services &amp; Software</v>
      </c>
    </row>
    <row r="363">
      <c r="A363" s="6" t="str">
        <v>594918</v>
      </c>
      <c r="B363" s="6" t="str">
        <v>United States</v>
      </c>
      <c r="C363" s="6" t="str">
        <v>Microsoft Corp</v>
      </c>
      <c r="D363" s="6" t="str">
        <v>Microsoft Corp</v>
      </c>
      <c r="F363" s="6" t="str">
        <v>United States</v>
      </c>
      <c r="G363" s="6" t="str">
        <v>Twisted Pixel Games LLC</v>
      </c>
      <c r="H363" s="6" t="str">
        <v>Prepackaged Software</v>
      </c>
      <c r="I363" s="6" t="str">
        <v>91599M</v>
      </c>
      <c r="J363" s="6" t="str">
        <v>Twisted Pixel Games LLC</v>
      </c>
      <c r="K363" s="6" t="str">
        <v>Twisted Pixel Games LLC</v>
      </c>
      <c r="L363" s="7">
        <f>=DATE(2011,10,12)</f>
        <v>40827.99949074074</v>
      </c>
      <c r="M363" s="7">
        <f>=DATE(2011,10,12)</f>
        <v>40827.99949074074</v>
      </c>
      <c r="W363" s="6" t="str">
        <v>Internet Services &amp; Software;Other Peripherals;Operating Systems;Computer Consulting Services;Applications Software(Business;Monitors/Terminals</v>
      </c>
      <c r="X363" s="6" t="str">
        <v>Other Software (inq. Games)</v>
      </c>
      <c r="Y363" s="6" t="str">
        <v>Other Software (inq. Games)</v>
      </c>
      <c r="Z363" s="6" t="str">
        <v>Other Software (inq. Games)</v>
      </c>
      <c r="AA363" s="6" t="str">
        <v>Monitors/Terminals;Other Peripherals;Applications Software(Business;Internet Services &amp; Software;Operating Systems;Computer Consulting Services</v>
      </c>
      <c r="AB363" s="6" t="str">
        <v>Internet Services &amp; Software;Monitors/Terminals;Applications Software(Business;Computer Consulting Services;Operating Systems;Other Peripherals</v>
      </c>
    </row>
    <row r="364">
      <c r="A364" s="6" t="str">
        <v>30303M</v>
      </c>
      <c r="B364" s="6" t="str">
        <v>United States</v>
      </c>
      <c r="C364" s="6" t="str">
        <v>Facebook Inc</v>
      </c>
      <c r="D364" s="6" t="str">
        <v>Facebook Inc</v>
      </c>
      <c r="F364" s="6" t="str">
        <v>United States</v>
      </c>
      <c r="G364" s="6" t="str">
        <v>Strobe Inc</v>
      </c>
      <c r="H364" s="6" t="str">
        <v>Business Services</v>
      </c>
      <c r="I364" s="6" t="str">
        <v>85909W</v>
      </c>
      <c r="J364" s="6" t="str">
        <v>Strobe Inc</v>
      </c>
      <c r="K364" s="6" t="str">
        <v>Strobe Inc</v>
      </c>
      <c r="L364" s="7">
        <f>=DATE(2011,11,8)</f>
        <v>40854.99949074074</v>
      </c>
      <c r="M364" s="7">
        <f>=DATE(2011,11,8)</f>
        <v>40854.99949074074</v>
      </c>
      <c r="W364" s="6" t="str">
        <v>Internet Services &amp; Software</v>
      </c>
      <c r="X364" s="6" t="str">
        <v>Internet Services &amp; Software;Programming Services;Applications Software(Business;Other Computer Related Svcs;Computer Consulting Services</v>
      </c>
      <c r="Y364" s="6" t="str">
        <v>Other Computer Related Svcs;Internet Services &amp; Software;Computer Consulting Services;Programming Services;Applications Software(Business</v>
      </c>
      <c r="Z364" s="6" t="str">
        <v>Programming Services;Other Computer Related Svcs;Internet Services &amp; Software;Computer Consulting Services;Applications Software(Business</v>
      </c>
      <c r="AA364" s="6" t="str">
        <v>Internet Services &amp; Software</v>
      </c>
      <c r="AB364" s="6" t="str">
        <v>Internet Services &amp; Software</v>
      </c>
    </row>
    <row r="365">
      <c r="A365" s="6" t="str">
        <v>38259P</v>
      </c>
      <c r="B365" s="6" t="str">
        <v>United States</v>
      </c>
      <c r="C365" s="6" t="str">
        <v>Google Inc</v>
      </c>
      <c r="D365" s="6" t="str">
        <v>Alphabet Inc</v>
      </c>
      <c r="E365" s="6" t="str">
        <v>Google Inc</v>
      </c>
      <c r="F365" s="6" t="str">
        <v>United States</v>
      </c>
      <c r="G365" s="6" t="str">
        <v>Apture Inc</v>
      </c>
      <c r="H365" s="6" t="str">
        <v>Prepackaged Software</v>
      </c>
      <c r="I365" s="6" t="str">
        <v>04149Q</v>
      </c>
      <c r="J365" s="6" t="str">
        <v>Apture Inc</v>
      </c>
      <c r="K365" s="6" t="str">
        <v>Apture Inc</v>
      </c>
      <c r="L365" s="7">
        <f>=DATE(2011,11,10)</f>
        <v>40856.99949074074</v>
      </c>
      <c r="M365" s="7">
        <f>=DATE(2011,11,10)</f>
        <v>40856.99949074074</v>
      </c>
      <c r="W365" s="6" t="str">
        <v>Programming Services;Internet Services &amp; Software</v>
      </c>
      <c r="X365" s="6" t="str">
        <v>Applications Software(Business</v>
      </c>
      <c r="Y365" s="6" t="str">
        <v>Applications Software(Business</v>
      </c>
      <c r="Z365" s="6" t="str">
        <v>Applications Software(Business</v>
      </c>
      <c r="AA365" s="6" t="str">
        <v>Computer Consulting Services;Primary Business not Hi-Tech;Programming Services;Internet Services &amp; Software;Telecommunications Equipment</v>
      </c>
      <c r="AB365" s="6" t="str">
        <v>Programming Services;Telecommunications Equipment;Internet Services &amp; Software;Computer Consulting Services;Primary Business not Hi-Tech</v>
      </c>
    </row>
    <row r="366">
      <c r="A366" s="6" t="str">
        <v>38259P</v>
      </c>
      <c r="B366" s="6" t="str">
        <v>United States</v>
      </c>
      <c r="C366" s="6" t="str">
        <v>Google Inc</v>
      </c>
      <c r="D366" s="6" t="str">
        <v>Alphabet Inc</v>
      </c>
      <c r="E366" s="6" t="str">
        <v>Google Inc</v>
      </c>
      <c r="F366" s="6" t="str">
        <v>United States</v>
      </c>
      <c r="G366" s="6" t="str">
        <v>Katango Inc</v>
      </c>
      <c r="H366" s="6" t="str">
        <v>Prepackaged Software</v>
      </c>
      <c r="I366" s="6" t="str">
        <v>48969C</v>
      </c>
      <c r="J366" s="6" t="str">
        <v>Katango Inc</v>
      </c>
      <c r="K366" s="6" t="str">
        <v>Katango Inc</v>
      </c>
      <c r="L366" s="7">
        <f>=DATE(2011,11,10)</f>
        <v>40856.99949074074</v>
      </c>
      <c r="M366" s="7">
        <f>=DATE(2011,11,10)</f>
        <v>40856.99949074074</v>
      </c>
      <c r="W366" s="6" t="str">
        <v>Internet Services &amp; Software;Programming Services</v>
      </c>
      <c r="X366" s="6" t="str">
        <v>Applications Software(Business</v>
      </c>
      <c r="Y366" s="6" t="str">
        <v>Applications Software(Business</v>
      </c>
      <c r="Z366" s="6" t="str">
        <v>Applications Software(Business</v>
      </c>
      <c r="AA366" s="6" t="str">
        <v>Internet Services &amp; Software;Computer Consulting Services;Telecommunications Equipment;Primary Business not Hi-Tech;Programming Services</v>
      </c>
      <c r="AB366" s="6" t="str">
        <v>Primary Business not Hi-Tech;Telecommunications Equipment;Programming Services;Computer Consulting Services;Internet Services &amp; Software</v>
      </c>
    </row>
    <row r="367">
      <c r="A367" s="6" t="str">
        <v>594918</v>
      </c>
      <c r="B367" s="6" t="str">
        <v>United States</v>
      </c>
      <c r="C367" s="6" t="str">
        <v>Microsoft Corp</v>
      </c>
      <c r="D367" s="6" t="str">
        <v>Microsoft Corp</v>
      </c>
      <c r="F367" s="6" t="str">
        <v>United States</v>
      </c>
      <c r="G367" s="6" t="str">
        <v>VideoSurf Inc</v>
      </c>
      <c r="H367" s="6" t="str">
        <v>Business Services</v>
      </c>
      <c r="I367" s="6" t="str">
        <v>93514A</v>
      </c>
      <c r="J367" s="6" t="str">
        <v>VideoSurf Inc</v>
      </c>
      <c r="K367" s="6" t="str">
        <v>VideoSurf Inc</v>
      </c>
      <c r="L367" s="7">
        <f>=DATE(2011,11,22)</f>
        <v>40868.99949074074</v>
      </c>
      <c r="M367" s="7">
        <f>=DATE(2011,11,22)</f>
        <v>40868.99949074074</v>
      </c>
      <c r="W367" s="6" t="str">
        <v>Monitors/Terminals;Other Peripherals;Internet Services &amp; Software;Operating Systems;Applications Software(Business;Computer Consulting Services</v>
      </c>
      <c r="X367" s="6" t="str">
        <v>Internet Services &amp; Software</v>
      </c>
      <c r="Y367" s="6" t="str">
        <v>Internet Services &amp; Software</v>
      </c>
      <c r="Z367" s="6" t="str">
        <v>Internet Services &amp; Software</v>
      </c>
      <c r="AA367" s="6" t="str">
        <v>Other Peripherals;Operating Systems;Computer Consulting Services;Monitors/Terminals;Applications Software(Business;Internet Services &amp; Software</v>
      </c>
      <c r="AB367" s="6" t="str">
        <v>Operating Systems;Applications Software(Business;Monitors/Terminals;Computer Consulting Services;Other Peripherals;Internet Services &amp; Software</v>
      </c>
    </row>
    <row r="368">
      <c r="A368" s="6" t="str">
        <v>30303M</v>
      </c>
      <c r="B368" s="6" t="str">
        <v>United States</v>
      </c>
      <c r="C368" s="6" t="str">
        <v>Facebook Inc</v>
      </c>
      <c r="D368" s="6" t="str">
        <v>Facebook Inc</v>
      </c>
      <c r="F368" s="6" t="str">
        <v>United States</v>
      </c>
      <c r="G368" s="6" t="str">
        <v>Gowalla Inc</v>
      </c>
      <c r="H368" s="6" t="str">
        <v>Prepackaged Software</v>
      </c>
      <c r="I368" s="6" t="str">
        <v>38396X</v>
      </c>
      <c r="J368" s="6" t="str">
        <v>Gowalla Inc</v>
      </c>
      <c r="K368" s="6" t="str">
        <v>Gowalla Inc</v>
      </c>
      <c r="L368" s="7">
        <f>=DATE(2011,12,2)</f>
        <v>40878.99949074074</v>
      </c>
      <c r="M368" s="7">
        <f>=DATE(2011,12,2)</f>
        <v>40878.99949074074</v>
      </c>
      <c r="W368" s="6" t="str">
        <v>Internet Services &amp; Software</v>
      </c>
      <c r="X368" s="6" t="str">
        <v>Applications Software(Business</v>
      </c>
      <c r="Y368" s="6" t="str">
        <v>Applications Software(Business</v>
      </c>
      <c r="Z368" s="6" t="str">
        <v>Applications Software(Business</v>
      </c>
      <c r="AA368" s="6" t="str">
        <v>Internet Services &amp; Software</v>
      </c>
      <c r="AB368" s="6" t="str">
        <v>Internet Services &amp; Software</v>
      </c>
    </row>
    <row r="369">
      <c r="A369" s="6" t="str">
        <v>37657R</v>
      </c>
      <c r="B369" s="6" t="str">
        <v>United States</v>
      </c>
      <c r="C369" s="6" t="str">
        <v>GitHub Inc</v>
      </c>
      <c r="D369" s="6" t="str">
        <v>GitHub Inc</v>
      </c>
      <c r="F369" s="6" t="str">
        <v>United States</v>
      </c>
      <c r="G369" s="6" t="str">
        <v>Ordered List</v>
      </c>
      <c r="H369" s="6" t="str">
        <v>Business Services</v>
      </c>
      <c r="I369" s="6" t="str">
        <v>68696M</v>
      </c>
      <c r="J369" s="6" t="str">
        <v>Ordered List</v>
      </c>
      <c r="K369" s="6" t="str">
        <v>Ordered List</v>
      </c>
      <c r="L369" s="7">
        <f>=DATE(2011,12,5)</f>
        <v>40881.99949074074</v>
      </c>
      <c r="M369" s="7">
        <f>=DATE(2011,12,5)</f>
        <v>40881.99949074074</v>
      </c>
      <c r="W369" s="6" t="str">
        <v>Internet Services &amp; Software</v>
      </c>
      <c r="X369" s="6" t="str">
        <v>Internet Services &amp; Software</v>
      </c>
      <c r="Y369" s="6" t="str">
        <v>Internet Services &amp; Software</v>
      </c>
      <c r="Z369" s="6" t="str">
        <v>Internet Services &amp; Software</v>
      </c>
      <c r="AA369" s="6" t="str">
        <v>Internet Services &amp; Software</v>
      </c>
      <c r="AB369" s="6" t="str">
        <v>Internet Services &amp; Software</v>
      </c>
    </row>
    <row r="370">
      <c r="A370" s="6" t="str">
        <v>023135</v>
      </c>
      <c r="B370" s="6" t="str">
        <v>United States</v>
      </c>
      <c r="C370" s="6" t="str">
        <v>Amazon.com Inc</v>
      </c>
      <c r="D370" s="6" t="str">
        <v>Amazon.com Inc</v>
      </c>
      <c r="F370" s="6" t="str">
        <v>United States</v>
      </c>
      <c r="G370" s="6" t="str">
        <v>Foxit Corp</v>
      </c>
      <c r="H370" s="6" t="str">
        <v>Prepackaged Software</v>
      </c>
      <c r="I370" s="6" t="str">
        <v>35220Q</v>
      </c>
      <c r="J370" s="6" t="str">
        <v>Foxit Corp</v>
      </c>
      <c r="K370" s="6" t="str">
        <v>Foxit Corp</v>
      </c>
      <c r="L370" s="7">
        <f>=DATE(2011,12,6)</f>
        <v>40882.99949074074</v>
      </c>
      <c r="M370" s="7">
        <f>=DATE(2011,12,6)</f>
        <v>40882.99949074074</v>
      </c>
      <c r="W370" s="6" t="str">
        <v>Primary Business not Hi-Tech</v>
      </c>
      <c r="X370" s="6" t="str">
        <v>Applications Software(Business;Utilities/File Mgmt Software</v>
      </c>
      <c r="Y370" s="6" t="str">
        <v>Utilities/File Mgmt Software;Applications Software(Business</v>
      </c>
      <c r="Z370" s="6" t="str">
        <v>Utilities/File Mgmt Software;Applications Software(Business</v>
      </c>
      <c r="AA370" s="6" t="str">
        <v>Primary Business not Hi-Tech</v>
      </c>
      <c r="AB370" s="6" t="str">
        <v>Primary Business not Hi-Tech</v>
      </c>
    </row>
    <row r="371">
      <c r="A371" s="6" t="str">
        <v>052660</v>
      </c>
      <c r="B371" s="6" t="str">
        <v>United States</v>
      </c>
      <c r="C371" s="6" t="str">
        <v>AuthenTec Inc</v>
      </c>
      <c r="D371" s="6" t="str">
        <v>AuthenTec Inc</v>
      </c>
      <c r="F371" s="6" t="str">
        <v>United States</v>
      </c>
      <c r="G371" s="6" t="str">
        <v>PeerSec Networks Inc</v>
      </c>
      <c r="H371" s="6" t="str">
        <v>Prepackaged Software</v>
      </c>
      <c r="I371" s="6" t="str">
        <v>70579Q</v>
      </c>
      <c r="J371" s="6" t="str">
        <v>PeerSec Networks Inc</v>
      </c>
      <c r="K371" s="6" t="str">
        <v>PeerSec Networks Inc</v>
      </c>
      <c r="L371" s="7">
        <f>=DATE(2011,12,6)</f>
        <v>40882.99949074074</v>
      </c>
      <c r="M371" s="7">
        <f>=DATE(2011,12,6)</f>
        <v>40882.99949074074</v>
      </c>
      <c r="W371" s="6" t="str">
        <v>Search, Detection, Navigation;Other Electronics;Semiconductors</v>
      </c>
      <c r="X371" s="6" t="str">
        <v>Applications Software(Business</v>
      </c>
      <c r="Y371" s="6" t="str">
        <v>Applications Software(Business</v>
      </c>
      <c r="Z371" s="6" t="str">
        <v>Applications Software(Business</v>
      </c>
      <c r="AA371" s="6" t="str">
        <v>Other Electronics;Search, Detection, Navigation;Semiconductors</v>
      </c>
      <c r="AB371" s="6" t="str">
        <v>Other Electronics;Search, Detection, Navigation;Semiconductors</v>
      </c>
    </row>
    <row r="372">
      <c r="A372" s="6" t="str">
        <v>98787H</v>
      </c>
      <c r="B372" s="6" t="str">
        <v>United States</v>
      </c>
      <c r="C372" s="6" t="str">
        <v>YouTube Inc</v>
      </c>
      <c r="D372" s="6" t="str">
        <v>Alphabet Inc</v>
      </c>
      <c r="F372" s="6" t="str">
        <v>United States</v>
      </c>
      <c r="G372" s="6" t="str">
        <v>RightsFlow Inc</v>
      </c>
      <c r="H372" s="6" t="str">
        <v>Business Services</v>
      </c>
      <c r="I372" s="6" t="str">
        <v>76873V</v>
      </c>
      <c r="J372" s="6" t="str">
        <v>RightsFlow Inc</v>
      </c>
      <c r="K372" s="6" t="str">
        <v>RightsFlow Inc</v>
      </c>
      <c r="L372" s="7">
        <f>=DATE(2011,12,9)</f>
        <v>40885.99949074074</v>
      </c>
      <c r="M372" s="7">
        <f>=DATE(2011,12,9)</f>
        <v>40885.99949074074</v>
      </c>
      <c r="W372" s="6" t="str">
        <v>Internet Services &amp; Software</v>
      </c>
      <c r="X372" s="6" t="str">
        <v>Internet Services &amp; Software</v>
      </c>
      <c r="Y372" s="6" t="str">
        <v>Internet Services &amp; Software</v>
      </c>
      <c r="Z372" s="6" t="str">
        <v>Internet Services &amp; Software</v>
      </c>
      <c r="AA372" s="6" t="str">
        <v>Internet Services &amp; Software;Programming Services</v>
      </c>
      <c r="AB372" s="6" t="str">
        <v>Programming Services;Internet Services &amp; Software;Computer Consulting Services;Primary Business not Hi-Tech;Telecommunications Equipment</v>
      </c>
    </row>
    <row r="373">
      <c r="A373" s="6" t="str">
        <v>38259P</v>
      </c>
      <c r="B373" s="6" t="str">
        <v>United States</v>
      </c>
      <c r="C373" s="6" t="str">
        <v>Google Inc</v>
      </c>
      <c r="D373" s="6" t="str">
        <v>Alphabet Inc</v>
      </c>
      <c r="F373" s="6" t="str">
        <v>United States</v>
      </c>
      <c r="G373" s="6" t="str">
        <v>Clever Sense Inc</v>
      </c>
      <c r="H373" s="6" t="str">
        <v>Prepackaged Software</v>
      </c>
      <c r="I373" s="6" t="str">
        <v>18584W</v>
      </c>
      <c r="J373" s="6" t="str">
        <v>Clever Sense Inc</v>
      </c>
      <c r="K373" s="6" t="str">
        <v>Clever Sense Inc</v>
      </c>
      <c r="L373" s="7">
        <f>=DATE(2011,12,13)</f>
        <v>40889.99949074074</v>
      </c>
      <c r="M373" s="7">
        <f>=DATE(2011,12,13)</f>
        <v>40889.99949074074</v>
      </c>
      <c r="W373" s="6" t="str">
        <v>Programming Services;Internet Services &amp; Software</v>
      </c>
      <c r="X373" s="6" t="str">
        <v>Other Software (inq. Games);Applications Software(Home)</v>
      </c>
      <c r="Y373" s="6" t="str">
        <v>Applications Software(Home);Other Software (inq. Games)</v>
      </c>
      <c r="Z373" s="6" t="str">
        <v>Applications Software(Home);Other Software (inq. Games)</v>
      </c>
      <c r="AA373" s="6" t="str">
        <v>Internet Services &amp; Software;Programming Services;Primary Business not Hi-Tech;Telecommunications Equipment;Computer Consulting Services</v>
      </c>
      <c r="AB373" s="6" t="str">
        <v>Internet Services &amp; Software;Telecommunications Equipment;Programming Services;Primary Business not Hi-Tech;Computer Consulting Services</v>
      </c>
    </row>
    <row r="374">
      <c r="A374" s="6" t="str">
        <v>67020Y</v>
      </c>
      <c r="B374" s="6" t="str">
        <v>United States</v>
      </c>
      <c r="C374" s="6" t="str">
        <v>Nuance Communications Inc</v>
      </c>
      <c r="D374" s="6" t="str">
        <v>Nuance Communications Inc</v>
      </c>
      <c r="F374" s="6" t="str">
        <v>United States</v>
      </c>
      <c r="G374" s="6" t="str">
        <v>Vlingo Inc</v>
      </c>
      <c r="H374" s="6" t="str">
        <v>Prepackaged Software</v>
      </c>
      <c r="I374" s="6" t="str">
        <v>93519M</v>
      </c>
      <c r="J374" s="6" t="str">
        <v>Vlingo Inc</v>
      </c>
      <c r="K374" s="6" t="str">
        <v>Vlingo Inc</v>
      </c>
      <c r="L374" s="7">
        <f>=DATE(2011,12,20)</f>
        <v>40896.99949074074</v>
      </c>
      <c r="M374" s="7">
        <f>=DATE(2012,6,1)</f>
        <v>41060.99949074074</v>
      </c>
      <c r="N374" s="8">
        <v>200</v>
      </c>
      <c r="O374" s="8">
        <v>200</v>
      </c>
      <c r="R374" s="8">
        <v>-23.377</v>
      </c>
      <c r="S374" s="8">
        <v>4.46</v>
      </c>
      <c r="T374" s="8">
        <v>12.768</v>
      </c>
      <c r="U374" s="8">
        <v>-1.412</v>
      </c>
      <c r="V374" s="8">
        <v>-14.259</v>
      </c>
      <c r="W374" s="6" t="str">
        <v>Programming Services;Other Software (inq. Games);Internet Services &amp; Software;Applications Software(Business;Database Software/Programming;Networking Systems (LAN,WAN);Utilities/File Mgmt Software;Communication/Network Software;Primary Business not Hi-Tech;Computer Consulting Services;Other Computer Related Svcs;Desktop Publishing;Applications Software(Home)</v>
      </c>
      <c r="X374" s="6" t="str">
        <v>Communication/Network Software;Cellular Communications;Satellite Communications</v>
      </c>
      <c r="Y374" s="6" t="str">
        <v>Satellite Communications;Communication/Network Software;Cellular Communications</v>
      </c>
      <c r="Z374" s="6" t="str">
        <v>Cellular Communications;Satellite Communications;Communication/Network Software</v>
      </c>
      <c r="AA374" s="6" t="str">
        <v>Utilities/File Mgmt Software;Primary Business not Hi-Tech;Programming Services;Desktop Publishing;Communication/Network Software;Database Software/Programming;Computer Consulting Services;Other Computer Related Svcs;Applications Software(Home);Internet Services &amp; Software;Other Software (inq. Games);Applications Software(Business;Networking Systems (LAN,WAN)</v>
      </c>
      <c r="AB374" s="6" t="str">
        <v>Applications Software(Business;Computer Consulting Services;Primary Business not Hi-Tech;Communication/Network Software;Database Software/Programming;Networking Systems (LAN,WAN);Other Computer Related Svcs;Programming Services;Applications Software(Home);Desktop Publishing;Internet Services &amp; Software;Other Software (inq. Games);Utilities/File Mgmt Software</v>
      </c>
      <c r="AC374" s="8">
        <v>200</v>
      </c>
      <c r="AD374" s="7">
        <f>=DATE(2012,6,1)</f>
        <v>41060.99949074074</v>
      </c>
    </row>
    <row r="375">
      <c r="A375" s="6" t="str">
        <v>023135</v>
      </c>
      <c r="B375" s="6" t="str">
        <v>United States</v>
      </c>
      <c r="C375" s="6" t="str">
        <v>Amazon.com Inc</v>
      </c>
      <c r="D375" s="6" t="str">
        <v>Amazon.com Inc</v>
      </c>
      <c r="F375" s="6" t="str">
        <v>United States</v>
      </c>
      <c r="G375" s="6" t="str">
        <v>Quorus Inc</v>
      </c>
      <c r="H375" s="6" t="str">
        <v>Business Services</v>
      </c>
      <c r="I375" s="6" t="str">
        <v>76883Z</v>
      </c>
      <c r="J375" s="6" t="str">
        <v>Quorus Inc</v>
      </c>
      <c r="K375" s="6" t="str">
        <v>Quorus Inc</v>
      </c>
      <c r="L375" s="7">
        <f>=DATE(2011,12,28)</f>
        <v>40904.99949074074</v>
      </c>
      <c r="M375" s="7">
        <f>=DATE(2011,12,28)</f>
        <v>40904.99949074074</v>
      </c>
      <c r="W375" s="6" t="str">
        <v>Primary Business not Hi-Tech</v>
      </c>
      <c r="X375" s="6" t="str">
        <v>Communication/Network Software;Internet Services &amp; Software</v>
      </c>
      <c r="Y375" s="6" t="str">
        <v>Communication/Network Software;Internet Services &amp; Software</v>
      </c>
      <c r="Z375" s="6" t="str">
        <v>Internet Services &amp; Software;Communication/Network Software</v>
      </c>
      <c r="AA375" s="6" t="str">
        <v>Primary Business not Hi-Tech</v>
      </c>
      <c r="AB375" s="6" t="str">
        <v>Primary Business not Hi-Tech</v>
      </c>
    </row>
    <row r="376">
      <c r="A376" s="6" t="str">
        <v>052660</v>
      </c>
      <c r="B376" s="6" t="str">
        <v>United States</v>
      </c>
      <c r="C376" s="6" t="str">
        <v>AuthenTec Inc</v>
      </c>
      <c r="D376" s="6" t="str">
        <v>AuthenTec Inc</v>
      </c>
      <c r="F376" s="6" t="str">
        <v>United States</v>
      </c>
      <c r="G376" s="6" t="str">
        <v>Proxure Inc</v>
      </c>
      <c r="H376" s="6" t="str">
        <v>Prepackaged Software</v>
      </c>
      <c r="I376" s="6" t="str">
        <v>76886V</v>
      </c>
      <c r="J376" s="6" t="str">
        <v>Proxure Inc</v>
      </c>
      <c r="K376" s="6" t="str">
        <v>Proxure Inc</v>
      </c>
      <c r="L376" s="7">
        <f>=DATE(2012,1,9)</f>
        <v>40916.99949074074</v>
      </c>
      <c r="M376" s="7">
        <f>=DATE(2012,1,9)</f>
        <v>40916.99949074074</v>
      </c>
      <c r="W376" s="6" t="str">
        <v>Other Electronics;Semiconductors;Search, Detection, Navigation</v>
      </c>
      <c r="X376" s="6" t="str">
        <v>Applications Software(Business</v>
      </c>
      <c r="Y376" s="6" t="str">
        <v>Applications Software(Business</v>
      </c>
      <c r="Z376" s="6" t="str">
        <v>Applications Software(Business</v>
      </c>
      <c r="AA376" s="6" t="str">
        <v>Other Electronics;Semiconductors;Search, Detection, Navigation</v>
      </c>
      <c r="AB376" s="6" t="str">
        <v>Semiconductors;Search, Detection, Navigation;Other Electronics</v>
      </c>
    </row>
    <row r="377">
      <c r="A377" s="6" t="str">
        <v>53578A</v>
      </c>
      <c r="B377" s="6" t="str">
        <v>United States</v>
      </c>
      <c r="C377" s="6" t="str">
        <v>LinkedIn Corp</v>
      </c>
      <c r="D377" s="6" t="str">
        <v>LinkedIn Corp</v>
      </c>
      <c r="F377" s="6" t="str">
        <v>United States</v>
      </c>
      <c r="G377" s="6" t="str">
        <v>Rapportive Inc</v>
      </c>
      <c r="H377" s="6" t="str">
        <v>Business Services</v>
      </c>
      <c r="I377" s="6" t="str">
        <v>99505N</v>
      </c>
      <c r="J377" s="6" t="str">
        <v>Rapportive Inc</v>
      </c>
      <c r="K377" s="6" t="str">
        <v>Rapportive Inc</v>
      </c>
      <c r="L377" s="7">
        <f>=DATE(2012,2,7)</f>
        <v>40945.99949074074</v>
      </c>
      <c r="M377" s="7">
        <f>=DATE(2012,2,23)</f>
        <v>40961.99949074074</v>
      </c>
      <c r="N377" s="8">
        <v>15</v>
      </c>
      <c r="O377" s="8">
        <v>15</v>
      </c>
      <c r="W377" s="6" t="str">
        <v>Internet Services &amp; Software</v>
      </c>
      <c r="X377" s="6" t="str">
        <v>Internet Services &amp; Software</v>
      </c>
      <c r="Y377" s="6" t="str">
        <v>Internet Services &amp; Software</v>
      </c>
      <c r="Z377" s="6" t="str">
        <v>Internet Services &amp; Software</v>
      </c>
      <c r="AA377" s="6" t="str">
        <v>Internet Services &amp; Software</v>
      </c>
      <c r="AB377" s="6" t="str">
        <v>Internet Services &amp; Software</v>
      </c>
      <c r="AC377" s="8">
        <v>15</v>
      </c>
      <c r="AD377" s="7">
        <f>=DATE(2012,2,23)</f>
        <v>40961.99949074074</v>
      </c>
    </row>
    <row r="378">
      <c r="A378" s="6" t="str">
        <v>037833</v>
      </c>
      <c r="B378" s="6" t="str">
        <v>United States</v>
      </c>
      <c r="C378" s="6" t="str">
        <v>Apple Inc</v>
      </c>
      <c r="D378" s="6" t="str">
        <v>Apple Inc</v>
      </c>
      <c r="F378" s="6" t="str">
        <v>United States</v>
      </c>
      <c r="G378" s="6" t="str">
        <v>Chomp Inc</v>
      </c>
      <c r="H378" s="6" t="str">
        <v>Business Services</v>
      </c>
      <c r="I378" s="6" t="str">
        <v>16804P</v>
      </c>
      <c r="J378" s="6" t="str">
        <v>Chomp Inc</v>
      </c>
      <c r="K378" s="6" t="str">
        <v>Chomp Inc</v>
      </c>
      <c r="L378" s="7">
        <f>=DATE(2012,2,23)</f>
        <v>40961.99949074074</v>
      </c>
      <c r="M378" s="7">
        <f>=DATE(2012,2,23)</f>
        <v>40961.99949074074</v>
      </c>
      <c r="W378" s="6" t="str">
        <v>Printers;Monitors/Terminals;Disk Drives;Other Peripherals;Other Software (inq. Games);Portable Computers;Micro-Computers (PCs);Mainframes &amp; Super Computers</v>
      </c>
      <c r="X378" s="6" t="str">
        <v>Internet Services &amp; Software</v>
      </c>
      <c r="Y378" s="6" t="str">
        <v>Internet Services &amp; Software</v>
      </c>
      <c r="Z378" s="6" t="str">
        <v>Internet Services &amp; Software</v>
      </c>
      <c r="AA378" s="6" t="str">
        <v>Micro-Computers (PCs);Other Software (inq. Games);Other Peripherals;Monitors/Terminals;Mainframes &amp; Super Computers;Disk Drives;Printers;Portable Computers</v>
      </c>
      <c r="AB378" s="6" t="str">
        <v>Printers;Micro-Computers (PCs);Disk Drives;Mainframes &amp; Super Computers;Other Peripherals;Monitors/Terminals;Other Software (inq. Games);Portable Computers</v>
      </c>
    </row>
    <row r="379">
      <c r="A379" s="6" t="str">
        <v>12079J</v>
      </c>
      <c r="B379" s="6" t="str">
        <v>United States</v>
      </c>
      <c r="C379" s="6" t="str">
        <v>Burstly Inc</v>
      </c>
      <c r="D379" s="6" t="str">
        <v>Burstly Inc</v>
      </c>
      <c r="F379" s="6" t="str">
        <v>United States</v>
      </c>
      <c r="G379" s="6" t="str">
        <v>TestFlight App Inc</v>
      </c>
      <c r="H379" s="6" t="str">
        <v>Prepackaged Software</v>
      </c>
      <c r="I379" s="6" t="str">
        <v>99514C</v>
      </c>
      <c r="J379" s="6" t="str">
        <v>TestFlight App Inc</v>
      </c>
      <c r="K379" s="6" t="str">
        <v>TestFlight App Inc</v>
      </c>
      <c r="L379" s="7">
        <f>=DATE(2012,3,5)</f>
        <v>40972.99949074074</v>
      </c>
      <c r="M379" s="7">
        <f>=DATE(2012,3,5)</f>
        <v>40972.99949074074</v>
      </c>
      <c r="W379" s="6" t="str">
        <v>Other Computer Related Svcs;Internet Services &amp; Software;Data Processing Services</v>
      </c>
      <c r="X379" s="6" t="str">
        <v>Other Software (inq. Games)</v>
      </c>
      <c r="Y379" s="6" t="str">
        <v>Other Software (inq. Games)</v>
      </c>
      <c r="Z379" s="6" t="str">
        <v>Other Software (inq. Games)</v>
      </c>
      <c r="AA379" s="6" t="str">
        <v>Other Computer Related Svcs;Data Processing Services;Internet Services &amp; Software</v>
      </c>
      <c r="AB379" s="6" t="str">
        <v>Data Processing Services;Other Computer Related Svcs;Internet Services &amp; Software</v>
      </c>
    </row>
    <row r="380">
      <c r="A380" s="6" t="str">
        <v>68517C</v>
      </c>
      <c r="B380" s="6" t="str">
        <v>United States</v>
      </c>
      <c r="C380" s="6" t="str">
        <v>Townsend Merger Corp</v>
      </c>
      <c r="D380" s="6" t="str">
        <v>Nuance Communications Inc</v>
      </c>
      <c r="F380" s="6" t="str">
        <v>United States</v>
      </c>
      <c r="G380" s="6" t="str">
        <v>Transcend Services Inc</v>
      </c>
      <c r="H380" s="6" t="str">
        <v>Business Services</v>
      </c>
      <c r="I380" s="6" t="str">
        <v>893929</v>
      </c>
      <c r="J380" s="6" t="str">
        <v>Transcend Services Inc</v>
      </c>
      <c r="K380" s="6" t="str">
        <v>Transcend Services Inc</v>
      </c>
      <c r="L380" s="7">
        <f>=DATE(2012,3,7)</f>
        <v>40974.99949074074</v>
      </c>
      <c r="M380" s="7">
        <f>=DATE(2012,4,27)</f>
        <v>41025.99949074074</v>
      </c>
      <c r="N380" s="8">
        <v>333.243</v>
      </c>
      <c r="O380" s="8">
        <v>333.243</v>
      </c>
      <c r="P380" s="8" t="str">
        <v>319.85</v>
      </c>
      <c r="R380" s="8">
        <v>19.038</v>
      </c>
      <c r="S380" s="8">
        <v>125.057</v>
      </c>
      <c r="T380" s="8">
        <v>0.912</v>
      </c>
      <c r="U380" s="8">
        <v>-5.812</v>
      </c>
      <c r="V380" s="8">
        <v>10.47</v>
      </c>
      <c r="W380" s="6" t="str">
        <v>Other Software (inq. Games);Internet Services &amp; Software</v>
      </c>
      <c r="X380" s="6" t="str">
        <v>Other Computer Related Svcs;Data Processing Services</v>
      </c>
      <c r="Y380" s="6" t="str">
        <v>Data Processing Services;Other Computer Related Svcs</v>
      </c>
      <c r="Z380" s="6" t="str">
        <v>Data Processing Services;Other Computer Related Svcs</v>
      </c>
      <c r="AA380" s="6" t="str">
        <v>Other Computer Related Svcs;Database Software/Programming;Internet Services &amp; Software;Utilities/File Mgmt Software;Networking Systems (LAN,WAN);Desktop Publishing;Other Software (inq. Games);Primary Business not Hi-Tech;Communication/Network Software;Applications Software(Business;Applications Software(Home);Computer Consulting Services;Programming Services</v>
      </c>
      <c r="AB380" s="6" t="str">
        <v>Applications Software(Business;Programming Services;Networking Systems (LAN,WAN);Database Software/Programming;Applications Software(Home);Computer Consulting Services;Internet Services &amp; Software;Other Computer Related Svcs;Other Software (inq. Games);Communication/Network Software;Primary Business not Hi-Tech;Utilities/File Mgmt Software;Desktop Publishing</v>
      </c>
      <c r="AC380" s="8">
        <v>333.243</v>
      </c>
      <c r="AD380" s="7">
        <f>=DATE(2012,3,7)</f>
        <v>40974.99949074074</v>
      </c>
      <c r="AE380" s="8">
        <v>341.019705</v>
      </c>
      <c r="AF380" s="8" t="str">
        <v>319.78</v>
      </c>
      <c r="AG380" s="8" t="str">
        <v>319.85</v>
      </c>
    </row>
    <row r="381">
      <c r="A381" s="6" t="str">
        <v>30303M</v>
      </c>
      <c r="B381" s="6" t="str">
        <v>United States</v>
      </c>
      <c r="C381" s="6" t="str">
        <v>Facebook Inc</v>
      </c>
      <c r="D381" s="6" t="str">
        <v>Facebook Inc</v>
      </c>
      <c r="F381" s="6" t="str">
        <v>United States</v>
      </c>
      <c r="G381" s="6" t="str">
        <v>GazeHawk Inc</v>
      </c>
      <c r="H381" s="6" t="str">
        <v>Business Services</v>
      </c>
      <c r="I381" s="6" t="str">
        <v>36929P</v>
      </c>
      <c r="J381" s="6" t="str">
        <v>GazeHawk Inc</v>
      </c>
      <c r="K381" s="6" t="str">
        <v>GazeHawk Inc</v>
      </c>
      <c r="L381" s="7">
        <f>=DATE(2012,3,9)</f>
        <v>40976.99949074074</v>
      </c>
      <c r="M381" s="7">
        <f>=DATE(2012,3,9)</f>
        <v>40976.99949074074</v>
      </c>
      <c r="W381" s="6" t="str">
        <v>Internet Services &amp; Software</v>
      </c>
      <c r="X381" s="6" t="str">
        <v>Other Computer Related Svcs;Internet Services &amp; Software;Computer Consulting Services</v>
      </c>
      <c r="Y381" s="6" t="str">
        <v>Internet Services &amp; Software;Other Computer Related Svcs;Computer Consulting Services</v>
      </c>
      <c r="Z381" s="6" t="str">
        <v>Internet Services &amp; Software;Computer Consulting Services;Other Computer Related Svcs</v>
      </c>
      <c r="AA381" s="6" t="str">
        <v>Internet Services &amp; Software</v>
      </c>
      <c r="AB381" s="6" t="str">
        <v>Internet Services &amp; Software</v>
      </c>
    </row>
    <row r="382">
      <c r="A382" s="6" t="str">
        <v>037833</v>
      </c>
      <c r="B382" s="6" t="str">
        <v>United States</v>
      </c>
      <c r="C382" s="6" t="str">
        <v>Apple Inc</v>
      </c>
      <c r="D382" s="6" t="str">
        <v>Apple Inc</v>
      </c>
      <c r="F382" s="6" t="str">
        <v>United States</v>
      </c>
      <c r="G382" s="6" t="str">
        <v>Apple Inc</v>
      </c>
      <c r="H382" s="6" t="str">
        <v>Computer and Office Equipment</v>
      </c>
      <c r="I382" s="6" t="str">
        <v>037833</v>
      </c>
      <c r="J382" s="6" t="str">
        <v>Apple Inc</v>
      </c>
      <c r="K382" s="6" t="str">
        <v>Apple Inc</v>
      </c>
      <c r="L382" s="7">
        <f>=DATE(2012,3,19)</f>
        <v>40986.99949074074</v>
      </c>
      <c r="M382" s="7">
        <f>=DATE(2018,9,30)</f>
        <v>43372.99949074074</v>
      </c>
      <c r="N382" s="8">
        <v>210000</v>
      </c>
      <c r="O382" s="8">
        <v>210000</v>
      </c>
      <c r="P382" s="8" t="str">
        <v>1,456,613.14</v>
      </c>
      <c r="R382" s="8">
        <v>45687</v>
      </c>
      <c r="S382" s="8">
        <v>215639</v>
      </c>
      <c r="T382" s="8">
        <v>-20483</v>
      </c>
      <c r="U382" s="8">
        <v>-45977</v>
      </c>
      <c r="V382" s="8">
        <v>65824</v>
      </c>
      <c r="W382" s="6" t="str">
        <v>Printers;Mainframes &amp; Super Computers;Disk Drives;Other Peripherals;Micro-Computers (PCs);Monitors/Terminals;Portable Computers;Other Software (inq. Games)</v>
      </c>
      <c r="X382" s="6" t="str">
        <v>Other Peripherals;Printers;Disk Drives;Other Software (inq. Games);Mainframes &amp; Super Computers;Micro-Computers (PCs);Portable Computers;Monitors/Terminals</v>
      </c>
      <c r="Y382" s="6" t="str">
        <v>Portable Computers;Printers;Disk Drives;Other Software (inq. Games);Micro-Computers (PCs);Mainframes &amp; Super Computers;Monitors/Terminals;Other Peripherals</v>
      </c>
      <c r="Z382" s="6" t="str">
        <v>Other Software (inq. Games);Mainframes &amp; Super Computers;Portable Computers;Monitors/Terminals;Micro-Computers (PCs);Other Peripherals;Printers;Disk Drives</v>
      </c>
      <c r="AA382" s="6" t="str">
        <v>Portable Computers;Disk Drives;Micro-Computers (PCs);Other Peripherals;Other Software (inq. Games);Printers;Monitors/Terminals;Mainframes &amp; Super Computers</v>
      </c>
      <c r="AB382" s="6" t="str">
        <v>Monitors/Terminals;Disk Drives;Micro-Computers (PCs);Other Peripherals;Mainframes &amp; Super Computers;Printers;Other Software (inq. Games);Portable Computers</v>
      </c>
      <c r="AC382" s="8">
        <v>210000</v>
      </c>
      <c r="AD382" s="7">
        <f>=DATE(2017,5,2)</f>
        <v>42856.99949074074</v>
      </c>
      <c r="AF382" s="8" t="str">
        <v>1,456,613.14</v>
      </c>
      <c r="AG382" s="8" t="str">
        <v>1,456,613.14</v>
      </c>
    </row>
    <row r="383">
      <c r="A383" s="6" t="str">
        <v>023135</v>
      </c>
      <c r="B383" s="6" t="str">
        <v>United States</v>
      </c>
      <c r="C383" s="6" t="str">
        <v>Amazon.com Inc</v>
      </c>
      <c r="D383" s="6" t="str">
        <v>Amazon.com Inc</v>
      </c>
      <c r="F383" s="6" t="str">
        <v>United States</v>
      </c>
      <c r="G383" s="6" t="str">
        <v>Kiva Systems Inc</v>
      </c>
      <c r="H383" s="6" t="str">
        <v>Business Services</v>
      </c>
      <c r="I383" s="6" t="str">
        <v>49497E</v>
      </c>
      <c r="J383" s="6" t="str">
        <v>Kiva Systems Inc</v>
      </c>
      <c r="K383" s="6" t="str">
        <v>Kiva Systems Inc</v>
      </c>
      <c r="L383" s="7">
        <f>=DATE(2012,3,19)</f>
        <v>40986.99949074074</v>
      </c>
      <c r="M383" s="7">
        <f>=DATE(2012,5,1)</f>
        <v>41029.99949074074</v>
      </c>
      <c r="N383" s="8">
        <v>775</v>
      </c>
      <c r="O383" s="8">
        <v>775</v>
      </c>
      <c r="W383" s="6" t="str">
        <v>Primary Business not Hi-Tech</v>
      </c>
      <c r="X383" s="6" t="str">
        <v>Other Computer Systems</v>
      </c>
      <c r="Y383" s="6" t="str">
        <v>Other Computer Systems</v>
      </c>
      <c r="Z383" s="6" t="str">
        <v>Other Computer Systems</v>
      </c>
      <c r="AA383" s="6" t="str">
        <v>Primary Business not Hi-Tech</v>
      </c>
      <c r="AB383" s="6" t="str">
        <v>Primary Business not Hi-Tech</v>
      </c>
      <c r="AC383" s="8">
        <v>775</v>
      </c>
      <c r="AD383" s="7">
        <f>=DATE(2012,3,19)</f>
        <v>40986.99949074074</v>
      </c>
      <c r="AF383" s="8" t="str">
        <v>775.00</v>
      </c>
      <c r="AG383" s="8" t="str">
        <v>775.00</v>
      </c>
    </row>
    <row r="384">
      <c r="A384" s="6" t="str">
        <v>38259P</v>
      </c>
      <c r="B384" s="6" t="str">
        <v>United States</v>
      </c>
      <c r="C384" s="6" t="str">
        <v>Google Inc</v>
      </c>
      <c r="D384" s="6" t="str">
        <v>Alphabet Inc</v>
      </c>
      <c r="F384" s="6" t="str">
        <v>United States</v>
      </c>
      <c r="G384" s="6" t="str">
        <v>TxVia Inc</v>
      </c>
      <c r="H384" s="6" t="str">
        <v>Prepackaged Software</v>
      </c>
      <c r="I384" s="6" t="str">
        <v>92134A</v>
      </c>
      <c r="J384" s="6" t="str">
        <v>TxVia Inc</v>
      </c>
      <c r="K384" s="6" t="str">
        <v>TxVia Inc</v>
      </c>
      <c r="L384" s="7">
        <f>=DATE(2012,4,3)</f>
        <v>41001.99949074074</v>
      </c>
      <c r="M384" s="7">
        <f>=DATE(2012,4,3)</f>
        <v>41001.99949074074</v>
      </c>
      <c r="W384" s="6" t="str">
        <v>Internet Services &amp; Software;Programming Services</v>
      </c>
      <c r="X384" s="6" t="str">
        <v>Applications Software(Business</v>
      </c>
      <c r="Y384" s="6" t="str">
        <v>Applications Software(Business</v>
      </c>
      <c r="Z384" s="6" t="str">
        <v>Applications Software(Business</v>
      </c>
      <c r="AA384" s="6" t="str">
        <v>Telecommunications Equipment;Internet Services &amp; Software;Primary Business not Hi-Tech;Programming Services;Computer Consulting Services</v>
      </c>
      <c r="AB384" s="6" t="str">
        <v>Internet Services &amp; Software;Computer Consulting Services;Telecommunications Equipment;Programming Services;Primary Business not Hi-Tech</v>
      </c>
    </row>
    <row r="385">
      <c r="A385" s="6" t="str">
        <v>30303M</v>
      </c>
      <c r="B385" s="6" t="str">
        <v>United States</v>
      </c>
      <c r="C385" s="6" t="str">
        <v>Facebook Inc</v>
      </c>
      <c r="D385" s="6" t="str">
        <v>Facebook Inc</v>
      </c>
      <c r="F385" s="6" t="str">
        <v>United States</v>
      </c>
      <c r="G385" s="6" t="str">
        <v>Instagram Inc</v>
      </c>
      <c r="H385" s="6" t="str">
        <v>Prepackaged Software</v>
      </c>
      <c r="I385" s="6" t="str">
        <v>49012C</v>
      </c>
      <c r="J385" s="6" t="str">
        <v>Instagram Inc</v>
      </c>
      <c r="K385" s="6" t="str">
        <v>Instagram Inc</v>
      </c>
      <c r="L385" s="7">
        <f>=DATE(2012,4,9)</f>
        <v>41007.99949074074</v>
      </c>
      <c r="M385" s="7">
        <f>=DATE(2012,9,6)</f>
        <v>41157.99949074074</v>
      </c>
      <c r="N385" s="8">
        <v>727.34</v>
      </c>
      <c r="O385" s="8">
        <v>1000</v>
      </c>
      <c r="W385" s="6" t="str">
        <v>Internet Services &amp; Software</v>
      </c>
      <c r="X385" s="6" t="str">
        <v>Internet Services &amp; Software;Communication/Network Software</v>
      </c>
      <c r="Y385" s="6" t="str">
        <v>Communication/Network Software;Internet Services &amp; Software</v>
      </c>
      <c r="Z385" s="6" t="str">
        <v>Internet Services &amp; Software;Communication/Network Software</v>
      </c>
      <c r="AA385" s="6" t="str">
        <v>Internet Services &amp; Software</v>
      </c>
      <c r="AB385" s="6" t="str">
        <v>Internet Services &amp; Software</v>
      </c>
      <c r="AC385" s="8">
        <v>1000</v>
      </c>
      <c r="AD385" s="7">
        <f>=DATE(2012,4,9)</f>
        <v>41007.99949074074</v>
      </c>
      <c r="AF385" s="8" t="str">
        <v>1,000.00</v>
      </c>
      <c r="AG385" s="8" t="str">
        <v>727.34</v>
      </c>
    </row>
    <row r="386">
      <c r="A386" s="6" t="str">
        <v>30303M</v>
      </c>
      <c r="B386" s="6" t="str">
        <v>United States</v>
      </c>
      <c r="C386" s="6" t="str">
        <v>Facebook Inc</v>
      </c>
      <c r="D386" s="6" t="str">
        <v>Facebook Inc</v>
      </c>
      <c r="F386" s="6" t="str">
        <v>United States</v>
      </c>
      <c r="G386" s="6" t="str">
        <v>Malbec Labs Inc</v>
      </c>
      <c r="H386" s="6" t="str">
        <v>Prepackaged Software</v>
      </c>
      <c r="I386" s="6" t="str">
        <v>56016N</v>
      </c>
      <c r="J386" s="6" t="str">
        <v>Malbec Labs Inc</v>
      </c>
      <c r="K386" s="6" t="str">
        <v>Malbec Labs Inc</v>
      </c>
      <c r="L386" s="7">
        <f>=DATE(2012,4,13)</f>
        <v>41011.99949074074</v>
      </c>
      <c r="M386" s="7">
        <f>=DATE(2012,4,13)</f>
        <v>41011.99949074074</v>
      </c>
      <c r="W386" s="6" t="str">
        <v>Internet Services &amp; Software</v>
      </c>
      <c r="X386" s="6" t="str">
        <v>Other Software (inq. Games);Applications Software(Business</v>
      </c>
      <c r="Y386" s="6" t="str">
        <v>Other Software (inq. Games);Applications Software(Business</v>
      </c>
      <c r="Z386" s="6" t="str">
        <v>Other Software (inq. Games);Applications Software(Business</v>
      </c>
      <c r="AA386" s="6" t="str">
        <v>Internet Services &amp; Software</v>
      </c>
      <c r="AB386" s="6" t="str">
        <v>Internet Services &amp; Software</v>
      </c>
    </row>
    <row r="387">
      <c r="A387" s="6" t="str">
        <v>594918</v>
      </c>
      <c r="B387" s="6" t="str">
        <v>United States</v>
      </c>
      <c r="C387" s="6" t="str">
        <v>Microsoft Corp</v>
      </c>
      <c r="D387" s="6" t="str">
        <v>Microsoft Corp</v>
      </c>
      <c r="F387" s="6" t="str">
        <v>United States</v>
      </c>
      <c r="G387" s="6" t="str">
        <v>Nook Media LLC</v>
      </c>
      <c r="H387" s="6" t="str">
        <v>Prepackaged Software</v>
      </c>
      <c r="I387" s="6" t="str">
        <v>93558H</v>
      </c>
      <c r="J387" s="6" t="str">
        <v>Barnes &amp; Noble Inc</v>
      </c>
      <c r="K387" s="6" t="str">
        <v>Barnes &amp; Noble Inc</v>
      </c>
      <c r="L387" s="7">
        <f>=DATE(2012,4,30)</f>
        <v>41028.99949074074</v>
      </c>
      <c r="M387" s="7">
        <f>=DATE(2012,10,4)</f>
        <v>41185.99949074074</v>
      </c>
      <c r="N387" s="8">
        <v>300</v>
      </c>
      <c r="O387" s="8">
        <v>300</v>
      </c>
      <c r="W387" s="6" t="str">
        <v>Operating Systems;Monitors/Terminals;Computer Consulting Services;Applications Software(Business;Internet Services &amp; Software;Other Peripherals</v>
      </c>
      <c r="X387" s="6" t="str">
        <v>Applications Software(Home);Internet Services &amp; Software</v>
      </c>
      <c r="Y387" s="6" t="str">
        <v>Internet Services &amp; Software;Primary Business not Hi-Tech</v>
      </c>
      <c r="Z387" s="6" t="str">
        <v>Primary Business not Hi-Tech;Internet Services &amp; Software</v>
      </c>
      <c r="AA387" s="6" t="str">
        <v>Monitors/Terminals;Operating Systems;Other Peripherals;Internet Services &amp; Software;Applications Software(Business;Computer Consulting Services</v>
      </c>
      <c r="AB387" s="6" t="str">
        <v>Applications Software(Business;Monitors/Terminals;Operating Systems;Internet Services &amp; Software;Computer Consulting Services;Other Peripherals</v>
      </c>
      <c r="AC387" s="8">
        <v>300</v>
      </c>
      <c r="AD387" s="7">
        <f>=DATE(2012,4,30)</f>
        <v>41028.99949074074</v>
      </c>
      <c r="AF387" s="8" t="str">
        <v>1,704.55</v>
      </c>
      <c r="AG387" s="8" t="str">
        <v>1,704.55</v>
      </c>
    </row>
    <row r="388">
      <c r="A388" s="6" t="str">
        <v>53578A</v>
      </c>
      <c r="B388" s="6" t="str">
        <v>United States</v>
      </c>
      <c r="C388" s="6" t="str">
        <v>LinkedIn Corp</v>
      </c>
      <c r="D388" s="6" t="str">
        <v>LinkedIn Corp</v>
      </c>
      <c r="F388" s="6" t="str">
        <v>United States</v>
      </c>
      <c r="G388" s="6" t="str">
        <v>SlideShare Inc</v>
      </c>
      <c r="H388" s="6" t="str">
        <v>Business Services</v>
      </c>
      <c r="I388" s="6" t="str">
        <v>32085H</v>
      </c>
      <c r="J388" s="6" t="str">
        <v>SlideShare Inc</v>
      </c>
      <c r="K388" s="6" t="str">
        <v>SlideShare Inc</v>
      </c>
      <c r="L388" s="7">
        <f>=DATE(2012,5,3)</f>
        <v>41031.99949074074</v>
      </c>
      <c r="M388" s="7">
        <f>=DATE(2012,5,17)</f>
        <v>41045.99949074074</v>
      </c>
      <c r="N388" s="8">
        <v>119.268</v>
      </c>
      <c r="O388" s="8">
        <v>118.75</v>
      </c>
      <c r="W388" s="6" t="str">
        <v>Internet Services &amp; Software</v>
      </c>
      <c r="X388" s="6" t="str">
        <v>Internet Services &amp; Software</v>
      </c>
      <c r="Y388" s="6" t="str">
        <v>Internet Services &amp; Software</v>
      </c>
      <c r="Z388" s="6" t="str">
        <v>Internet Services &amp; Software</v>
      </c>
      <c r="AA388" s="6" t="str">
        <v>Internet Services &amp; Software</v>
      </c>
      <c r="AB388" s="6" t="str">
        <v>Internet Services &amp; Software</v>
      </c>
      <c r="AC388" s="8">
        <v>118.75</v>
      </c>
      <c r="AD388" s="7">
        <f>=DATE(2012,5,3)</f>
        <v>41031.99949074074</v>
      </c>
      <c r="AF388" s="8" t="str">
        <v>118.75</v>
      </c>
      <c r="AG388" s="8" t="str">
        <v>119.27</v>
      </c>
    </row>
    <row r="389">
      <c r="A389" s="6" t="str">
        <v>30303M</v>
      </c>
      <c r="B389" s="6" t="str">
        <v>United States</v>
      </c>
      <c r="C389" s="6" t="str">
        <v>Facebook Inc</v>
      </c>
      <c r="D389" s="6" t="str">
        <v>Facebook Inc</v>
      </c>
      <c r="F389" s="6" t="str">
        <v>United States</v>
      </c>
      <c r="G389" s="6" t="str">
        <v>Glancee Inc</v>
      </c>
      <c r="H389" s="6" t="str">
        <v>Prepackaged Software</v>
      </c>
      <c r="I389" s="6" t="str">
        <v>37658H</v>
      </c>
      <c r="J389" s="6" t="str">
        <v>Glancee Inc</v>
      </c>
      <c r="K389" s="6" t="str">
        <v>Glancee Inc</v>
      </c>
      <c r="L389" s="7">
        <f>=DATE(2012,5,8)</f>
        <v>41036.99949074074</v>
      </c>
      <c r="M389" s="7">
        <f>=DATE(2012,5,8)</f>
        <v>41036.99949074074</v>
      </c>
      <c r="W389" s="6" t="str">
        <v>Internet Services &amp; Software</v>
      </c>
      <c r="X389" s="6" t="str">
        <v>Internet Services &amp; Software;Communication/Network Software</v>
      </c>
      <c r="Y389" s="6" t="str">
        <v>Internet Services &amp; Software;Communication/Network Software</v>
      </c>
      <c r="Z389" s="6" t="str">
        <v>Internet Services &amp; Software;Communication/Network Software</v>
      </c>
      <c r="AA389" s="6" t="str">
        <v>Internet Services &amp; Software</v>
      </c>
      <c r="AB389" s="6" t="str">
        <v>Internet Services &amp; Software</v>
      </c>
    </row>
    <row r="390">
      <c r="A390" s="6" t="str">
        <v>30303M</v>
      </c>
      <c r="B390" s="6" t="str">
        <v>United States</v>
      </c>
      <c r="C390" s="6" t="str">
        <v>Facebook Inc</v>
      </c>
      <c r="D390" s="6" t="str">
        <v>Facebook Inc</v>
      </c>
      <c r="F390" s="6" t="str">
        <v>United States</v>
      </c>
      <c r="G390" s="6" t="str">
        <v>Karma Science Inc</v>
      </c>
      <c r="H390" s="6" t="str">
        <v>Business Services</v>
      </c>
      <c r="I390" s="6" t="str">
        <v>85759P</v>
      </c>
      <c r="J390" s="6" t="str">
        <v>Karma Science Inc</v>
      </c>
      <c r="K390" s="6" t="str">
        <v>Karma Science Inc</v>
      </c>
      <c r="L390" s="7">
        <f>=DATE(2012,5,18)</f>
        <v>41046.99949074074</v>
      </c>
      <c r="M390" s="7">
        <f>=DATE(2012,5,18)</f>
        <v>41046.99949074074</v>
      </c>
      <c r="W390" s="6" t="str">
        <v>Internet Services &amp; Software</v>
      </c>
      <c r="X390" s="6" t="str">
        <v>Other Computer Related Svcs;Computer Consulting Services;Programming Services</v>
      </c>
      <c r="Y390" s="6" t="str">
        <v>Programming Services;Computer Consulting Services;Other Computer Related Svcs</v>
      </c>
      <c r="Z390" s="6" t="str">
        <v>Programming Services;Other Computer Related Svcs;Computer Consulting Services</v>
      </c>
      <c r="AA390" s="6" t="str">
        <v>Internet Services &amp; Software</v>
      </c>
      <c r="AB390" s="6" t="str">
        <v>Internet Services &amp; Software</v>
      </c>
    </row>
    <row r="391">
      <c r="A391" s="6" t="str">
        <v>30303M</v>
      </c>
      <c r="B391" s="6" t="str">
        <v>United States</v>
      </c>
      <c r="C391" s="6" t="str">
        <v>Facebook Inc</v>
      </c>
      <c r="D391" s="6" t="str">
        <v>Facebook Inc</v>
      </c>
      <c r="F391" s="6" t="str">
        <v>United States</v>
      </c>
      <c r="G391" s="6" t="str">
        <v>Bolt &amp; Peters</v>
      </c>
      <c r="H391" s="6" t="str">
        <v>Business Services</v>
      </c>
      <c r="I391" s="6" t="str">
        <v>09827L</v>
      </c>
      <c r="J391" s="6" t="str">
        <v>Bolt &amp; Peters</v>
      </c>
      <c r="K391" s="6" t="str">
        <v>Bolt &amp; Peters</v>
      </c>
      <c r="L391" s="7">
        <f>=DATE(2012,5,24)</f>
        <v>41052.99949074074</v>
      </c>
      <c r="M391" s="7">
        <f>=DATE(2012,5,24)</f>
        <v>41052.99949074074</v>
      </c>
      <c r="W391" s="6" t="str">
        <v>Internet Services &amp; Software</v>
      </c>
      <c r="X391" s="6" t="str">
        <v>Research &amp; Development Firm;Computer Consulting Services</v>
      </c>
      <c r="Y391" s="6" t="str">
        <v>Research &amp; Development Firm;Computer Consulting Services</v>
      </c>
      <c r="Z391" s="6" t="str">
        <v>Research &amp; Development Firm;Computer Consulting Services</v>
      </c>
      <c r="AA391" s="6" t="str">
        <v>Internet Services &amp; Software</v>
      </c>
      <c r="AB391" s="6" t="str">
        <v>Internet Services &amp; Software</v>
      </c>
    </row>
    <row r="392">
      <c r="A392" s="6" t="str">
        <v>38259P</v>
      </c>
      <c r="B392" s="6" t="str">
        <v>United States</v>
      </c>
      <c r="C392" s="6" t="str">
        <v>Google Inc</v>
      </c>
      <c r="D392" s="6" t="str">
        <v>Alphabet Inc</v>
      </c>
      <c r="F392" s="6" t="str">
        <v>United States</v>
      </c>
      <c r="G392" s="6" t="str">
        <v>Meebo.com Inc</v>
      </c>
      <c r="H392" s="6" t="str">
        <v>Business Services</v>
      </c>
      <c r="I392" s="6" t="str">
        <v>58646X</v>
      </c>
      <c r="J392" s="6" t="str">
        <v>Meebo.com Inc</v>
      </c>
      <c r="K392" s="6" t="str">
        <v>Meebo.com Inc</v>
      </c>
      <c r="L392" s="7">
        <f>=DATE(2012,6,4)</f>
        <v>41063.99949074074</v>
      </c>
      <c r="M392" s="7">
        <f>=DATE(2012,12,3)</f>
        <v>41245.99949074074</v>
      </c>
      <c r="W392" s="6" t="str">
        <v>Programming Services;Internet Services &amp; Software</v>
      </c>
      <c r="X392" s="6" t="str">
        <v>Internet Services &amp; Software</v>
      </c>
      <c r="Y392" s="6" t="str">
        <v>Internet Services &amp; Software</v>
      </c>
      <c r="Z392" s="6" t="str">
        <v>Internet Services &amp; Software</v>
      </c>
      <c r="AA392" s="6" t="str">
        <v>Programming Services;Internet Services &amp; Software;Computer Consulting Services;Telecommunications Equipment;Primary Business not Hi-Tech</v>
      </c>
      <c r="AB392" s="6" t="str">
        <v>Computer Consulting Services;Internet Services &amp; Software;Telecommunications Equipment;Primary Business not Hi-Tech;Programming Services</v>
      </c>
    </row>
    <row r="393">
      <c r="A393" s="6" t="str">
        <v>38259P</v>
      </c>
      <c r="B393" s="6" t="str">
        <v>United States</v>
      </c>
      <c r="C393" s="6" t="str">
        <v>Google Inc</v>
      </c>
      <c r="D393" s="6" t="str">
        <v>Alphabet Inc</v>
      </c>
      <c r="F393" s="6" t="str">
        <v>United States</v>
      </c>
      <c r="G393" s="6" t="str">
        <v>Quickoffice Inc</v>
      </c>
      <c r="H393" s="6" t="str">
        <v>Prepackaged Software</v>
      </c>
      <c r="I393" s="6" t="str">
        <v>75466V</v>
      </c>
      <c r="J393" s="6" t="str">
        <v>Quickoffice Inc</v>
      </c>
      <c r="K393" s="6" t="str">
        <v>Quickoffice Inc</v>
      </c>
      <c r="L393" s="7">
        <f>=DATE(2012,6,5)</f>
        <v>41064.99949074074</v>
      </c>
      <c r="M393" s="7">
        <f>=DATE(2012,6,5)</f>
        <v>41064.99949074074</v>
      </c>
      <c r="W393" s="6" t="str">
        <v>Programming Services;Internet Services &amp; Software</v>
      </c>
      <c r="X393" s="6" t="str">
        <v>Other Software (inq. Games);Computer Consulting Services;Other Computer Related Svcs;Data Processing Services</v>
      </c>
      <c r="Y393" s="6" t="str">
        <v>Other Software (inq. Games);Data Processing Services;Other Computer Related Svcs;Computer Consulting Services</v>
      </c>
      <c r="Z393" s="6" t="str">
        <v>Other Computer Related Svcs;Computer Consulting Services;Other Software (inq. Games);Data Processing Services</v>
      </c>
      <c r="AA393" s="6" t="str">
        <v>Computer Consulting Services;Telecommunications Equipment;Internet Services &amp; Software;Primary Business not Hi-Tech;Programming Services</v>
      </c>
      <c r="AB393" s="6" t="str">
        <v>Computer Consulting Services;Telecommunications Equipment;Programming Services;Internet Services &amp; Software;Primary Business not Hi-Tech</v>
      </c>
    </row>
    <row r="394">
      <c r="A394" s="6" t="str">
        <v>594918</v>
      </c>
      <c r="B394" s="6" t="str">
        <v>United States</v>
      </c>
      <c r="C394" s="6" t="str">
        <v>Microsoft Corp</v>
      </c>
      <c r="D394" s="6" t="str">
        <v>Microsoft Corp</v>
      </c>
      <c r="F394" s="6" t="str">
        <v>United States</v>
      </c>
      <c r="G394" s="6" t="str">
        <v>Yammer Inc</v>
      </c>
      <c r="H394" s="6" t="str">
        <v>Prepackaged Software</v>
      </c>
      <c r="I394" s="6" t="str">
        <v>99521P</v>
      </c>
      <c r="J394" s="6" t="str">
        <v>Yammer Inc</v>
      </c>
      <c r="K394" s="6" t="str">
        <v>Yammer Inc</v>
      </c>
      <c r="L394" s="7">
        <f>=DATE(2012,6,25)</f>
        <v>41084.99949074074</v>
      </c>
      <c r="M394" s="7">
        <f>=DATE(2012,7,19)</f>
        <v>41108.99949074074</v>
      </c>
      <c r="N394" s="8">
        <v>1200</v>
      </c>
      <c r="O394" s="8">
        <v>1200</v>
      </c>
      <c r="W394" s="6" t="str">
        <v>Computer Consulting Services;Internet Services &amp; Software;Applications Software(Business;Operating Systems;Other Peripherals;Monitors/Terminals</v>
      </c>
      <c r="X394" s="6" t="str">
        <v>Applications Software(Business;Internet Services &amp; Software</v>
      </c>
      <c r="Y394" s="6" t="str">
        <v>Applications Software(Business;Internet Services &amp; Software</v>
      </c>
      <c r="Z394" s="6" t="str">
        <v>Internet Services &amp; Software;Applications Software(Business</v>
      </c>
      <c r="AA394" s="6" t="str">
        <v>Applications Software(Business;Internet Services &amp; Software;Computer Consulting Services;Monitors/Terminals;Other Peripherals;Operating Systems</v>
      </c>
      <c r="AB394" s="6" t="str">
        <v>Monitors/Terminals;Operating Systems;Other Peripherals;Internet Services &amp; Software;Applications Software(Business;Computer Consulting Services</v>
      </c>
      <c r="AC394" s="8">
        <v>1200</v>
      </c>
      <c r="AD394" s="7">
        <f>=DATE(2012,6,25)</f>
        <v>41084.99949074074</v>
      </c>
    </row>
    <row r="395">
      <c r="A395" s="6" t="str">
        <v>07573T</v>
      </c>
      <c r="B395" s="6" t="str">
        <v>United States</v>
      </c>
      <c r="C395" s="6" t="str">
        <v>Beats Electronics LLC</v>
      </c>
      <c r="D395" s="6" t="str">
        <v>HTC Corp</v>
      </c>
      <c r="F395" s="6" t="str">
        <v>United States</v>
      </c>
      <c r="G395" s="6" t="str">
        <v>MOG Inc</v>
      </c>
      <c r="H395" s="6" t="str">
        <v>Prepackaged Software</v>
      </c>
      <c r="I395" s="6" t="str">
        <v>60607V</v>
      </c>
      <c r="J395" s="6" t="str">
        <v>MOG Inc</v>
      </c>
      <c r="K395" s="6" t="str">
        <v>MOG Inc</v>
      </c>
      <c r="L395" s="7">
        <f>=DATE(2012,7,2)</f>
        <v>41091.99949074074</v>
      </c>
      <c r="M395" s="7">
        <f>=DATE(2012,7,2)</f>
        <v>41091.99949074074</v>
      </c>
      <c r="W395" s="6" t="str">
        <v>Other Peripherals</v>
      </c>
      <c r="X395" s="6" t="str">
        <v>Other Computer Related Svcs;Internet Services &amp; Software;Other Software (inq. Games)</v>
      </c>
      <c r="Y395" s="6" t="str">
        <v>Internet Services &amp; Software;Other Software (inq. Games);Other Computer Related Svcs</v>
      </c>
      <c r="Z395" s="6" t="str">
        <v>Other Software (inq. Games);Internet Services &amp; Software;Other Computer Related Svcs</v>
      </c>
      <c r="AA395" s="6" t="str">
        <v>Portable Computers;Other Telecommunications Equip;Micro-Computers (PCs)</v>
      </c>
      <c r="AB395" s="6" t="str">
        <v>Other Telecommunications Equip;Portable Computers;Micro-Computers (PCs)</v>
      </c>
    </row>
    <row r="396">
      <c r="A396" s="6" t="str">
        <v>594918</v>
      </c>
      <c r="B396" s="6" t="str">
        <v>United States</v>
      </c>
      <c r="C396" s="6" t="str">
        <v>Microsoft Corp</v>
      </c>
      <c r="D396" s="6" t="str">
        <v>Microsoft Corp</v>
      </c>
      <c r="F396" s="6" t="str">
        <v>United States</v>
      </c>
      <c r="G396" s="6" t="str">
        <v>Perceptive Pixel Inc</v>
      </c>
      <c r="H396" s="6" t="str">
        <v>Prepackaged Software</v>
      </c>
      <c r="I396" s="6" t="str">
        <v>71410V</v>
      </c>
      <c r="J396" s="6" t="str">
        <v>Perceptive Pixel Inc</v>
      </c>
      <c r="K396" s="6" t="str">
        <v>Perceptive Pixel Inc</v>
      </c>
      <c r="L396" s="7">
        <f>=DATE(2012,7,9)</f>
        <v>41098.99949074074</v>
      </c>
      <c r="M396" s="7">
        <f>=DATE(2012,7,30)</f>
        <v>41119.99949074074</v>
      </c>
      <c r="W396" s="6" t="str">
        <v>Internet Services &amp; Software;Operating Systems;Monitors/Terminals;Applications Software(Business;Computer Consulting Services;Other Peripherals</v>
      </c>
      <c r="X396" s="6" t="str">
        <v>Other Software (inq. Games);Semiconductors;Superconductors</v>
      </c>
      <c r="Y396" s="6" t="str">
        <v>Other Software (inq. Games);Semiconductors;Superconductors</v>
      </c>
      <c r="Z396" s="6" t="str">
        <v>Semiconductors;Superconductors;Other Software (inq. Games)</v>
      </c>
      <c r="AA396" s="6" t="str">
        <v>Computer Consulting Services;Internet Services &amp; Software;Operating Systems;Other Peripherals;Applications Software(Business;Monitors/Terminals</v>
      </c>
      <c r="AB396" s="6" t="str">
        <v>Operating Systems;Applications Software(Business;Computer Consulting Services;Other Peripherals;Internet Services &amp; Software;Monitors/Terminals</v>
      </c>
    </row>
    <row r="397">
      <c r="A397" s="6" t="str">
        <v>30303M</v>
      </c>
      <c r="B397" s="6" t="str">
        <v>United States</v>
      </c>
      <c r="C397" s="6" t="str">
        <v>Facebook Inc</v>
      </c>
      <c r="D397" s="6" t="str">
        <v>Facebook Inc</v>
      </c>
      <c r="F397" s="6" t="str">
        <v>United States</v>
      </c>
      <c r="G397" s="6" t="str">
        <v>Spool Inc</v>
      </c>
      <c r="H397" s="6" t="str">
        <v>Prepackaged Software</v>
      </c>
      <c r="I397" s="6" t="str">
        <v>84901Z</v>
      </c>
      <c r="J397" s="6" t="str">
        <v>Spool Inc</v>
      </c>
      <c r="K397" s="6" t="str">
        <v>Spool Inc</v>
      </c>
      <c r="L397" s="7">
        <f>=DATE(2012,7,14)</f>
        <v>41103.99949074074</v>
      </c>
      <c r="M397" s="7">
        <f>=DATE(2012,7,14)</f>
        <v>41103.99949074074</v>
      </c>
      <c r="W397" s="6" t="str">
        <v>Internet Services &amp; Software</v>
      </c>
      <c r="X397" s="6" t="str">
        <v>Applications Software(Business</v>
      </c>
      <c r="Y397" s="6" t="str">
        <v>Applications Software(Business</v>
      </c>
      <c r="Z397" s="6" t="str">
        <v>Applications Software(Business</v>
      </c>
      <c r="AA397" s="6" t="str">
        <v>Internet Services &amp; Software</v>
      </c>
      <c r="AB397" s="6" t="str">
        <v>Internet Services &amp; Software</v>
      </c>
    </row>
    <row r="398">
      <c r="A398" s="6" t="str">
        <v>07573T</v>
      </c>
      <c r="B398" s="6" t="str">
        <v>United States</v>
      </c>
      <c r="C398" s="6" t="str">
        <v>Beats Electronics LLC</v>
      </c>
      <c r="D398" s="6" t="str">
        <v>HTC Corp</v>
      </c>
      <c r="F398" s="6" t="str">
        <v>United States</v>
      </c>
      <c r="G398" s="6" t="str">
        <v>Beats Electronics LLC</v>
      </c>
      <c r="H398" s="6" t="str">
        <v>Electronic and Electrical Equipment</v>
      </c>
      <c r="I398" s="6" t="str">
        <v>07573T</v>
      </c>
      <c r="J398" s="6" t="str">
        <v>HTC Corp</v>
      </c>
      <c r="K398" s="6" t="str">
        <v>HTC Corp</v>
      </c>
      <c r="L398" s="7">
        <f>=DATE(2012,7,23)</f>
        <v>41112.99949074074</v>
      </c>
      <c r="M398" s="7">
        <f>=DATE(2012,7,23)</f>
        <v>41112.99949074074</v>
      </c>
      <c r="N398" s="8">
        <v>150</v>
      </c>
      <c r="O398" s="8">
        <v>150</v>
      </c>
      <c r="W398" s="6" t="str">
        <v>Other Peripherals</v>
      </c>
      <c r="X398" s="6" t="str">
        <v>Other Peripherals</v>
      </c>
      <c r="Y398" s="6" t="str">
        <v>Other Telecommunications Equip;Portable Computers;Micro-Computers (PCs)</v>
      </c>
      <c r="Z398" s="6" t="str">
        <v>Portable Computers;Other Telecommunications Equip;Micro-Computers (PCs)</v>
      </c>
      <c r="AA398" s="6" t="str">
        <v>Portable Computers;Other Telecommunications Equip;Micro-Computers (PCs)</v>
      </c>
      <c r="AB398" s="6" t="str">
        <v>Micro-Computers (PCs);Portable Computers;Other Telecommunications Equip</v>
      </c>
      <c r="AC398" s="8">
        <v>150</v>
      </c>
      <c r="AD398" s="7">
        <f>=DATE(2012,7,23)</f>
        <v>41112.99949074074</v>
      </c>
      <c r="AF398" s="8" t="str">
        <v>600.00</v>
      </c>
      <c r="AG398" s="8" t="str">
        <v>600.00</v>
      </c>
    </row>
    <row r="399">
      <c r="A399" s="6" t="str">
        <v>037833</v>
      </c>
      <c r="B399" s="6" t="str">
        <v>United States</v>
      </c>
      <c r="C399" s="6" t="str">
        <v>Apple Inc</v>
      </c>
      <c r="D399" s="6" t="str">
        <v>Apple Inc</v>
      </c>
      <c r="F399" s="6" t="str">
        <v>United States</v>
      </c>
      <c r="G399" s="6" t="str">
        <v>AuthenTec Inc</v>
      </c>
      <c r="H399" s="6" t="str">
        <v>Electronic and Electrical Equipment</v>
      </c>
      <c r="I399" s="6" t="str">
        <v>052660</v>
      </c>
      <c r="J399" s="6" t="str">
        <v>AuthenTec Inc</v>
      </c>
      <c r="K399" s="6" t="str">
        <v>AuthenTec Inc</v>
      </c>
      <c r="L399" s="7">
        <f>=DATE(2012,7,27)</f>
        <v>41116.99949074074</v>
      </c>
      <c r="M399" s="7">
        <f>=DATE(2012,10,4)</f>
        <v>41185.99949074074</v>
      </c>
      <c r="N399" s="8">
        <v>392.865</v>
      </c>
      <c r="O399" s="8">
        <v>392.865</v>
      </c>
      <c r="P399" s="8" t="str">
        <v>373.34</v>
      </c>
      <c r="R399" s="8">
        <v>-2.461</v>
      </c>
      <c r="S399" s="8">
        <v>76.11</v>
      </c>
      <c r="T399" s="8">
        <v>0.608</v>
      </c>
      <c r="U399" s="8">
        <v>6.987</v>
      </c>
      <c r="V399" s="8">
        <v>6.966</v>
      </c>
      <c r="W399" s="6" t="str">
        <v>Disk Drives;Other Software (inq. Games);Printers;Portable Computers;Other Peripherals;Micro-Computers (PCs);Mainframes &amp; Super Computers;Monitors/Terminals</v>
      </c>
      <c r="X399" s="6" t="str">
        <v>Other Electronics;Semiconductors;Search, Detection, Navigation</v>
      </c>
      <c r="Y399" s="6" t="str">
        <v>Semiconductors;Other Electronics;Search, Detection, Navigation</v>
      </c>
      <c r="Z399" s="6" t="str">
        <v>Semiconductors;Other Electronics;Search, Detection, Navigation</v>
      </c>
      <c r="AA399" s="6" t="str">
        <v>Portable Computers;Printers;Mainframes &amp; Super Computers;Other Software (inq. Games);Micro-Computers (PCs);Disk Drives;Other Peripherals;Monitors/Terminals</v>
      </c>
      <c r="AB399" s="6" t="str">
        <v>Monitors/Terminals;Other Software (inq. Games);Printers;Disk Drives;Mainframes &amp; Super Computers;Other Peripherals;Micro-Computers (PCs);Portable Computers</v>
      </c>
      <c r="AC399" s="8">
        <v>392.865</v>
      </c>
      <c r="AD399" s="7">
        <f>=DATE(2012,7,27)</f>
        <v>41116.99949074074</v>
      </c>
      <c r="AE399" s="8">
        <v>413.893176</v>
      </c>
      <c r="AF399" s="8" t="str">
        <v>371.55</v>
      </c>
      <c r="AG399" s="8" t="str">
        <v>373.34</v>
      </c>
    </row>
    <row r="400">
      <c r="A400" s="6" t="str">
        <v>38259P</v>
      </c>
      <c r="B400" s="6" t="str">
        <v>United States</v>
      </c>
      <c r="C400" s="6" t="str">
        <v>Google Inc</v>
      </c>
      <c r="D400" s="6" t="str">
        <v>Alphabet Inc</v>
      </c>
      <c r="F400" s="6" t="str">
        <v>United States</v>
      </c>
      <c r="G400" s="6" t="str">
        <v>Wildfire Interactive Inc</v>
      </c>
      <c r="H400" s="6" t="str">
        <v>Business Services</v>
      </c>
      <c r="I400" s="6" t="str">
        <v>96788Q</v>
      </c>
      <c r="J400" s="6" t="str">
        <v>Wildfire Interactive Inc</v>
      </c>
      <c r="K400" s="6" t="str">
        <v>Wildfire Interactive Inc</v>
      </c>
      <c r="L400" s="7">
        <f>=DATE(2012,7,31)</f>
        <v>41120.99949074074</v>
      </c>
      <c r="M400" s="7">
        <f>=DATE(2012,7,31)</f>
        <v>41120.99949074074</v>
      </c>
      <c r="N400" s="8">
        <v>250</v>
      </c>
      <c r="O400" s="8">
        <v>250</v>
      </c>
      <c r="W400" s="6" t="str">
        <v>Internet Services &amp; Software;Programming Services</v>
      </c>
      <c r="X400" s="6" t="str">
        <v>Applications Software(Business;Internet Services &amp; Software;Communication/Network Software;Other Software (inq. Games);Networking Systems (LAN,WAN)</v>
      </c>
      <c r="Y400" s="6" t="str">
        <v>Internet Services &amp; Software;Applications Software(Business;Other Software (inq. Games);Communication/Network Software;Networking Systems (LAN,WAN)</v>
      </c>
      <c r="Z400" s="6" t="str">
        <v>Applications Software(Business;Communication/Network Software;Internet Services &amp; Software;Other Software (inq. Games);Networking Systems (LAN,WAN)</v>
      </c>
      <c r="AA400" s="6" t="str">
        <v>Computer Consulting Services;Programming Services;Internet Services &amp; Software;Primary Business not Hi-Tech;Telecommunications Equipment</v>
      </c>
      <c r="AB400" s="6" t="str">
        <v>Internet Services &amp; Software;Computer Consulting Services;Telecommunications Equipment;Programming Services;Primary Business not Hi-Tech</v>
      </c>
      <c r="AC400" s="8">
        <v>250</v>
      </c>
      <c r="AD400" s="7">
        <f>=DATE(2012,7,31)</f>
        <v>41120.99949074074</v>
      </c>
    </row>
    <row r="401">
      <c r="A401" s="6" t="str">
        <v>38259P</v>
      </c>
      <c r="B401" s="6" t="str">
        <v>United States</v>
      </c>
      <c r="C401" s="6" t="str">
        <v>Google Inc</v>
      </c>
      <c r="D401" s="6" t="str">
        <v>Alphabet Inc</v>
      </c>
      <c r="F401" s="6" t="str">
        <v>United States</v>
      </c>
      <c r="G401" s="6" t="str">
        <v>John Wiley &amp; Sons Inc-Consumer Print &amp; Digital Publishing Asset</v>
      </c>
      <c r="H401" s="6" t="str">
        <v>Printing, Publishing, and Allied Services</v>
      </c>
      <c r="I401" s="6" t="str">
        <v>96831N</v>
      </c>
      <c r="J401" s="6" t="str">
        <v>John Wiley &amp; Sons Inc</v>
      </c>
      <c r="K401" s="6" t="str">
        <v>John Wiley &amp; Sons Inc</v>
      </c>
      <c r="L401" s="7">
        <f>=DATE(2012,8,13)</f>
        <v>41133.99949074074</v>
      </c>
      <c r="M401" s="7">
        <f>=DATE(2012,8,31)</f>
        <v>41151.99949074074</v>
      </c>
      <c r="W401" s="6" t="str">
        <v>Internet Services &amp; Software;Programming Services</v>
      </c>
      <c r="X401" s="6" t="str">
        <v>Internet Services &amp; Software</v>
      </c>
      <c r="Y401" s="6" t="str">
        <v>Internet Services &amp; Software</v>
      </c>
      <c r="Z401" s="6" t="str">
        <v>Internet Services &amp; Software</v>
      </c>
      <c r="AA401" s="6" t="str">
        <v>Primary Business not Hi-Tech;Programming Services;Telecommunications Equipment;Internet Services &amp; Software;Computer Consulting Services</v>
      </c>
      <c r="AB401" s="6" t="str">
        <v>Programming Services;Primary Business not Hi-Tech;Telecommunications Equipment;Computer Consulting Services;Internet Services &amp; Software</v>
      </c>
    </row>
    <row r="402">
      <c r="A402" s="6" t="str">
        <v>30303M</v>
      </c>
      <c r="B402" s="6" t="str">
        <v>United States</v>
      </c>
      <c r="C402" s="6" t="str">
        <v>Facebook Inc</v>
      </c>
      <c r="D402" s="6" t="str">
        <v>Facebook Inc</v>
      </c>
      <c r="F402" s="6" t="str">
        <v>United States</v>
      </c>
      <c r="G402" s="6" t="str">
        <v>Threadsy Inc</v>
      </c>
      <c r="H402" s="6" t="str">
        <v>Prepackaged Software</v>
      </c>
      <c r="I402" s="6" t="str">
        <v>93662K</v>
      </c>
      <c r="J402" s="6" t="str">
        <v>Threadsy Inc</v>
      </c>
      <c r="K402" s="6" t="str">
        <v>Threadsy Inc</v>
      </c>
      <c r="L402" s="7">
        <f>=DATE(2012,8,24)</f>
        <v>41144.99949074074</v>
      </c>
      <c r="M402" s="7">
        <f>=DATE(2012,8,24)</f>
        <v>41144.99949074074</v>
      </c>
      <c r="W402" s="6" t="str">
        <v>Internet Services &amp; Software</v>
      </c>
      <c r="X402" s="6" t="str">
        <v>Database Software/Programming;Programming Services;Communication/Network Software;Applications Software(Home);Applications Software(Business;Utilities/File Mgmt Software</v>
      </c>
      <c r="Y402" s="6" t="str">
        <v>Database Software/Programming;Communication/Network Software;Applications Software(Business;Applications Software(Home);Utilities/File Mgmt Software;Programming Services</v>
      </c>
      <c r="Z402" s="6" t="str">
        <v>Applications Software(Business;Database Software/Programming;Utilities/File Mgmt Software;Applications Software(Home);Programming Services;Communication/Network Software</v>
      </c>
      <c r="AA402" s="6" t="str">
        <v>Internet Services &amp; Software</v>
      </c>
      <c r="AB402" s="6" t="str">
        <v>Internet Services &amp; Software</v>
      </c>
    </row>
    <row r="403">
      <c r="A403" s="6" t="str">
        <v>037833</v>
      </c>
      <c r="B403" s="6" t="str">
        <v>United States</v>
      </c>
      <c r="C403" s="6" t="str">
        <v>Apple Inc</v>
      </c>
      <c r="D403" s="6" t="str">
        <v>Apple Inc</v>
      </c>
      <c r="F403" s="6" t="str">
        <v>United States</v>
      </c>
      <c r="G403" s="6" t="str">
        <v>Apple Inc</v>
      </c>
      <c r="H403" s="6" t="str">
        <v>Computer and Office Equipment</v>
      </c>
      <c r="I403" s="6" t="str">
        <v>037833</v>
      </c>
      <c r="J403" s="6" t="str">
        <v>Apple Inc</v>
      </c>
      <c r="K403" s="6" t="str">
        <v>Apple Inc</v>
      </c>
      <c r="L403" s="7">
        <f>=DATE(2012,8,31)</f>
        <v>41151.99949074074</v>
      </c>
      <c r="M403" s="7">
        <f>=DATE(2013,4,1)</f>
        <v>41364.99949074074</v>
      </c>
      <c r="N403" s="8">
        <v>2000</v>
      </c>
      <c r="O403" s="8">
        <v>2000</v>
      </c>
      <c r="P403" s="8" t="str">
        <v>432,109.59</v>
      </c>
      <c r="R403" s="8">
        <v>40133</v>
      </c>
      <c r="S403" s="8">
        <v>148812</v>
      </c>
      <c r="T403" s="8">
        <v>755</v>
      </c>
      <c r="U403" s="8">
        <v>-57050</v>
      </c>
      <c r="V403" s="8">
        <v>53739</v>
      </c>
      <c r="W403" s="6" t="str">
        <v>Portable Computers;Disk Drives;Monitors/Terminals;Mainframes &amp; Super Computers;Other Software (inq. Games);Printers;Other Peripherals;Micro-Computers (PCs)</v>
      </c>
      <c r="X403" s="6" t="str">
        <v>Other Software (inq. Games);Other Peripherals;Micro-Computers (PCs);Disk Drives;Printers;Portable Computers;Monitors/Terminals;Mainframes &amp; Super Computers</v>
      </c>
      <c r="Y403" s="6" t="str">
        <v>Monitors/Terminals;Micro-Computers (PCs);Disk Drives;Printers;Other Software (inq. Games);Mainframes &amp; Super Computers;Portable Computers;Other Peripherals</v>
      </c>
      <c r="Z403" s="6" t="str">
        <v>Other Software (inq. Games);Mainframes &amp; Super Computers;Printers;Disk Drives;Portable Computers;Monitors/Terminals;Micro-Computers (PCs);Other Peripherals</v>
      </c>
      <c r="AA403" s="6" t="str">
        <v>Other Software (inq. Games);Disk Drives;Mainframes &amp; Super Computers;Monitors/Terminals;Micro-Computers (PCs);Other Peripherals;Portable Computers;Printers</v>
      </c>
      <c r="AB403" s="6" t="str">
        <v>Mainframes &amp; Super Computers;Other Peripherals;Portable Computers;Micro-Computers (PCs);Monitors/Terminals;Printers;Disk Drives;Other Software (inq. Games)</v>
      </c>
      <c r="AC403" s="8">
        <v>2000</v>
      </c>
      <c r="AD403" s="7">
        <f>=DATE(2012,8,31)</f>
        <v>41151.99949074074</v>
      </c>
      <c r="AF403" s="8" t="str">
        <v>432,109.59</v>
      </c>
      <c r="AG403" s="8" t="str">
        <v>432,109.59</v>
      </c>
    </row>
    <row r="404">
      <c r="A404" s="6" t="str">
        <v>67020Y</v>
      </c>
      <c r="B404" s="6" t="str">
        <v>United States</v>
      </c>
      <c r="C404" s="6" t="str">
        <v>Nuance Communications Inc</v>
      </c>
      <c r="D404" s="6" t="str">
        <v>Nuance Communications Inc</v>
      </c>
      <c r="F404" s="6" t="str">
        <v>United States</v>
      </c>
      <c r="G404" s="6" t="str">
        <v>Ditech Networks Inc</v>
      </c>
      <c r="H404" s="6" t="str">
        <v>Communications Equipment</v>
      </c>
      <c r="I404" s="6" t="str">
        <v>25500T</v>
      </c>
      <c r="J404" s="6" t="str">
        <v>Ditech Networks Inc</v>
      </c>
      <c r="K404" s="6" t="str">
        <v>Ditech Networks Inc</v>
      </c>
      <c r="L404" s="7">
        <f>=DATE(2012,9,18)</f>
        <v>41169.99949074074</v>
      </c>
      <c r="M404" s="7">
        <f>=DATE(2012,12,4)</f>
        <v>41246.99949074074</v>
      </c>
      <c r="N404" s="8">
        <v>38.998</v>
      </c>
      <c r="O404" s="8">
        <v>38.998</v>
      </c>
      <c r="P404" s="8" t="str">
        <v>18.14</v>
      </c>
      <c r="R404" s="8">
        <v>-10.94</v>
      </c>
      <c r="S404" s="8">
        <v>16.52</v>
      </c>
      <c r="T404" s="8">
        <v>0.123</v>
      </c>
      <c r="U404" s="8">
        <v>0.256</v>
      </c>
      <c r="V404" s="8">
        <v>-4.275</v>
      </c>
      <c r="W404" s="6" t="str">
        <v>Primary Business not Hi-Tech;Database Software/Programming;Other Computer Related Svcs;Applications Software(Business;Computer Consulting Services;Programming Services;Communication/Network Software;Networking Systems (LAN,WAN);Desktop Publishing;Applications Software(Home);Other Software (inq. Games);Internet Services &amp; Software;Utilities/File Mgmt Software</v>
      </c>
      <c r="X404" s="6" t="str">
        <v>Other Telecommunications Equip;Modems;Telephone Interconnect Equip;Facsimile Equipment;Communication/Network Software</v>
      </c>
      <c r="Y404" s="6" t="str">
        <v>Telephone Interconnect Equip;Modems;Other Telecommunications Equip;Facsimile Equipment;Communication/Network Software</v>
      </c>
      <c r="Z404" s="6" t="str">
        <v>Facsimile Equipment;Modems;Other Telecommunications Equip;Communication/Network Software;Telephone Interconnect Equip</v>
      </c>
      <c r="AA404" s="6" t="str">
        <v>Other Computer Related Svcs;Computer Consulting Services;Desktop Publishing;Other Software (inq. Games);Programming Services;Utilities/File Mgmt Software;Networking Systems (LAN,WAN);Communication/Network Software;Database Software/Programming;Internet Services &amp; Software;Primary Business not Hi-Tech;Applications Software(Home);Applications Software(Business</v>
      </c>
      <c r="AB404" s="6" t="str">
        <v>Programming Services;Applications Software(Business;Communication/Network Software;Database Software/Programming;Other Computer Related Svcs;Computer Consulting Services;Desktop Publishing;Primary Business not Hi-Tech;Networking Systems (LAN,WAN);Applications Software(Home);Utilities/File Mgmt Software;Internet Services &amp; Software;Other Software (inq. Games)</v>
      </c>
      <c r="AC404" s="8">
        <v>38.998</v>
      </c>
      <c r="AD404" s="7">
        <f>=DATE(2012,9,18)</f>
        <v>41169.99949074074</v>
      </c>
      <c r="AE404" s="8">
        <v>38.99769635</v>
      </c>
      <c r="AF404" s="8" t="str">
        <v>18.14</v>
      </c>
      <c r="AG404" s="8" t="str">
        <v>18.14</v>
      </c>
    </row>
    <row r="405">
      <c r="A405" s="6" t="str">
        <v>67020Y</v>
      </c>
      <c r="B405" s="6" t="str">
        <v>United States</v>
      </c>
      <c r="C405" s="6" t="str">
        <v>Nuance Communications Inc</v>
      </c>
      <c r="D405" s="6" t="str">
        <v>Nuance Communications Inc</v>
      </c>
      <c r="F405" s="6" t="str">
        <v>United States</v>
      </c>
      <c r="G405" s="6" t="str">
        <v>JA Thomas &amp; Associates Inc</v>
      </c>
      <c r="H405" s="6" t="str">
        <v>Business Services</v>
      </c>
      <c r="I405" s="6" t="str">
        <v>49111M</v>
      </c>
      <c r="J405" s="6" t="str">
        <v>JA Thomas &amp; Associates Inc</v>
      </c>
      <c r="K405" s="6" t="str">
        <v>JA Thomas &amp; Associates Inc</v>
      </c>
      <c r="L405" s="7">
        <f>=DATE(2012,10,1)</f>
        <v>41182.99949074074</v>
      </c>
      <c r="M405" s="7">
        <f>=DATE(2012,10,1)</f>
        <v>41182.99949074074</v>
      </c>
      <c r="N405" s="8">
        <v>265</v>
      </c>
      <c r="O405" s="8">
        <v>265</v>
      </c>
      <c r="W405" s="6" t="str">
        <v>Desktop Publishing;Communication/Network Software;Database Software/Programming;Computer Consulting Services;Internet Services &amp; Software;Primary Business not Hi-Tech;Other Software (inq. Games);Utilities/File Mgmt Software;Other Computer Related Svcs;Applications Software(Home);Programming Services;Applications Software(Business;Networking Systems (LAN,WAN)</v>
      </c>
      <c r="X405" s="6" t="str">
        <v>Data Processing Services</v>
      </c>
      <c r="Y405" s="6" t="str">
        <v>Data Processing Services</v>
      </c>
      <c r="Z405" s="6" t="str">
        <v>Data Processing Services</v>
      </c>
      <c r="AA405" s="6" t="str">
        <v>Desktop Publishing;Computer Consulting Services;Internet Services &amp; Software;Networking Systems (LAN,WAN);Primary Business not Hi-Tech;Other Software (inq. Games);Utilities/File Mgmt Software;Other Computer Related Svcs;Programming Services;Applications Software(Home);Database Software/Programming;Communication/Network Software;Applications Software(Business</v>
      </c>
      <c r="AB405" s="6" t="str">
        <v>Utilities/File Mgmt Software;Other Software (inq. Games);Internet Services &amp; Software;Primary Business not Hi-Tech;Communication/Network Software;Applications Software(Business;Programming Services;Database Software/Programming;Other Computer Related Svcs;Networking Systems (LAN,WAN);Desktop Publishing;Computer Consulting Services;Applications Software(Home)</v>
      </c>
      <c r="AC405" s="8">
        <v>265</v>
      </c>
      <c r="AD405" s="7">
        <f>=DATE(2012,10,5)</f>
        <v>41186.99949074074</v>
      </c>
    </row>
    <row r="406">
      <c r="A406" s="6" t="str">
        <v>594918</v>
      </c>
      <c r="B406" s="6" t="str">
        <v>United States</v>
      </c>
      <c r="C406" s="6" t="str">
        <v>Microsoft Corp</v>
      </c>
      <c r="D406" s="6" t="str">
        <v>Microsoft Corp</v>
      </c>
      <c r="F406" s="6" t="str">
        <v>United States</v>
      </c>
      <c r="G406" s="6" t="str">
        <v>PhoneFactor Inc</v>
      </c>
      <c r="H406" s="6" t="str">
        <v>Telecommunications</v>
      </c>
      <c r="I406" s="6" t="str">
        <v>71874W</v>
      </c>
      <c r="J406" s="6" t="str">
        <v>PhoneFactor Inc</v>
      </c>
      <c r="K406" s="6" t="str">
        <v>PhoneFactor Inc</v>
      </c>
      <c r="L406" s="7">
        <f>=DATE(2012,10,4)</f>
        <v>41185.99949074074</v>
      </c>
      <c r="M406" s="7">
        <f>=DATE(2012,10,4)</f>
        <v>41185.99949074074</v>
      </c>
      <c r="W406" s="6" t="str">
        <v>Monitors/Terminals;Applications Software(Business;Operating Systems;Internet Services &amp; Software;Computer Consulting Services;Other Peripherals</v>
      </c>
      <c r="X406" s="6" t="str">
        <v>Internet Services &amp; Software</v>
      </c>
      <c r="Y406" s="6" t="str">
        <v>Internet Services &amp; Software</v>
      </c>
      <c r="Z406" s="6" t="str">
        <v>Internet Services &amp; Software</v>
      </c>
      <c r="AA406" s="6" t="str">
        <v>Other Peripherals;Internet Services &amp; Software;Monitors/Terminals;Applications Software(Business;Computer Consulting Services;Operating Systems</v>
      </c>
      <c r="AB406" s="6" t="str">
        <v>Internet Services &amp; Software;Monitors/Terminals;Operating Systems;Computer Consulting Services;Other Peripherals;Applications Software(Business</v>
      </c>
    </row>
    <row r="407">
      <c r="A407" s="6" t="str">
        <v>620097</v>
      </c>
      <c r="B407" s="6" t="str">
        <v>United States</v>
      </c>
      <c r="C407" s="6" t="str">
        <v>Motorola Mobility Holdings Inc</v>
      </c>
      <c r="D407" s="6" t="str">
        <v>Alphabet Inc</v>
      </c>
      <c r="F407" s="6" t="str">
        <v>United States</v>
      </c>
      <c r="G407" s="6" t="str">
        <v>Viewdle Inc</v>
      </c>
      <c r="H407" s="6" t="str">
        <v>Prepackaged Software</v>
      </c>
      <c r="I407" s="6" t="str">
        <v>92730M</v>
      </c>
      <c r="J407" s="6" t="str">
        <v>Viewdle Inc</v>
      </c>
      <c r="K407" s="6" t="str">
        <v>Viewdle Inc</v>
      </c>
      <c r="L407" s="7">
        <f>=DATE(2012,10,4)</f>
        <v>41185.99949074074</v>
      </c>
      <c r="M407" s="7">
        <f>=DATE(2012,10,4)</f>
        <v>41185.99949074074</v>
      </c>
      <c r="W407" s="6" t="str">
        <v>Other Electronics;Other Telecommunications Equip;Cellular Communications</v>
      </c>
      <c r="X407" s="6" t="str">
        <v>Other Software (inq. Games);Applications Software(Business</v>
      </c>
      <c r="Y407" s="6" t="str">
        <v>Other Software (inq. Games);Applications Software(Business</v>
      </c>
      <c r="Z407" s="6" t="str">
        <v>Applications Software(Business;Other Software (inq. Games)</v>
      </c>
      <c r="AA407" s="6" t="str">
        <v>Internet Services &amp; Software;Programming Services</v>
      </c>
      <c r="AB407" s="6" t="str">
        <v>Internet Services &amp; Software;Programming Services;Telecommunications Equipment;Computer Consulting Services;Primary Business not Hi-Tech</v>
      </c>
    </row>
    <row r="408">
      <c r="A408" s="6" t="str">
        <v>594918</v>
      </c>
      <c r="B408" s="6" t="str">
        <v>United States</v>
      </c>
      <c r="C408" s="6" t="str">
        <v>Microsoft Corp</v>
      </c>
      <c r="D408" s="6" t="str">
        <v>Microsoft Corp</v>
      </c>
      <c r="F408" s="6" t="str">
        <v>United States</v>
      </c>
      <c r="G408" s="6" t="str">
        <v>StorSimple Inc</v>
      </c>
      <c r="H408" s="6" t="str">
        <v>Computer and Office Equipment</v>
      </c>
      <c r="I408" s="6" t="str">
        <v>93709E</v>
      </c>
      <c r="J408" s="6" t="str">
        <v>StorSimple Inc</v>
      </c>
      <c r="K408" s="6" t="str">
        <v>StorSimple Inc</v>
      </c>
      <c r="L408" s="7">
        <f>=DATE(2012,10,16)</f>
        <v>41197.99949074074</v>
      </c>
      <c r="M408" s="7">
        <f>=DATE(2012,11,16)</f>
        <v>41228.99949074074</v>
      </c>
      <c r="W408" s="6" t="str">
        <v>Monitors/Terminals;Operating Systems;Internet Services &amp; Software;Other Peripherals;Computer Consulting Services;Applications Software(Business</v>
      </c>
      <c r="X408" s="6" t="str">
        <v>Other Peripherals</v>
      </c>
      <c r="Y408" s="6" t="str">
        <v>Other Peripherals</v>
      </c>
      <c r="Z408" s="6" t="str">
        <v>Other Peripherals</v>
      </c>
      <c r="AA408" s="6" t="str">
        <v>Monitors/Terminals;Other Peripherals;Operating Systems;Applications Software(Business;Internet Services &amp; Software;Computer Consulting Services</v>
      </c>
      <c r="AB408" s="6" t="str">
        <v>Internet Services &amp; Software;Other Peripherals;Applications Software(Business;Monitors/Terminals;Computer Consulting Services;Operating Systems</v>
      </c>
    </row>
    <row r="409">
      <c r="A409" s="6" t="str">
        <v>594918</v>
      </c>
      <c r="B409" s="6" t="str">
        <v>United States</v>
      </c>
      <c r="C409" s="6" t="str">
        <v>Microsoft Corp</v>
      </c>
      <c r="D409" s="6" t="str">
        <v>Microsoft Corp</v>
      </c>
      <c r="F409" s="6" t="str">
        <v>United States</v>
      </c>
      <c r="G409" s="6" t="str">
        <v>MarketingPilot Software LLC</v>
      </c>
      <c r="H409" s="6" t="str">
        <v>Prepackaged Software</v>
      </c>
      <c r="I409" s="6" t="str">
        <v>57100K</v>
      </c>
      <c r="J409" s="6" t="str">
        <v>MarketingPilot Software LLC</v>
      </c>
      <c r="K409" s="6" t="str">
        <v>MarketingPilot Software LLC</v>
      </c>
      <c r="L409" s="7">
        <f>=DATE(2012,10,17)</f>
        <v>41198.99949074074</v>
      </c>
      <c r="M409" s="7">
        <f>=DATE(2012,10,17)</f>
        <v>41198.99949074074</v>
      </c>
      <c r="W409" s="6" t="str">
        <v>Internet Services &amp; Software;Computer Consulting Services;Monitors/Terminals;Applications Software(Business;Operating Systems;Other Peripherals</v>
      </c>
      <c r="X409" s="6" t="str">
        <v>Other Software (inq. Games)</v>
      </c>
      <c r="Y409" s="6" t="str">
        <v>Other Software (inq. Games)</v>
      </c>
      <c r="Z409" s="6" t="str">
        <v>Other Software (inq. Games)</v>
      </c>
      <c r="AA409" s="6" t="str">
        <v>Operating Systems;Computer Consulting Services;Monitors/Terminals;Applications Software(Business;Other Peripherals;Internet Services &amp; Software</v>
      </c>
      <c r="AB409" s="6" t="str">
        <v>Monitors/Terminals;Other Peripherals;Computer Consulting Services;Operating Systems;Applications Software(Business;Internet Services &amp; Software</v>
      </c>
    </row>
    <row r="410">
      <c r="A410" s="6" t="str">
        <v>01864J</v>
      </c>
      <c r="B410" s="6" t="str">
        <v>United States</v>
      </c>
      <c r="C410" s="6" t="str">
        <v>Avanade Inc</v>
      </c>
      <c r="D410" s="6" t="str">
        <v>Accenture PLC</v>
      </c>
      <c r="F410" s="6" t="str">
        <v>United States</v>
      </c>
      <c r="G410" s="6" t="str">
        <v>Azaleos Corp</v>
      </c>
      <c r="H410" s="6" t="str">
        <v>Prepackaged Software</v>
      </c>
      <c r="I410" s="6" t="str">
        <v>06261F</v>
      </c>
      <c r="J410" s="6" t="str">
        <v>Azaleos Corp</v>
      </c>
      <c r="K410" s="6" t="str">
        <v>Azaleos Corp</v>
      </c>
      <c r="L410" s="7">
        <f>=DATE(2012,11,13)</f>
        <v>41225.99949074074</v>
      </c>
      <c r="M410" s="7">
        <f>=DATE(2012,12,18)</f>
        <v>41260.99949074074</v>
      </c>
      <c r="W410" s="6" t="str">
        <v>Computer Consulting Services;Other Software (inq. Games);Other Computer Related Svcs</v>
      </c>
      <c r="X410" s="6" t="str">
        <v>Applications Software(Business;Utilities/File Mgmt Software;Communication/Network Software</v>
      </c>
      <c r="Y410" s="6" t="str">
        <v>Utilities/File Mgmt Software;Communication/Network Software;Applications Software(Business</v>
      </c>
      <c r="Z410" s="6" t="str">
        <v>Utilities/File Mgmt Software;Communication/Network Software;Applications Software(Business</v>
      </c>
      <c r="AA410" s="6" t="str">
        <v>Workstations;Applications Software(Home);Other Computer Related Svcs;Communication/Network Software;Other Computer Systems;Internet Services &amp; Software;Data Processing Services;Utilities/File Mgmt Software;CAD/CAM/CAE/Graphics Systems;Other Software (inq. Games);Turnkey Systems;Computer Consulting Services;Data Commun(Exclude networking;Desktop Publishing;Networking Systems (LAN,WAN);Applications Software(Business;Primary Business not Hi-Tech;Operating Systems</v>
      </c>
      <c r="AB410" s="6" t="str">
        <v>Communication/Network Software;Applications Software(Home);Internet Services &amp; Software;Turnkey Systems;CAD/CAM/CAE/Graphics Systems;Other Computer Related Svcs;Other Software (inq. Games);Data Processing Services;Workstations;Networking Systems (LAN,WAN);Other Computer Systems;Data Commun(Exclude networking;Primary Business not Hi-Tech;Operating Systems;Utilities/File Mgmt Software;Desktop Publishing;Computer Consulting Services;Applications Software(Business</v>
      </c>
    </row>
    <row r="411">
      <c r="A411" s="6" t="str">
        <v>38259P</v>
      </c>
      <c r="B411" s="6" t="str">
        <v>United States</v>
      </c>
      <c r="C411" s="6" t="str">
        <v>Google Inc</v>
      </c>
      <c r="D411" s="6" t="str">
        <v>Alphabet Inc</v>
      </c>
      <c r="F411" s="6" t="str">
        <v>United States</v>
      </c>
      <c r="G411" s="6" t="str">
        <v>Incentive Targeting Inc</v>
      </c>
      <c r="H411" s="6" t="str">
        <v>Business Services</v>
      </c>
      <c r="I411" s="6" t="str">
        <v>0A6175</v>
      </c>
      <c r="J411" s="6" t="str">
        <v>Incentive Targeting Inc</v>
      </c>
      <c r="K411" s="6" t="str">
        <v>Incentive Targeting Inc</v>
      </c>
      <c r="L411" s="7">
        <f>=DATE(2012,11,28)</f>
        <v>41240.99949074074</v>
      </c>
      <c r="M411" s="7">
        <f>=DATE(2012,11,28)</f>
        <v>41240.99949074074</v>
      </c>
      <c r="W411" s="6" t="str">
        <v>Internet Services &amp; Software;Programming Services</v>
      </c>
      <c r="X411" s="6" t="str">
        <v>Internet Services &amp; Software</v>
      </c>
      <c r="Y411" s="6" t="str">
        <v>Internet Services &amp; Software</v>
      </c>
      <c r="Z411" s="6" t="str">
        <v>Internet Services &amp; Software</v>
      </c>
      <c r="AA411" s="6" t="str">
        <v>Primary Business not Hi-Tech;Telecommunications Equipment;Programming Services;Computer Consulting Services;Internet Services &amp; Software</v>
      </c>
      <c r="AB411" s="6" t="str">
        <v>Primary Business not Hi-Tech;Computer Consulting Services;Programming Services;Internet Services &amp; Software;Telecommunications Equipment</v>
      </c>
    </row>
    <row r="412">
      <c r="A412" s="6" t="str">
        <v>594918</v>
      </c>
      <c r="B412" s="6" t="str">
        <v>United States</v>
      </c>
      <c r="C412" s="6" t="str">
        <v>Microsoft Corp</v>
      </c>
      <c r="D412" s="6" t="str">
        <v>Microsoft Corp</v>
      </c>
      <c r="F412" s="6" t="str">
        <v>United States</v>
      </c>
      <c r="G412" s="6" t="str">
        <v>id8 Group R2 Studios Inc</v>
      </c>
      <c r="H412" s="6" t="str">
        <v>Business Services</v>
      </c>
      <c r="I412" s="6" t="str">
        <v>1A4325</v>
      </c>
      <c r="J412" s="6" t="str">
        <v>id8 Group R2 Studios Inc</v>
      </c>
      <c r="K412" s="6" t="str">
        <v>id8 Group R2 Studios Inc</v>
      </c>
      <c r="L412" s="7">
        <f>=DATE(2013,1,2)</f>
        <v>41275.99949074074</v>
      </c>
      <c r="M412" s="7">
        <f>=DATE(2013,1,10)</f>
        <v>41283.99949074074</v>
      </c>
      <c r="W412" s="6" t="str">
        <v>Monitors/Terminals;Computer Consulting Services;Applications Software(Business;Operating Systems;Internet Services &amp; Software;Other Peripherals</v>
      </c>
      <c r="X412" s="6" t="str">
        <v>Other Software (inq. Games);Computer Consulting Services;Data Processing Services;Other Computer Related Svcs</v>
      </c>
      <c r="Y412" s="6" t="str">
        <v>Other Software (inq. Games);Other Computer Related Svcs;Data Processing Services;Computer Consulting Services</v>
      </c>
      <c r="Z412" s="6" t="str">
        <v>Other Computer Related Svcs;Computer Consulting Services;Other Software (inq. Games);Data Processing Services</v>
      </c>
      <c r="AA412" s="6" t="str">
        <v>Internet Services &amp; Software;Computer Consulting Services;Applications Software(Business;Operating Systems;Monitors/Terminals;Other Peripherals</v>
      </c>
      <c r="AB412" s="6" t="str">
        <v>Internet Services &amp; Software;Applications Software(Business;Operating Systems;Computer Consulting Services;Other Peripherals;Monitors/Terminals</v>
      </c>
    </row>
    <row r="413">
      <c r="A413" s="6" t="str">
        <v>67020Y</v>
      </c>
      <c r="B413" s="6" t="str">
        <v>United States</v>
      </c>
      <c r="C413" s="6" t="str">
        <v>Nuance Communications Inc</v>
      </c>
      <c r="D413" s="6" t="str">
        <v>Nuance Communications Inc</v>
      </c>
      <c r="F413" s="6" t="str">
        <v>United States</v>
      </c>
      <c r="G413" s="6" t="str">
        <v>VirtuOz Inc</v>
      </c>
      <c r="H413" s="6" t="str">
        <v>Business Services</v>
      </c>
      <c r="I413" s="6" t="str">
        <v>92609K</v>
      </c>
      <c r="J413" s="6" t="str">
        <v>VirtuOz SA</v>
      </c>
      <c r="K413" s="6" t="str">
        <v>VirtuOz SA</v>
      </c>
      <c r="L413" s="7">
        <f>=DATE(2013,1,10)</f>
        <v>41283.99949074074</v>
      </c>
      <c r="M413" s="7">
        <f>=DATE(2013,1,10)</f>
        <v>41283.99949074074</v>
      </c>
      <c r="W413" s="6" t="str">
        <v>Other Computer Related Svcs;Desktop Publishing;Primary Business not Hi-Tech;Database Software/Programming;Networking Systems (LAN,WAN);Programming Services;Computer Consulting Services;Applications Software(Home);Applications Software(Business;Utilities/File Mgmt Software;Other Software (inq. Games);Communication/Network Software;Internet Services &amp; Software</v>
      </c>
      <c r="X413" s="6" t="str">
        <v>Programming Services</v>
      </c>
      <c r="Y413" s="6" t="str">
        <v>Other Software (inq. Games)</v>
      </c>
      <c r="Z413" s="6" t="str">
        <v>Other Software (inq. Games)</v>
      </c>
      <c r="AA413" s="6" t="str">
        <v>Communication/Network Software;Internet Services &amp; Software;Utilities/File Mgmt Software;Computer Consulting Services;Other Computer Related Svcs;Applications Software(Home);Primary Business not Hi-Tech;Desktop Publishing;Networking Systems (LAN,WAN);Database Software/Programming;Other Software (inq. Games);Programming Services;Applications Software(Business</v>
      </c>
      <c r="AB413" s="6" t="str">
        <v>Communication/Network Software;Desktop Publishing;Programming Services;Applications Software(Business;Computer Consulting Services;Other Software (inq. Games);Networking Systems (LAN,WAN);Other Computer Related Svcs;Internet Services &amp; Software;Primary Business not Hi-Tech;Database Software/Programming;Applications Software(Home);Utilities/File Mgmt Software</v>
      </c>
    </row>
    <row r="414">
      <c r="A414" s="6" t="str">
        <v>66923W</v>
      </c>
      <c r="B414" s="6" t="str">
        <v>United States</v>
      </c>
      <c r="C414" s="6" t="str">
        <v>Notable Solutions Inc</v>
      </c>
      <c r="D414" s="6" t="str">
        <v>Notable Solutions Inc</v>
      </c>
      <c r="F414" s="6" t="str">
        <v>United States</v>
      </c>
      <c r="G414" s="6" t="str">
        <v>Barr Systems LLC-Enterprise Output Management Business</v>
      </c>
      <c r="H414" s="6" t="str">
        <v>Business Services</v>
      </c>
      <c r="I414" s="6" t="str">
        <v>1A6828</v>
      </c>
      <c r="J414" s="6" t="str">
        <v>Barr Systems LLC</v>
      </c>
      <c r="K414" s="6" t="str">
        <v>Barr Systems LLC</v>
      </c>
      <c r="L414" s="7">
        <f>=DATE(2013,1,14)</f>
        <v>41287.99949074074</v>
      </c>
      <c r="M414" s="7">
        <f>=DATE(2013,1,14)</f>
        <v>41287.99949074074</v>
      </c>
      <c r="W414" s="6" t="str">
        <v>Other Computer Related Svcs;Computer Consulting Services;Internet Services &amp; Software;Turnkey Systems;Other Software (inq. Games);Data Processing Services</v>
      </c>
      <c r="X414" s="6" t="str">
        <v>Computer Consulting Services;Other Computer Related Svcs;Programming Services</v>
      </c>
      <c r="Y414" s="6" t="str">
        <v>Programming Services;Other Computer Related Svcs;Computer Consulting Services</v>
      </c>
      <c r="Z414" s="6" t="str">
        <v>Programming Services;Computer Consulting Services;Other Computer Related Svcs</v>
      </c>
      <c r="AA414" s="6" t="str">
        <v>Computer Consulting Services;Other Computer Related Svcs;Other Software (inq. Games);Internet Services &amp; Software;Data Processing Services;Turnkey Systems</v>
      </c>
      <c r="AB414" s="6" t="str">
        <v>Other Computer Related Svcs;Computer Consulting Services;Turnkey Systems;Data Processing Services;Other Software (inq. Games);Internet Services &amp; Software</v>
      </c>
    </row>
    <row r="415">
      <c r="A415" s="6" t="str">
        <v>38259P</v>
      </c>
      <c r="B415" s="6" t="str">
        <v>United States</v>
      </c>
      <c r="C415" s="6" t="str">
        <v>Google Inc</v>
      </c>
      <c r="D415" s="6" t="str">
        <v>Alphabet Inc</v>
      </c>
      <c r="F415" s="6" t="str">
        <v>United States</v>
      </c>
      <c r="G415" s="6" t="str">
        <v>Channel Intelligence Inc</v>
      </c>
      <c r="H415" s="6" t="str">
        <v>Prepackaged Software</v>
      </c>
      <c r="I415" s="6" t="str">
        <v>15921P</v>
      </c>
      <c r="J415" s="6" t="str">
        <v>Channel Intelligence Inc</v>
      </c>
      <c r="K415" s="6" t="str">
        <v>Channel Intelligence Inc</v>
      </c>
      <c r="L415" s="7">
        <f>=DATE(2013,2,6)</f>
        <v>41310.99949074074</v>
      </c>
      <c r="M415" s="7">
        <f>=DATE(2013,2,20)</f>
        <v>41324.99949074074</v>
      </c>
      <c r="N415" s="8">
        <v>125</v>
      </c>
      <c r="O415" s="8">
        <v>125</v>
      </c>
      <c r="W415" s="6" t="str">
        <v>Programming Services;Internet Services &amp; Software</v>
      </c>
      <c r="X415" s="6" t="str">
        <v>Applications Software(Home);Applications Software(Business;Other Software (inq. Games)</v>
      </c>
      <c r="Y415" s="6" t="str">
        <v>Other Software (inq. Games);Applications Software(Home);Applications Software(Business</v>
      </c>
      <c r="Z415" s="6" t="str">
        <v>Applications Software(Business;Applications Software(Home);Other Software (inq. Games)</v>
      </c>
      <c r="AA415" s="6" t="str">
        <v>Telecommunications Equipment;Internet Services &amp; Software;Programming Services;Primary Business not Hi-Tech;Computer Consulting Services</v>
      </c>
      <c r="AB415" s="6" t="str">
        <v>Programming Services;Computer Consulting Services;Telecommunications Equipment;Primary Business not Hi-Tech;Internet Services &amp; Software</v>
      </c>
      <c r="AC415" s="8">
        <v>125</v>
      </c>
      <c r="AD415" s="7">
        <f>=DATE(2013,2,6)</f>
        <v>41310.99949074074</v>
      </c>
    </row>
    <row r="416">
      <c r="A416" s="6" t="str">
        <v>01864J</v>
      </c>
      <c r="B416" s="6" t="str">
        <v>United States</v>
      </c>
      <c r="C416" s="6" t="str">
        <v>Avanade Inc</v>
      </c>
      <c r="D416" s="6" t="str">
        <v>Accenture PLC</v>
      </c>
      <c r="F416" s="6" t="str">
        <v>United States</v>
      </c>
      <c r="G416" s="6" t="str">
        <v>Opstera Inc</v>
      </c>
      <c r="H416" s="6" t="str">
        <v>Prepackaged Software</v>
      </c>
      <c r="I416" s="6" t="str">
        <v>2A1368</v>
      </c>
      <c r="J416" s="6" t="str">
        <v>Opstera Inc</v>
      </c>
      <c r="K416" s="6" t="str">
        <v>Opstera Inc</v>
      </c>
      <c r="L416" s="7">
        <f>=DATE(2013,2,7)</f>
        <v>41311.99949074074</v>
      </c>
      <c r="M416" s="7">
        <f>=DATE(2013,2,7)</f>
        <v>41311.99949074074</v>
      </c>
      <c r="W416" s="6" t="str">
        <v>Other Computer Related Svcs;Computer Consulting Services;Other Software (inq. Games)</v>
      </c>
      <c r="X416" s="6" t="str">
        <v>Communication/Network Software;Internet Services &amp; Software</v>
      </c>
      <c r="Y416" s="6" t="str">
        <v>Communication/Network Software;Internet Services &amp; Software</v>
      </c>
      <c r="Z416" s="6" t="str">
        <v>Communication/Network Software;Internet Services &amp; Software</v>
      </c>
      <c r="AA416" s="6" t="str">
        <v>Applications Software(Home);Data Processing Services;Computer Consulting Services;CAD/CAM/CAE/Graphics Systems;Primary Business not Hi-Tech;Other Software (inq. Games);Networking Systems (LAN,WAN);Communication/Network Software;Other Computer Systems;Workstations;Other Computer Related Svcs;Turnkey Systems;Utilities/File Mgmt Software;Operating Systems;Applications Software(Business;Desktop Publishing;Data Commun(Exclude networking;Internet Services &amp; Software</v>
      </c>
      <c r="AB416" s="6" t="str">
        <v>Other Computer Systems;Internet Services &amp; Software;Turnkey Systems;CAD/CAM/CAE/Graphics Systems;Other Computer Related Svcs;Computer Consulting Services;Data Processing Services;Workstations;Applications Software(Business;Desktop Publishing;Other Software (inq. Games);Communication/Network Software;Applications Software(Home);Primary Business not Hi-Tech;Networking Systems (LAN,WAN);Operating Systems;Utilities/File Mgmt Software;Data Commun(Exclude networking</v>
      </c>
    </row>
    <row r="417">
      <c r="A417" s="6" t="str">
        <v>30303M</v>
      </c>
      <c r="B417" s="6" t="str">
        <v>United States</v>
      </c>
      <c r="C417" s="6" t="str">
        <v>Facebook Inc</v>
      </c>
      <c r="D417" s="6" t="str">
        <v>Facebook Inc</v>
      </c>
      <c r="F417" s="6" t="str">
        <v>United States</v>
      </c>
      <c r="G417" s="6" t="str">
        <v>Atlas Advertiser Suite</v>
      </c>
      <c r="H417" s="6" t="str">
        <v>Advertising Services</v>
      </c>
      <c r="I417" s="6" t="str">
        <v>04943Q</v>
      </c>
      <c r="J417" s="6" t="str">
        <v>Microsoft Corp</v>
      </c>
      <c r="K417" s="6" t="str">
        <v>aQuantive Inc</v>
      </c>
      <c r="L417" s="7">
        <f>=DATE(2013,3,1)</f>
        <v>41333.99949074074</v>
      </c>
      <c r="M417" s="7">
        <f>=DATE(2013,4,26)</f>
        <v>41389.99949074074</v>
      </c>
      <c r="W417" s="6" t="str">
        <v>Internet Services &amp; Software</v>
      </c>
      <c r="X417" s="6" t="str">
        <v>Internet Services &amp; Software</v>
      </c>
      <c r="Y417" s="6" t="str">
        <v>Internet Services &amp; Software</v>
      </c>
      <c r="Z417" s="6" t="str">
        <v>Other Peripherals;Monitors/Terminals;Computer Consulting Services;Applications Software(Business;Internet Services &amp; Software;Operating Systems</v>
      </c>
      <c r="AA417" s="6" t="str">
        <v>Internet Services &amp; Software</v>
      </c>
      <c r="AB417" s="6" t="str">
        <v>Internet Services &amp; Software</v>
      </c>
    </row>
    <row r="418">
      <c r="A418" s="6" t="str">
        <v>30303M</v>
      </c>
      <c r="B418" s="6" t="str">
        <v>United States</v>
      </c>
      <c r="C418" s="6" t="str">
        <v>Facebook Inc</v>
      </c>
      <c r="D418" s="6" t="str">
        <v>Facebook Inc</v>
      </c>
      <c r="F418" s="6" t="str">
        <v>United States</v>
      </c>
      <c r="G418" s="6" t="str">
        <v>Mixtent Inc</v>
      </c>
      <c r="H418" s="6" t="str">
        <v>Business Services</v>
      </c>
      <c r="I418" s="6" t="str">
        <v>2A7932</v>
      </c>
      <c r="J418" s="6" t="str">
        <v>Mixtent Inc</v>
      </c>
      <c r="K418" s="6" t="str">
        <v>Mixtent Inc</v>
      </c>
      <c r="L418" s="7">
        <f>=DATE(2013,3,11)</f>
        <v>41343.99949074074</v>
      </c>
      <c r="M418" s="7">
        <f>=DATE(2013,3,11)</f>
        <v>41343.99949074074</v>
      </c>
      <c r="W418" s="6" t="str">
        <v>Internet Services &amp; Software</v>
      </c>
      <c r="X418" s="6" t="str">
        <v>Internet Services &amp; Software</v>
      </c>
      <c r="Y418" s="6" t="str">
        <v>Internet Services &amp; Software</v>
      </c>
      <c r="Z418" s="6" t="str">
        <v>Internet Services &amp; Software</v>
      </c>
      <c r="AA418" s="6" t="str">
        <v>Internet Services &amp; Software</v>
      </c>
      <c r="AB418" s="6" t="str">
        <v>Internet Services &amp; Software</v>
      </c>
    </row>
    <row r="419">
      <c r="A419" s="6" t="str">
        <v>037833</v>
      </c>
      <c r="B419" s="6" t="str">
        <v>United States</v>
      </c>
      <c r="C419" s="6" t="str">
        <v>Apple Inc</v>
      </c>
      <c r="D419" s="6" t="str">
        <v>Apple Inc</v>
      </c>
      <c r="F419" s="6" t="str">
        <v>United States</v>
      </c>
      <c r="G419" s="6" t="str">
        <v>WifiSLAM</v>
      </c>
      <c r="H419" s="6" t="str">
        <v>Prepackaged Software</v>
      </c>
      <c r="I419" s="6" t="str">
        <v>2A9722</v>
      </c>
      <c r="J419" s="6" t="str">
        <v>WifiSLAM</v>
      </c>
      <c r="K419" s="6" t="str">
        <v>WifiSLAM</v>
      </c>
      <c r="L419" s="7">
        <f>=DATE(2013,3,24)</f>
        <v>41356.99949074074</v>
      </c>
      <c r="M419" s="7">
        <f>=DATE(2013,3,24)</f>
        <v>41356.99949074074</v>
      </c>
      <c r="W419" s="6" t="str">
        <v>Disk Drives;Other Peripherals;Monitors/Terminals;Micro-Computers (PCs);Mainframes &amp; Super Computers;Other Software (inq. Games);Printers;Portable Computers</v>
      </c>
      <c r="X419" s="6" t="str">
        <v>Applications Software(Home);Applications Software(Business</v>
      </c>
      <c r="Y419" s="6" t="str">
        <v>Applications Software(Home);Applications Software(Business</v>
      </c>
      <c r="Z419" s="6" t="str">
        <v>Applications Software(Home);Applications Software(Business</v>
      </c>
      <c r="AA419" s="6" t="str">
        <v>Micro-Computers (PCs);Other Software (inq. Games);Other Peripherals;Disk Drives;Mainframes &amp; Super Computers;Portable Computers;Printers;Monitors/Terminals</v>
      </c>
      <c r="AB419" s="6" t="str">
        <v>Printers;Disk Drives;Micro-Computers (PCs);Monitors/Terminals;Other Software (inq. Games);Other Peripherals;Mainframes &amp; Super Computers;Portable Computers</v>
      </c>
    </row>
    <row r="420">
      <c r="A420" s="6" t="str">
        <v>023135</v>
      </c>
      <c r="B420" s="6" t="str">
        <v>United States</v>
      </c>
      <c r="C420" s="6" t="str">
        <v>Amazon.com Inc</v>
      </c>
      <c r="D420" s="6" t="str">
        <v>Amazon.com Inc</v>
      </c>
      <c r="F420" s="6" t="str">
        <v>United States</v>
      </c>
      <c r="G420" s="6" t="str">
        <v>Goodreads Inc</v>
      </c>
      <c r="H420" s="6" t="str">
        <v>Business Services</v>
      </c>
      <c r="I420" s="6" t="str">
        <v>3A1096</v>
      </c>
      <c r="J420" s="6" t="str">
        <v>Goodreads Inc</v>
      </c>
      <c r="K420" s="6" t="str">
        <v>Goodreads Inc</v>
      </c>
      <c r="L420" s="7">
        <f>=DATE(2013,3,28)</f>
        <v>41360.99949074074</v>
      </c>
      <c r="M420" s="7">
        <f>=DATE(2013,7,23)</f>
        <v>41477.99949074074</v>
      </c>
      <c r="W420" s="6" t="str">
        <v>Primary Business not Hi-Tech</v>
      </c>
      <c r="X420" s="6" t="str">
        <v>Internet Services &amp; Software</v>
      </c>
      <c r="Y420" s="6" t="str">
        <v>Internet Services &amp; Software</v>
      </c>
      <c r="Z420" s="6" t="str">
        <v>Internet Services &amp; Software</v>
      </c>
      <c r="AA420" s="6" t="str">
        <v>Primary Business not Hi-Tech</v>
      </c>
      <c r="AB420" s="6" t="str">
        <v>Primary Business not Hi-Tech</v>
      </c>
    </row>
    <row r="421">
      <c r="A421" s="6" t="str">
        <v>09362H</v>
      </c>
      <c r="B421" s="6" t="str">
        <v>United States</v>
      </c>
      <c r="C421" s="6" t="str">
        <v>Blizzard Entertainment Inc</v>
      </c>
      <c r="D421" s="6" t="str">
        <v>Vivendi SE</v>
      </c>
      <c r="F421" s="6" t="str">
        <v>United States</v>
      </c>
      <c r="G421" s="6" t="str">
        <v>IGN Entertainment Inc-IGN Pro League Assets &amp; Technology</v>
      </c>
      <c r="H421" s="6" t="str">
        <v>Business Services</v>
      </c>
      <c r="I421" s="6" t="str">
        <v>3A8994</v>
      </c>
      <c r="J421" s="6" t="str">
        <v>J2 Global Inc</v>
      </c>
      <c r="K421" s="6" t="str">
        <v>IGN Entertainment Inc</v>
      </c>
      <c r="L421" s="7">
        <f>=DATE(2013,4,8)</f>
        <v>41371.99949074074</v>
      </c>
      <c r="M421" s="7">
        <f>=DATE(2013,4,8)</f>
        <v>41371.99949074074</v>
      </c>
      <c r="W421" s="6" t="str">
        <v>Other Software (inq. Games)</v>
      </c>
      <c r="X421" s="6" t="str">
        <v>Communication/Network Software;Other Software (inq. Games);Internet Services &amp; Software</v>
      </c>
      <c r="Y421" s="6" t="str">
        <v>Communication/Network Software;Other Software (inq. Games);Internet Services &amp; Software</v>
      </c>
      <c r="Z421" s="6" t="str">
        <v>Internet Services &amp; Software;Communication/Network Software</v>
      </c>
      <c r="AA421" s="6" t="str">
        <v>Other Computer Systems;Other Software (inq. Games);Operating Systems</v>
      </c>
      <c r="AB421" s="6" t="str">
        <v>Primary Business not Hi-Tech;Other Software (inq. Games);Internet Services &amp; Software</v>
      </c>
    </row>
    <row r="422">
      <c r="A422" s="6" t="str">
        <v>53578A</v>
      </c>
      <c r="B422" s="6" t="str">
        <v>United States</v>
      </c>
      <c r="C422" s="6" t="str">
        <v>LinkedIn Corp</v>
      </c>
      <c r="D422" s="6" t="str">
        <v>LinkedIn Corp</v>
      </c>
      <c r="F422" s="6" t="str">
        <v>United States</v>
      </c>
      <c r="G422" s="6" t="str">
        <v>Pulse</v>
      </c>
      <c r="H422" s="6" t="str">
        <v>Prepackaged Software</v>
      </c>
      <c r="I422" s="6" t="str">
        <v>2A7584</v>
      </c>
      <c r="J422" s="6" t="str">
        <v>Pulse</v>
      </c>
      <c r="K422" s="6" t="str">
        <v>Pulse</v>
      </c>
      <c r="L422" s="7">
        <f>=DATE(2013,4,11)</f>
        <v>41374.99949074074</v>
      </c>
      <c r="M422" s="7">
        <f>=DATE(2013,4,17)</f>
        <v>41380.99949074074</v>
      </c>
      <c r="N422" s="8">
        <v>90</v>
      </c>
      <c r="O422" s="8">
        <v>90</v>
      </c>
      <c r="W422" s="6" t="str">
        <v>Internet Services &amp; Software</v>
      </c>
      <c r="X422" s="6" t="str">
        <v>Other Software (inq. Games)</v>
      </c>
      <c r="Y422" s="6" t="str">
        <v>Other Software (inq. Games)</v>
      </c>
      <c r="Z422" s="6" t="str">
        <v>Other Software (inq. Games)</v>
      </c>
      <c r="AA422" s="6" t="str">
        <v>Internet Services &amp; Software</v>
      </c>
      <c r="AB422" s="6" t="str">
        <v>Internet Services &amp; Software</v>
      </c>
      <c r="AC422" s="8">
        <v>90</v>
      </c>
      <c r="AD422" s="7">
        <f>=DATE(2013,4,11)</f>
        <v>41374.99949074074</v>
      </c>
    </row>
    <row r="423">
      <c r="A423" s="6" t="str">
        <v>30303M</v>
      </c>
      <c r="B423" s="6" t="str">
        <v>United States</v>
      </c>
      <c r="C423" s="6" t="str">
        <v>Facebook Inc</v>
      </c>
      <c r="D423" s="6" t="str">
        <v>Facebook Inc</v>
      </c>
      <c r="F423" s="6" t="str">
        <v>United States</v>
      </c>
      <c r="G423" s="6" t="str">
        <v>Parse Inc</v>
      </c>
      <c r="H423" s="6" t="str">
        <v>Prepackaged Software</v>
      </c>
      <c r="I423" s="6" t="str">
        <v>3A5775</v>
      </c>
      <c r="J423" s="6" t="str">
        <v>Parse Inc</v>
      </c>
      <c r="K423" s="6" t="str">
        <v>Parse Inc</v>
      </c>
      <c r="L423" s="7">
        <f>=DATE(2013,4,25)</f>
        <v>41388.99949074074</v>
      </c>
      <c r="M423" s="7">
        <f>=DATE(2013,5,23)</f>
        <v>41416.99949074074</v>
      </c>
      <c r="W423" s="6" t="str">
        <v>Internet Services &amp; Software</v>
      </c>
      <c r="X423" s="6" t="str">
        <v>Communication/Network Software;Internet Services &amp; Software</v>
      </c>
      <c r="Y423" s="6" t="str">
        <v>Internet Services &amp; Software;Communication/Network Software</v>
      </c>
      <c r="Z423" s="6" t="str">
        <v>Internet Services &amp; Software;Communication/Network Software</v>
      </c>
      <c r="AA423" s="6" t="str">
        <v>Internet Services &amp; Software</v>
      </c>
      <c r="AB423" s="6" t="str">
        <v>Internet Services &amp; Software</v>
      </c>
    </row>
    <row r="424">
      <c r="A424" s="6" t="str">
        <v>38259P</v>
      </c>
      <c r="B424" s="6" t="str">
        <v>United States</v>
      </c>
      <c r="C424" s="6" t="str">
        <v>Google Inc</v>
      </c>
      <c r="D424" s="6" t="str">
        <v>Alphabet Inc</v>
      </c>
      <c r="F424" s="6" t="str">
        <v>United States</v>
      </c>
      <c r="G424" s="6" t="str">
        <v>Wavii Inc</v>
      </c>
      <c r="H424" s="6" t="str">
        <v>Prepackaged Software</v>
      </c>
      <c r="I424" s="6" t="str">
        <v>3A5263</v>
      </c>
      <c r="J424" s="6" t="str">
        <v>Wavii Inc</v>
      </c>
      <c r="K424" s="6" t="str">
        <v>Wavii Inc</v>
      </c>
      <c r="L424" s="7">
        <f>=DATE(2013,4,26)</f>
        <v>41389.99949074074</v>
      </c>
      <c r="M424" s="7">
        <f>=DATE(2013,4,26)</f>
        <v>41389.99949074074</v>
      </c>
      <c r="W424" s="6" t="str">
        <v>Internet Services &amp; Software;Programming Services</v>
      </c>
      <c r="X424" s="6" t="str">
        <v>Applications Software(Business</v>
      </c>
      <c r="Y424" s="6" t="str">
        <v>Applications Software(Business</v>
      </c>
      <c r="Z424" s="6" t="str">
        <v>Applications Software(Business</v>
      </c>
      <c r="AA424" s="6" t="str">
        <v>Computer Consulting Services;Primary Business not Hi-Tech;Internet Services &amp; Software;Telecommunications Equipment;Programming Services</v>
      </c>
      <c r="AB424" s="6" t="str">
        <v>Programming Services;Primary Business not Hi-Tech;Telecommunications Equipment;Internet Services &amp; Software;Computer Consulting Services</v>
      </c>
    </row>
    <row r="425">
      <c r="A425" s="6" t="str">
        <v>037833</v>
      </c>
      <c r="B425" s="6" t="str">
        <v>United States</v>
      </c>
      <c r="C425" s="6" t="str">
        <v>Apple Inc</v>
      </c>
      <c r="D425" s="6" t="str">
        <v>Apple Inc</v>
      </c>
      <c r="F425" s="6" t="str">
        <v>United States</v>
      </c>
      <c r="G425" s="6" t="str">
        <v>Apple Inc</v>
      </c>
      <c r="H425" s="6" t="str">
        <v>Computer and Office Equipment</v>
      </c>
      <c r="I425" s="6" t="str">
        <v>037833</v>
      </c>
      <c r="J425" s="6" t="str">
        <v>Apple Inc</v>
      </c>
      <c r="K425" s="6" t="str">
        <v>Apple Inc</v>
      </c>
      <c r="L425" s="7">
        <f>=DATE(2013,4,30)</f>
        <v>41393.99949074074</v>
      </c>
      <c r="M425" s="7">
        <f>=DATE(2014,3,31)</f>
        <v>41728.99949074074</v>
      </c>
      <c r="N425" s="8">
        <v>12000</v>
      </c>
      <c r="O425" s="8">
        <v>12000</v>
      </c>
      <c r="P425" s="8" t="str">
        <v>395,097.00</v>
      </c>
      <c r="R425" s="8">
        <v>39672</v>
      </c>
      <c r="S425" s="8">
        <v>169104</v>
      </c>
      <c r="T425" s="8">
        <v>-8822</v>
      </c>
      <c r="U425" s="8">
        <v>-44501</v>
      </c>
      <c r="V425" s="8">
        <v>57271</v>
      </c>
      <c r="W425" s="6" t="str">
        <v>Printers;Other Software (inq. Games);Micro-Computers (PCs);Portable Computers;Monitors/Terminals;Disk Drives;Other Peripherals;Mainframes &amp; Super Computers</v>
      </c>
      <c r="X425" s="6" t="str">
        <v>Disk Drives;Portable Computers;Mainframes &amp; Super Computers;Monitors/Terminals;Other Peripherals;Printers;Micro-Computers (PCs);Other Software (inq. Games)</v>
      </c>
      <c r="Y425" s="6" t="str">
        <v>Portable Computers;Printers;Micro-Computers (PCs);Other Software (inq. Games);Mainframes &amp; Super Computers;Other Peripherals;Monitors/Terminals;Disk Drives</v>
      </c>
      <c r="Z425" s="6" t="str">
        <v>Monitors/Terminals;Printers;Micro-Computers (PCs);Other Software (inq. Games);Mainframes &amp; Super Computers;Portable Computers;Disk Drives;Other Peripherals</v>
      </c>
      <c r="AA425" s="6" t="str">
        <v>Monitors/Terminals;Other Peripherals;Printers;Micro-Computers (PCs);Mainframes &amp; Super Computers;Disk Drives;Portable Computers;Other Software (inq. Games)</v>
      </c>
      <c r="AB425" s="6" t="str">
        <v>Printers;Micro-Computers (PCs);Portable Computers;Monitors/Terminals;Other Peripherals;Disk Drives;Other Software (inq. Games);Mainframes &amp; Super Computers</v>
      </c>
      <c r="AC425" s="8">
        <v>12000</v>
      </c>
      <c r="AD425" s="7">
        <f>=DATE(2013,4,30)</f>
        <v>41393.99949074074</v>
      </c>
      <c r="AF425" s="8" t="str">
        <v>395,097.00</v>
      </c>
      <c r="AG425" s="8" t="str">
        <v>395,097.00</v>
      </c>
    </row>
    <row r="426">
      <c r="A426" s="6" t="str">
        <v>38259P</v>
      </c>
      <c r="B426" s="6" t="str">
        <v>United States</v>
      </c>
      <c r="C426" s="6" t="str">
        <v>Google Inc</v>
      </c>
      <c r="D426" s="6" t="str">
        <v>Alphabet Inc</v>
      </c>
      <c r="F426" s="6" t="str">
        <v>United States</v>
      </c>
      <c r="G426" s="6" t="str">
        <v>LendingClub Corp</v>
      </c>
      <c r="H426" s="6" t="str">
        <v>Credit Institutions</v>
      </c>
      <c r="I426" s="6" t="str">
        <v>0A9472</v>
      </c>
      <c r="J426" s="6" t="str">
        <v>LendingClub Corp</v>
      </c>
      <c r="K426" s="6" t="str">
        <v>LendingClub Corp</v>
      </c>
      <c r="L426" s="7">
        <f>=DATE(2013,5,2)</f>
        <v>41395.99949074074</v>
      </c>
      <c r="M426" s="7">
        <f>=DATE(2013,5,2)</f>
        <v>41395.99949074074</v>
      </c>
      <c r="W426" s="6" t="str">
        <v>Programming Services;Internet Services &amp; Software</v>
      </c>
      <c r="X426" s="6" t="str">
        <v>Internet Services &amp; Software;Primary Business not Hi-Tech</v>
      </c>
      <c r="Y426" s="6" t="str">
        <v>Internet Services &amp; Software;Primary Business not Hi-Tech</v>
      </c>
      <c r="Z426" s="6" t="str">
        <v>Internet Services &amp; Software;Primary Business not Hi-Tech</v>
      </c>
      <c r="AA426" s="6" t="str">
        <v>Telecommunications Equipment;Internet Services &amp; Software;Primary Business not Hi-Tech;Computer Consulting Services;Programming Services</v>
      </c>
      <c r="AB426" s="6" t="str">
        <v>Telecommunications Equipment;Primary Business not Hi-Tech;Computer Consulting Services;Programming Services;Internet Services &amp; Software</v>
      </c>
    </row>
    <row r="427">
      <c r="A427" s="6" t="str">
        <v>67020Y</v>
      </c>
      <c r="B427" s="6" t="str">
        <v>United States</v>
      </c>
      <c r="C427" s="6" t="str">
        <v>Nuance Communications Inc</v>
      </c>
      <c r="D427" s="6" t="str">
        <v>Nuance Communications Inc</v>
      </c>
      <c r="F427" s="6" t="str">
        <v>United States</v>
      </c>
      <c r="G427" s="6" t="str">
        <v>Tweddle Group Inc-Tweddle Connect Business</v>
      </c>
      <c r="H427" s="6" t="str">
        <v>Business Services</v>
      </c>
      <c r="I427" s="6" t="str">
        <v>4A1250</v>
      </c>
      <c r="J427" s="6" t="str">
        <v>Tweddle Group Inc</v>
      </c>
      <c r="K427" s="6" t="str">
        <v>Tweddle Group Inc</v>
      </c>
      <c r="L427" s="7">
        <f>=DATE(2013,5,30)</f>
        <v>41423.99949074074</v>
      </c>
      <c r="M427" s="7">
        <f>=DATE(2013,5,31)</f>
        <v>41424.99949074074</v>
      </c>
      <c r="N427" s="8">
        <v>80</v>
      </c>
      <c r="O427" s="8">
        <v>80</v>
      </c>
      <c r="W427" s="6" t="str">
        <v>Computer Consulting Services;Desktop Publishing;Programming Services;Internet Services &amp; Software;Networking Systems (LAN,WAN);Other Software (inq. Games);Communication/Network Software;Other Computer Related Svcs;Applications Software(Business;Utilities/File Mgmt Software;Primary Business not Hi-Tech;Applications Software(Home);Database Software/Programming</v>
      </c>
      <c r="X427" s="6" t="str">
        <v>Other Computer Related Svcs;Computer Consulting Services;Data Processing Services;Other Software (inq. Games)</v>
      </c>
      <c r="Y427" s="6" t="str">
        <v>Other Software (inq. Games);Data Processing Services;Other Computer Related Svcs;Computer Consulting Services</v>
      </c>
      <c r="Z427" s="6" t="str">
        <v>Other Computer Related Svcs;Computer Consulting Services;Data Processing Services;Other Software (inq. Games)</v>
      </c>
      <c r="AA427" s="6" t="str">
        <v>Applications Software(Business;Other Software (inq. Games);Communication/Network Software;Programming Services;Desktop Publishing;Computer Consulting Services;Database Software/Programming;Utilities/File Mgmt Software;Internet Services &amp; Software;Applications Software(Home);Primary Business not Hi-Tech;Networking Systems (LAN,WAN);Other Computer Related Svcs</v>
      </c>
      <c r="AB427" s="6" t="str">
        <v>Other Computer Related Svcs;Applications Software(Business;Applications Software(Home);Utilities/File Mgmt Software;Desktop Publishing;Communication/Network Software;Other Software (inq. Games);Networking Systems (LAN,WAN);Internet Services &amp; Software;Database Software/Programming;Computer Consulting Services;Programming Services;Primary Business not Hi-Tech</v>
      </c>
      <c r="AC427" s="8">
        <v>80</v>
      </c>
      <c r="AD427" s="7">
        <f>=DATE(2013,5,30)</f>
        <v>41423.99949074074</v>
      </c>
    </row>
    <row r="428">
      <c r="A428" s="6" t="str">
        <v>037833</v>
      </c>
      <c r="B428" s="6" t="str">
        <v>United States</v>
      </c>
      <c r="C428" s="6" t="str">
        <v>Apple Inc</v>
      </c>
      <c r="D428" s="6" t="str">
        <v>Apple Inc</v>
      </c>
      <c r="F428" s="6" t="str">
        <v>United States</v>
      </c>
      <c r="G428" s="6" t="str">
        <v>Catch.Com</v>
      </c>
      <c r="H428" s="6" t="str">
        <v>Prepackaged Software</v>
      </c>
      <c r="I428" s="6" t="str">
        <v>0L2670</v>
      </c>
      <c r="J428" s="6" t="str">
        <v>Catch.Com</v>
      </c>
      <c r="K428" s="6" t="str">
        <v>Catch.Com</v>
      </c>
      <c r="L428" s="7">
        <f>=DATE(2013,7,1)</f>
        <v>41455.99949074074</v>
      </c>
      <c r="M428" s="7">
        <f>=DATE(2013,7,1)</f>
        <v>41455.99949074074</v>
      </c>
      <c r="W428" s="6" t="str">
        <v>Disk Drives;Mainframes &amp; Super Computers;Printers;Portable Computers;Monitors/Terminals;Micro-Computers (PCs);Other Software (inq. Games);Other Peripherals</v>
      </c>
      <c r="X428" s="6" t="str">
        <v>Internet Services &amp; Software;Applications Software(Business;Desktop Publishing;Communication/Network Software;Applications Software(Home);Other Software (inq. Games);Utilities/File Mgmt Software</v>
      </c>
      <c r="Y428" s="6" t="str">
        <v>Other Software (inq. Games);Internet Services &amp; Software;Utilities/File Mgmt Software;Desktop Publishing;Communication/Network Software;Applications Software(Home);Applications Software(Business</v>
      </c>
      <c r="Z428" s="6" t="str">
        <v>Applications Software(Business;Desktop Publishing;Communication/Network Software;Utilities/File Mgmt Software;Applications Software(Home);Other Software (inq. Games);Internet Services &amp; Software</v>
      </c>
      <c r="AA428" s="6" t="str">
        <v>Disk Drives;Portable Computers;Printers;Other Peripherals;Other Software (inq. Games);Micro-Computers (PCs);Monitors/Terminals;Mainframes &amp; Super Computers</v>
      </c>
      <c r="AB428" s="6" t="str">
        <v>Mainframes &amp; Super Computers;Other Peripherals;Monitors/Terminals;Portable Computers;Micro-Computers (PCs);Printers;Disk Drives;Other Software (inq. Games)</v>
      </c>
    </row>
    <row r="429">
      <c r="A429" s="6" t="str">
        <v>38259P</v>
      </c>
      <c r="B429" s="6" t="str">
        <v>United States</v>
      </c>
      <c r="C429" s="6" t="str">
        <v>Google Inc</v>
      </c>
      <c r="D429" s="6" t="str">
        <v>Alphabet Inc</v>
      </c>
      <c r="F429" s="6" t="str">
        <v>United States</v>
      </c>
      <c r="G429" s="6" t="str">
        <v>Vevo LLC</v>
      </c>
      <c r="H429" s="6" t="str">
        <v>Business Services</v>
      </c>
      <c r="I429" s="6" t="str">
        <v>93287A</v>
      </c>
      <c r="J429" s="6" t="str">
        <v>Vivendi SE</v>
      </c>
      <c r="K429" s="6" t="str">
        <v>Universal Music Group Inc</v>
      </c>
      <c r="L429" s="7">
        <f>=DATE(2013,7,3)</f>
        <v>41457.99949074074</v>
      </c>
      <c r="M429" s="7">
        <f>=DATE(2013,7,3)</f>
        <v>41457.99949074074</v>
      </c>
      <c r="W429" s="6" t="str">
        <v>Programming Services;Internet Services &amp; Software</v>
      </c>
      <c r="X429" s="6" t="str">
        <v>Internet Services &amp; Software</v>
      </c>
      <c r="Y429" s="6" t="str">
        <v>Primary Business not Hi-Tech</v>
      </c>
      <c r="Z429" s="6" t="str">
        <v>Primary Business not Hi-Tech;Other Software (inq. Games);Internet Services &amp; Software</v>
      </c>
      <c r="AA429" s="6" t="str">
        <v>Primary Business not Hi-Tech;Programming Services;Computer Consulting Services;Internet Services &amp; Software;Telecommunications Equipment</v>
      </c>
      <c r="AB429" s="6" t="str">
        <v>Primary Business not Hi-Tech;Internet Services &amp; Software;Telecommunications Equipment;Computer Consulting Services;Programming Services</v>
      </c>
    </row>
    <row r="430">
      <c r="A430" s="6" t="str">
        <v>037833</v>
      </c>
      <c r="B430" s="6" t="str">
        <v>United States</v>
      </c>
      <c r="C430" s="6" t="str">
        <v>Apple Inc</v>
      </c>
      <c r="D430" s="6" t="str">
        <v>Apple Inc</v>
      </c>
      <c r="F430" s="6" t="str">
        <v>United States</v>
      </c>
      <c r="G430" s="6" t="str">
        <v>Hopstop.com Inc</v>
      </c>
      <c r="H430" s="6" t="str">
        <v>Business Services</v>
      </c>
      <c r="I430" s="6" t="str">
        <v>5A1147</v>
      </c>
      <c r="J430" s="6" t="str">
        <v>Hopstop.com Inc</v>
      </c>
      <c r="K430" s="6" t="str">
        <v>Hopstop.com Inc</v>
      </c>
      <c r="L430" s="7">
        <f>=DATE(2013,7,20)</f>
        <v>41474.99949074074</v>
      </c>
      <c r="M430" s="7">
        <f>=DATE(2013,7,20)</f>
        <v>41474.99949074074</v>
      </c>
      <c r="W430" s="6" t="str">
        <v>Other Software (inq. Games);Monitors/Terminals;Other Peripherals;Micro-Computers (PCs);Disk Drives;Printers;Mainframes &amp; Super Computers;Portable Computers</v>
      </c>
      <c r="X430" s="6" t="str">
        <v>Other Software (inq. Games);Other Computer Related Svcs;Computer Consulting Services;Data Processing Services</v>
      </c>
      <c r="Y430" s="6" t="str">
        <v>Data Processing Services;Other Computer Related Svcs;Other Software (inq. Games);Computer Consulting Services</v>
      </c>
      <c r="Z430" s="6" t="str">
        <v>Other Software (inq. Games);Computer Consulting Services;Data Processing Services;Other Computer Related Svcs</v>
      </c>
      <c r="AA430" s="6" t="str">
        <v>Printers;Portable Computers;Monitors/Terminals;Other Software (inq. Games);Disk Drives;Mainframes &amp; Super Computers;Other Peripherals;Micro-Computers (PCs)</v>
      </c>
      <c r="AB430" s="6" t="str">
        <v>Mainframes &amp; Super Computers;Other Software (inq. Games);Monitors/Terminals;Printers;Micro-Computers (PCs);Portable Computers;Other Peripherals;Disk Drives</v>
      </c>
    </row>
    <row r="431">
      <c r="A431" s="6" t="str">
        <v>00507V</v>
      </c>
      <c r="B431" s="6" t="str">
        <v>United States</v>
      </c>
      <c r="C431" s="6" t="str">
        <v>Activision Blizzard Inc</v>
      </c>
      <c r="D431" s="6" t="str">
        <v>Vivendi SE</v>
      </c>
      <c r="F431" s="6" t="str">
        <v>United States</v>
      </c>
      <c r="G431" s="6" t="str">
        <v>Activision Blizzard Inc</v>
      </c>
      <c r="H431" s="6" t="str">
        <v>Prepackaged Software</v>
      </c>
      <c r="I431" s="6" t="str">
        <v>00507V</v>
      </c>
      <c r="J431" s="6" t="str">
        <v>Vivendi SE</v>
      </c>
      <c r="K431" s="6" t="str">
        <v>Vivendi SE</v>
      </c>
      <c r="L431" s="7">
        <f>=DATE(2013,7,26)</f>
        <v>41480.99949074074</v>
      </c>
      <c r="M431" s="7">
        <f>=DATE(2013,10,11)</f>
        <v>41557.99949074074</v>
      </c>
      <c r="N431" s="8">
        <v>5834.4</v>
      </c>
      <c r="O431" s="8">
        <v>5834.4</v>
      </c>
      <c r="P431" s="8" t="str">
        <v>10,672.61</v>
      </c>
      <c r="R431" s="8">
        <v>1360</v>
      </c>
      <c r="S431" s="8">
        <v>4984</v>
      </c>
      <c r="T431" s="8">
        <v>-177</v>
      </c>
      <c r="U431" s="8">
        <v>126</v>
      </c>
      <c r="V431" s="8">
        <v>1534</v>
      </c>
      <c r="W431" s="6" t="str">
        <v>Other Software (inq. Games);Other Computer Systems;Operating Systems</v>
      </c>
      <c r="X431" s="6" t="str">
        <v>Other Computer Systems;Other Software (inq. Games);Operating Systems</v>
      </c>
      <c r="Y431" s="6" t="str">
        <v>Other Software (inq. Games);Primary Business not Hi-Tech;Internet Services &amp; Software</v>
      </c>
      <c r="Z431" s="6" t="str">
        <v>Primary Business not Hi-Tech;Other Software (inq. Games);Internet Services &amp; Software</v>
      </c>
      <c r="AA431" s="6" t="str">
        <v>Other Software (inq. Games);Primary Business not Hi-Tech;Internet Services &amp; Software</v>
      </c>
      <c r="AB431" s="6" t="str">
        <v>Other Software (inq. Games);Internet Services &amp; Software;Primary Business not Hi-Tech</v>
      </c>
      <c r="AC431" s="8">
        <v>5834.4</v>
      </c>
      <c r="AD431" s="7">
        <f>=DATE(2013,7,26)</f>
        <v>41480.99949074074</v>
      </c>
      <c r="AE431" s="8">
        <v>15198.5691464</v>
      </c>
      <c r="AF431" s="8" t="str">
        <v>10,652.57</v>
      </c>
      <c r="AG431" s="8" t="str">
        <v>10,672.61</v>
      </c>
    </row>
    <row r="432">
      <c r="A432" s="6" t="str">
        <v>037833</v>
      </c>
      <c r="B432" s="6" t="str">
        <v>United States</v>
      </c>
      <c r="C432" s="6" t="str">
        <v>Apple Inc</v>
      </c>
      <c r="D432" s="6" t="str">
        <v>Apple Inc</v>
      </c>
      <c r="F432" s="6" t="str">
        <v>United States</v>
      </c>
      <c r="G432" s="6" t="str">
        <v>Passif Semiconductor Corp</v>
      </c>
      <c r="H432" s="6" t="str">
        <v>Electronic and Electrical Equipment</v>
      </c>
      <c r="I432" s="6" t="str">
        <v>5A3262</v>
      </c>
      <c r="J432" s="6" t="str">
        <v>Passif Semiconductor Corp</v>
      </c>
      <c r="K432" s="6" t="str">
        <v>Passif Semiconductor Corp</v>
      </c>
      <c r="L432" s="7">
        <f>=DATE(2013,8,1)</f>
        <v>41486.99949074074</v>
      </c>
      <c r="M432" s="7">
        <f>=DATE(2013,8,1)</f>
        <v>41486.99949074074</v>
      </c>
      <c r="W432" s="6" t="str">
        <v>Micro-Computers (PCs);Other Software (inq. Games);Mainframes &amp; Super Computers;Portable Computers;Printers;Other Peripherals;Monitors/Terminals;Disk Drives</v>
      </c>
      <c r="X432" s="6" t="str">
        <v>Semiconductors</v>
      </c>
      <c r="Y432" s="6" t="str">
        <v>Semiconductors</v>
      </c>
      <c r="Z432" s="6" t="str">
        <v>Semiconductors</v>
      </c>
      <c r="AA432" s="6" t="str">
        <v>Disk Drives;Monitors/Terminals;Printers;Other Software (inq. Games);Mainframes &amp; Super Computers;Other Peripherals;Micro-Computers (PCs);Portable Computers</v>
      </c>
      <c r="AB432" s="6" t="str">
        <v>Disk Drives;Monitors/Terminals;Other Software (inq. Games);Printers;Other Peripherals;Portable Computers;Micro-Computers (PCs);Mainframes &amp; Super Computers</v>
      </c>
    </row>
    <row r="433">
      <c r="A433" s="6" t="str">
        <v>30303M</v>
      </c>
      <c r="B433" s="6" t="str">
        <v>United States</v>
      </c>
      <c r="C433" s="6" t="str">
        <v>Facebook Inc</v>
      </c>
      <c r="D433" s="6" t="str">
        <v>Facebook Inc</v>
      </c>
      <c r="F433" s="6" t="str">
        <v>United States</v>
      </c>
      <c r="G433" s="6" t="str">
        <v>Mobile Technologies</v>
      </c>
      <c r="H433" s="6" t="str">
        <v>Prepackaged Software</v>
      </c>
      <c r="I433" s="6" t="str">
        <v>5A4753</v>
      </c>
      <c r="J433" s="6" t="str">
        <v>Mobile Technologies</v>
      </c>
      <c r="K433" s="6" t="str">
        <v>Mobile Technologies</v>
      </c>
      <c r="L433" s="7">
        <f>=DATE(2013,8,12)</f>
        <v>41497.99949074074</v>
      </c>
      <c r="M433" s="7">
        <f>=DATE(2013,9,25)</f>
        <v>41541.99949074074</v>
      </c>
      <c r="W433" s="6" t="str">
        <v>Internet Services &amp; Software</v>
      </c>
      <c r="X433" s="6" t="str">
        <v>Communication/Network Software;Internet Services &amp; Software</v>
      </c>
      <c r="Y433" s="6" t="str">
        <v>Communication/Network Software;Internet Services &amp; Software</v>
      </c>
      <c r="Z433" s="6" t="str">
        <v>Communication/Network Software;Internet Services &amp; Software</v>
      </c>
      <c r="AA433" s="6" t="str">
        <v>Internet Services &amp; Software</v>
      </c>
      <c r="AB433" s="6" t="str">
        <v>Internet Services &amp; Software</v>
      </c>
    </row>
    <row r="434">
      <c r="A434" s="6" t="str">
        <v>037833</v>
      </c>
      <c r="B434" s="6" t="str">
        <v>United States</v>
      </c>
      <c r="C434" s="6" t="str">
        <v>Apple Inc</v>
      </c>
      <c r="D434" s="6" t="str">
        <v>Apple Inc</v>
      </c>
      <c r="F434" s="6" t="str">
        <v>United States</v>
      </c>
      <c r="G434" s="6" t="str">
        <v>Matcha Inc</v>
      </c>
      <c r="H434" s="6" t="str">
        <v>Business Services</v>
      </c>
      <c r="I434" s="6" t="str">
        <v>5A5156</v>
      </c>
      <c r="J434" s="6" t="str">
        <v>Matcha Inc</v>
      </c>
      <c r="K434" s="6" t="str">
        <v>Matcha Inc</v>
      </c>
      <c r="L434" s="7">
        <f>=DATE(2013,8,14)</f>
        <v>41499.99949074074</v>
      </c>
      <c r="M434" s="7">
        <f>=DATE(2013,8,14)</f>
        <v>41499.99949074074</v>
      </c>
      <c r="W434" s="6" t="str">
        <v>Disk Drives;Other Software (inq. Games);Printers;Other Peripherals;Micro-Computers (PCs);Monitors/Terminals;Mainframes &amp; Super Computers;Portable Computers</v>
      </c>
      <c r="X434" s="6" t="str">
        <v>Computer Consulting Services;Other Computer Related Svcs;Programming Services</v>
      </c>
      <c r="Y434" s="6" t="str">
        <v>Other Computer Related Svcs;Programming Services;Computer Consulting Services</v>
      </c>
      <c r="Z434" s="6" t="str">
        <v>Programming Services;Computer Consulting Services;Other Computer Related Svcs</v>
      </c>
      <c r="AA434" s="6" t="str">
        <v>Other Software (inq. Games);Micro-Computers (PCs);Portable Computers;Disk Drives;Mainframes &amp; Super Computers;Printers;Other Peripherals;Monitors/Terminals</v>
      </c>
      <c r="AB434" s="6" t="str">
        <v>Micro-Computers (PCs);Printers;Portable Computers;Other Software (inq. Games);Mainframes &amp; Super Computers;Disk Drives;Other Peripherals;Monitors/Terminals</v>
      </c>
    </row>
    <row r="435">
      <c r="A435" s="6" t="str">
        <v>037833</v>
      </c>
      <c r="B435" s="6" t="str">
        <v>United States</v>
      </c>
      <c r="C435" s="6" t="str">
        <v>Apple Inc</v>
      </c>
      <c r="D435" s="6" t="str">
        <v>Apple Inc</v>
      </c>
      <c r="F435" s="6" t="str">
        <v>United States</v>
      </c>
      <c r="G435" s="6" t="str">
        <v>Embark Inc</v>
      </c>
      <c r="H435" s="6" t="str">
        <v>Prepackaged Software</v>
      </c>
      <c r="I435" s="6" t="str">
        <v>5A6422</v>
      </c>
      <c r="J435" s="6" t="str">
        <v>Embark Inc</v>
      </c>
      <c r="K435" s="6" t="str">
        <v>Embark Inc</v>
      </c>
      <c r="L435" s="7">
        <f>=DATE(2013,8,22)</f>
        <v>41507.99949074074</v>
      </c>
      <c r="M435" s="7">
        <f>=DATE(2013,8,22)</f>
        <v>41507.99949074074</v>
      </c>
      <c r="W435" s="6" t="str">
        <v>Monitors/Terminals;Other Peripherals;Disk Drives;Printers;Portable Computers;Mainframes &amp; Super Computers;Micro-Computers (PCs);Other Software (inq. Games)</v>
      </c>
      <c r="X435" s="6" t="str">
        <v>Internet Services &amp; Software;Communication/Network Software</v>
      </c>
      <c r="Y435" s="6" t="str">
        <v>Internet Services &amp; Software;Communication/Network Software</v>
      </c>
      <c r="Z435" s="6" t="str">
        <v>Internet Services &amp; Software;Communication/Network Software</v>
      </c>
      <c r="AA435" s="6" t="str">
        <v>Other Software (inq. Games);Disk Drives;Other Peripherals;Micro-Computers (PCs);Mainframes &amp; Super Computers;Monitors/Terminals;Portable Computers;Printers</v>
      </c>
      <c r="AB435" s="6" t="str">
        <v>Micro-Computers (PCs);Printers;Portable Computers;Other Software (inq. Games);Mainframes &amp; Super Computers;Monitors/Terminals;Disk Drives;Other Peripherals</v>
      </c>
    </row>
    <row r="436">
      <c r="A436" s="6" t="str">
        <v>49012C</v>
      </c>
      <c r="B436" s="6" t="str">
        <v>United States</v>
      </c>
      <c r="C436" s="6" t="str">
        <v>Instagram Inc</v>
      </c>
      <c r="D436" s="6" t="str">
        <v>Facebook Inc</v>
      </c>
      <c r="F436" s="6" t="str">
        <v>United States</v>
      </c>
      <c r="G436" s="6" t="str">
        <v>Midnox Inc</v>
      </c>
      <c r="H436" s="6" t="str">
        <v>Prepackaged Software</v>
      </c>
      <c r="I436" s="6" t="str">
        <v>5A6876</v>
      </c>
      <c r="J436" s="6" t="str">
        <v>Midnox Inc</v>
      </c>
      <c r="K436" s="6" t="str">
        <v>Midnox Inc</v>
      </c>
      <c r="L436" s="7">
        <f>=DATE(2013,8,23)</f>
        <v>41508.99949074074</v>
      </c>
      <c r="M436" s="7">
        <f>=DATE(2013,8,23)</f>
        <v>41508.99949074074</v>
      </c>
      <c r="W436" s="6" t="str">
        <v>Applications Software(Home);Desktop Publishing;Networking Systems (LAN,WAN);Primary Business not Hi-Tech;Applications Software(Business;Computer Consulting Services;Internet Services &amp; Software;Other Software (inq. Games);Other Computer Related Svcs;Communication/Network Software;Utilities/File Mgmt Software</v>
      </c>
      <c r="X436" s="6" t="str">
        <v>Other Software (inq. Games);Internet Services &amp; Software</v>
      </c>
      <c r="Y436" s="6" t="str">
        <v>Internet Services &amp; Software;Other Software (inq. Games)</v>
      </c>
      <c r="Z436" s="6" t="str">
        <v>Other Software (inq. Games);Internet Services &amp; Software</v>
      </c>
      <c r="AA436" s="6" t="str">
        <v>Internet Services &amp; Software</v>
      </c>
      <c r="AB436" s="6" t="str">
        <v>Internet Services &amp; Software</v>
      </c>
    </row>
    <row r="437">
      <c r="A437" s="6" t="str">
        <v>38259P</v>
      </c>
      <c r="B437" s="6" t="str">
        <v>United States</v>
      </c>
      <c r="C437" s="6" t="str">
        <v>Google Inc</v>
      </c>
      <c r="D437" s="6" t="str">
        <v>Alphabet Inc</v>
      </c>
      <c r="F437" s="6" t="str">
        <v>United States</v>
      </c>
      <c r="G437" s="6" t="str">
        <v>WIMM Labs Inc</v>
      </c>
      <c r="H437" s="6" t="str">
        <v>Business Services</v>
      </c>
      <c r="I437" s="6" t="str">
        <v>5A8231</v>
      </c>
      <c r="J437" s="6" t="str">
        <v>WIMM Labs Inc</v>
      </c>
      <c r="K437" s="6" t="str">
        <v>WIMM Labs Inc</v>
      </c>
      <c r="L437" s="7">
        <f>=DATE(2013,8,30)</f>
        <v>41515.99949074074</v>
      </c>
      <c r="M437" s="7">
        <f>=DATE(2013,8,30)</f>
        <v>41515.99949074074</v>
      </c>
      <c r="W437" s="6" t="str">
        <v>Programming Services;Internet Services &amp; Software</v>
      </c>
      <c r="X437" s="6" t="str">
        <v>Computer Consulting Services;Programming Services;Applications Software(Business;Other Computer Related Svcs</v>
      </c>
      <c r="Y437" s="6" t="str">
        <v>Applications Software(Business;Other Computer Related Svcs;Computer Consulting Services;Programming Services</v>
      </c>
      <c r="Z437" s="6" t="str">
        <v>Programming Services;Applications Software(Business;Other Computer Related Svcs;Computer Consulting Services</v>
      </c>
      <c r="AA437" s="6" t="str">
        <v>Primary Business not Hi-Tech;Internet Services &amp; Software;Computer Consulting Services;Programming Services;Telecommunications Equipment</v>
      </c>
      <c r="AB437" s="6" t="str">
        <v>Primary Business not Hi-Tech;Programming Services;Telecommunications Equipment;Computer Consulting Services;Internet Services &amp; Software</v>
      </c>
    </row>
    <row r="438">
      <c r="A438" s="6" t="str">
        <v>38259P</v>
      </c>
      <c r="B438" s="6" t="str">
        <v>United States</v>
      </c>
      <c r="C438" s="6" t="str">
        <v>Google Inc</v>
      </c>
      <c r="D438" s="6" t="str">
        <v>Alphabet Inc</v>
      </c>
      <c r="F438" s="6" t="str">
        <v>United States</v>
      </c>
      <c r="G438" s="6" t="str">
        <v>Bump Technologies Inc</v>
      </c>
      <c r="H438" s="6" t="str">
        <v>Prepackaged Software</v>
      </c>
      <c r="I438" s="6" t="str">
        <v>6A1283</v>
      </c>
      <c r="J438" s="6" t="str">
        <v>Bump Technologies Inc</v>
      </c>
      <c r="K438" s="6" t="str">
        <v>Bump Technologies Inc</v>
      </c>
      <c r="L438" s="7">
        <f>=DATE(2013,9,16)</f>
        <v>41532.99949074074</v>
      </c>
      <c r="M438" s="7">
        <f>=DATE(2013,9,16)</f>
        <v>41532.99949074074</v>
      </c>
      <c r="W438" s="6" t="str">
        <v>Internet Services &amp; Software;Programming Services</v>
      </c>
      <c r="X438" s="6" t="str">
        <v>Other Software (inq. Games);Applications Software(Home)</v>
      </c>
      <c r="Y438" s="6" t="str">
        <v>Applications Software(Home);Other Software (inq. Games)</v>
      </c>
      <c r="Z438" s="6" t="str">
        <v>Applications Software(Home);Other Software (inq. Games)</v>
      </c>
      <c r="AA438" s="6" t="str">
        <v>Computer Consulting Services;Internet Services &amp; Software;Telecommunications Equipment;Programming Services;Primary Business not Hi-Tech</v>
      </c>
      <c r="AB438" s="6" t="str">
        <v>Computer Consulting Services;Internet Services &amp; Software;Telecommunications Equipment;Programming Services;Primary Business not Hi-Tech</v>
      </c>
    </row>
    <row r="439">
      <c r="A439" s="6" t="str">
        <v>594918</v>
      </c>
      <c r="B439" s="6" t="str">
        <v>United States</v>
      </c>
      <c r="C439" s="6" t="str">
        <v>Microsoft Corp</v>
      </c>
      <c r="D439" s="6" t="str">
        <v>Microsoft Corp</v>
      </c>
      <c r="F439" s="6" t="str">
        <v>United States</v>
      </c>
      <c r="G439" s="6" t="str">
        <v>Microsoft Corp</v>
      </c>
      <c r="H439" s="6" t="str">
        <v>Prepackaged Software</v>
      </c>
      <c r="I439" s="6" t="str">
        <v>594918</v>
      </c>
      <c r="J439" s="6" t="str">
        <v>Microsoft Corp</v>
      </c>
      <c r="K439" s="6" t="str">
        <v>Microsoft Corp</v>
      </c>
      <c r="L439" s="7">
        <f>=DATE(2013,9,17)</f>
        <v>41533.99949074074</v>
      </c>
      <c r="M439" s="7">
        <f>=DATE(2016,12,22)</f>
        <v>42725.99949074074</v>
      </c>
      <c r="N439" s="8">
        <v>40000</v>
      </c>
      <c r="O439" s="8">
        <v>40000</v>
      </c>
      <c r="P439" s="8" t="str">
        <v>314,446.10</v>
      </c>
      <c r="R439" s="8">
        <v>21863</v>
      </c>
      <c r="S439" s="8">
        <v>77849</v>
      </c>
      <c r="T439" s="8">
        <v>-8148</v>
      </c>
      <c r="U439" s="8">
        <v>-23811</v>
      </c>
      <c r="V439" s="8">
        <v>28833</v>
      </c>
      <c r="W439" s="6" t="str">
        <v>Operating Systems;Monitors/Terminals;Computer Consulting Services;Other Peripherals;Applications Software(Business;Internet Services &amp; Software</v>
      </c>
      <c r="X439" s="6" t="str">
        <v>Computer Consulting Services;Applications Software(Business;Other Peripherals;Operating Systems;Internet Services &amp; Software;Monitors/Terminals</v>
      </c>
      <c r="Y439" s="6" t="str">
        <v>Computer Consulting Services;Internet Services &amp; Software;Other Peripherals;Applications Software(Business;Operating Systems;Monitors/Terminals</v>
      </c>
      <c r="Z439" s="6" t="str">
        <v>Other Peripherals;Applications Software(Business;Internet Services &amp; Software;Computer Consulting Services;Operating Systems;Monitors/Terminals</v>
      </c>
      <c r="AA439" s="6" t="str">
        <v>Other Peripherals;Applications Software(Business;Operating Systems;Computer Consulting Services;Internet Services &amp; Software;Monitors/Terminals</v>
      </c>
      <c r="AB439" s="6" t="str">
        <v>Operating Systems;Computer Consulting Services;Applications Software(Business;Other Peripherals;Internet Services &amp; Software;Monitors/Terminals</v>
      </c>
      <c r="AC439" s="8">
        <v>40000</v>
      </c>
      <c r="AD439" s="7">
        <f>=DATE(2013,9,17)</f>
        <v>41533.99949074074</v>
      </c>
      <c r="AF439" s="8" t="str">
        <v>314,446.10</v>
      </c>
      <c r="AG439" s="8" t="str">
        <v>314,446.10</v>
      </c>
    </row>
    <row r="440">
      <c r="A440" s="6" t="str">
        <v>38259P</v>
      </c>
      <c r="B440" s="6" t="str">
        <v>United States</v>
      </c>
      <c r="C440" s="6" t="str">
        <v>Google Inc</v>
      </c>
      <c r="D440" s="6" t="str">
        <v>Alphabet Inc</v>
      </c>
      <c r="F440" s="6" t="str">
        <v>United States</v>
      </c>
      <c r="G440" s="6" t="str">
        <v>Flutter Inc</v>
      </c>
      <c r="H440" s="6" t="str">
        <v>Prepackaged Software</v>
      </c>
      <c r="I440" s="6" t="str">
        <v>6A4815</v>
      </c>
      <c r="J440" s="6" t="str">
        <v>Flutter Inc</v>
      </c>
      <c r="K440" s="6" t="str">
        <v>Flutter Inc</v>
      </c>
      <c r="L440" s="7">
        <f>=DATE(2013,10,2)</f>
        <v>41548.99949074074</v>
      </c>
      <c r="M440" s="7">
        <f>=DATE(2013,10,2)</f>
        <v>41548.99949074074</v>
      </c>
      <c r="W440" s="6" t="str">
        <v>Programming Services;Internet Services &amp; Software</v>
      </c>
      <c r="X440" s="6" t="str">
        <v>Applications Software(Business</v>
      </c>
      <c r="Y440" s="6" t="str">
        <v>Applications Software(Business</v>
      </c>
      <c r="Z440" s="6" t="str">
        <v>Applications Software(Business</v>
      </c>
      <c r="AA440" s="6" t="str">
        <v>Primary Business not Hi-Tech;Programming Services;Computer Consulting Services;Telecommunications Equipment;Internet Services &amp; Software</v>
      </c>
      <c r="AB440" s="6" t="str">
        <v>Computer Consulting Services;Telecommunications Equipment;Internet Services &amp; Software;Primary Business not Hi-Tech;Programming Services</v>
      </c>
    </row>
    <row r="441">
      <c r="A441" s="6" t="str">
        <v>38259P</v>
      </c>
      <c r="B441" s="6" t="str">
        <v>United States</v>
      </c>
      <c r="C441" s="6" t="str">
        <v>Google Inc</v>
      </c>
      <c r="D441" s="6" t="str">
        <v>Alphabet Inc</v>
      </c>
      <c r="F441" s="6" t="str">
        <v>United States</v>
      </c>
      <c r="G441" s="6" t="str">
        <v>Bot Square Inc</v>
      </c>
      <c r="H441" s="6" t="str">
        <v>Prepackaged Software</v>
      </c>
      <c r="I441" s="6" t="str">
        <v>8A0518</v>
      </c>
      <c r="J441" s="6" t="str">
        <v>Bot Square Inc</v>
      </c>
      <c r="K441" s="6" t="str">
        <v>Bot Square Inc</v>
      </c>
      <c r="L441" s="7">
        <f>=DATE(2013,10,2)</f>
        <v>41548.99949074074</v>
      </c>
      <c r="M441" s="7">
        <f>=DATE(2013,10,2)</f>
        <v>41548.99949074074</v>
      </c>
      <c r="W441" s="6" t="str">
        <v>Programming Services;Internet Services &amp; Software</v>
      </c>
      <c r="X441" s="6" t="str">
        <v>Internet Services &amp; Software;Communication/Network Software</v>
      </c>
      <c r="Y441" s="6" t="str">
        <v>Communication/Network Software;Internet Services &amp; Software</v>
      </c>
      <c r="Z441" s="6" t="str">
        <v>Communication/Network Software;Internet Services &amp; Software</v>
      </c>
      <c r="AA441" s="6" t="str">
        <v>Telecommunications Equipment;Primary Business not Hi-Tech;Internet Services &amp; Software;Programming Services;Computer Consulting Services</v>
      </c>
      <c r="AB441" s="6" t="str">
        <v>Internet Services &amp; Software;Primary Business not Hi-Tech;Programming Services;Computer Consulting Services;Telecommunications Equipment</v>
      </c>
    </row>
    <row r="442">
      <c r="A442" s="6" t="str">
        <v>037833</v>
      </c>
      <c r="B442" s="6" t="str">
        <v>United States</v>
      </c>
      <c r="C442" s="6" t="str">
        <v>Apple Inc</v>
      </c>
      <c r="D442" s="6" t="str">
        <v>Apple Inc</v>
      </c>
      <c r="F442" s="6" t="str">
        <v>United States</v>
      </c>
      <c r="G442" s="6" t="str">
        <v>Cue</v>
      </c>
      <c r="H442" s="6" t="str">
        <v>Prepackaged Software</v>
      </c>
      <c r="I442" s="6" t="str">
        <v>6A5017</v>
      </c>
      <c r="J442" s="6" t="str">
        <v>Cue</v>
      </c>
      <c r="K442" s="6" t="str">
        <v>Cue</v>
      </c>
      <c r="L442" s="7">
        <f>=DATE(2013,10,3)</f>
        <v>41549.99949074074</v>
      </c>
      <c r="M442" s="7">
        <f>=DATE(2013,10,3)</f>
        <v>41549.99949074074</v>
      </c>
      <c r="N442" s="8">
        <v>40</v>
      </c>
      <c r="O442" s="8">
        <v>40</v>
      </c>
      <c r="W442" s="6" t="str">
        <v>Mainframes &amp; Super Computers;Micro-Computers (PCs);Disk Drives;Printers;Other Peripherals;Portable Computers;Other Software (inq. Games);Monitors/Terminals</v>
      </c>
      <c r="X442" s="6" t="str">
        <v>Applications Software(Business</v>
      </c>
      <c r="Y442" s="6" t="str">
        <v>Applications Software(Business</v>
      </c>
      <c r="Z442" s="6" t="str">
        <v>Applications Software(Business</v>
      </c>
      <c r="AA442" s="6" t="str">
        <v>Monitors/Terminals;Micro-Computers (PCs);Other Peripherals;Printers;Mainframes &amp; Super Computers;Other Software (inq. Games);Disk Drives;Portable Computers</v>
      </c>
      <c r="AB442" s="6" t="str">
        <v>Other Peripherals;Portable Computers;Mainframes &amp; Super Computers;Disk Drives;Printers;Micro-Computers (PCs);Monitors/Terminals;Other Software (inq. Games)</v>
      </c>
      <c r="AC442" s="8">
        <v>40</v>
      </c>
      <c r="AD442" s="7">
        <f>=DATE(2013,10,3)</f>
        <v>41549.99949074074</v>
      </c>
    </row>
    <row r="443">
      <c r="A443" s="6" t="str">
        <v>30303M</v>
      </c>
      <c r="B443" s="6" t="str">
        <v>United States</v>
      </c>
      <c r="C443" s="6" t="str">
        <v>Facebook Inc</v>
      </c>
      <c r="D443" s="6" t="str">
        <v>Facebook Inc</v>
      </c>
      <c r="F443" s="6" t="str">
        <v>United States</v>
      </c>
      <c r="G443" s="6" t="str">
        <v>Onavo Inc</v>
      </c>
      <c r="H443" s="6" t="str">
        <v>Prepackaged Software</v>
      </c>
      <c r="I443" s="6" t="str">
        <v>6A6631</v>
      </c>
      <c r="J443" s="6" t="str">
        <v>Onavo Inc</v>
      </c>
      <c r="K443" s="6" t="str">
        <v>Onavo Inc</v>
      </c>
      <c r="L443" s="7">
        <f>=DATE(2013,10,14)</f>
        <v>41560.99949074074</v>
      </c>
      <c r="M443" s="7">
        <f>=DATE(2013,10,14)</f>
        <v>41560.99949074074</v>
      </c>
      <c r="N443" s="8">
        <v>200</v>
      </c>
      <c r="O443" s="8">
        <v>200</v>
      </c>
      <c r="W443" s="6" t="str">
        <v>Internet Services &amp; Software</v>
      </c>
      <c r="X443" s="6" t="str">
        <v>Internet Services &amp; Software;Communication/Network Software</v>
      </c>
      <c r="Y443" s="6" t="str">
        <v>Communication/Network Software;Internet Services &amp; Software</v>
      </c>
      <c r="Z443" s="6" t="str">
        <v>Communication/Network Software;Internet Services &amp; Software</v>
      </c>
      <c r="AA443" s="6" t="str">
        <v>Internet Services &amp; Software</v>
      </c>
      <c r="AB443" s="6" t="str">
        <v>Internet Services &amp; Software</v>
      </c>
      <c r="AC443" s="8">
        <v>200</v>
      </c>
      <c r="AD443" s="7">
        <f>=DATE(2014,1,14)</f>
        <v>41652.99949074074</v>
      </c>
    </row>
    <row r="444">
      <c r="A444" s="6" t="str">
        <v>594918</v>
      </c>
      <c r="B444" s="6" t="str">
        <v>United States</v>
      </c>
      <c r="C444" s="6" t="str">
        <v>Microsoft Corp</v>
      </c>
      <c r="D444" s="6" t="str">
        <v>Microsoft Corp</v>
      </c>
      <c r="F444" s="6" t="str">
        <v>United States</v>
      </c>
      <c r="G444" s="6" t="str">
        <v>Apiphany Inc</v>
      </c>
      <c r="H444" s="6" t="str">
        <v>Prepackaged Software</v>
      </c>
      <c r="I444" s="6" t="str">
        <v>6A8345</v>
      </c>
      <c r="J444" s="6" t="str">
        <v>Apiphany Inc</v>
      </c>
      <c r="K444" s="6" t="str">
        <v>Apiphany Inc</v>
      </c>
      <c r="L444" s="7">
        <f>=DATE(2013,10,24)</f>
        <v>41570.99949074074</v>
      </c>
      <c r="M444" s="7">
        <f>=DATE(2013,10,24)</f>
        <v>41570.99949074074</v>
      </c>
      <c r="W444" s="6" t="str">
        <v>Other Peripherals;Operating Systems;Computer Consulting Services;Internet Services &amp; Software;Monitors/Terminals;Applications Software(Business</v>
      </c>
      <c r="X444" s="6" t="str">
        <v>Other Software (inq. Games)</v>
      </c>
      <c r="Y444" s="6" t="str">
        <v>Other Software (inq. Games)</v>
      </c>
      <c r="Z444" s="6" t="str">
        <v>Other Software (inq. Games)</v>
      </c>
      <c r="AA444" s="6" t="str">
        <v>Computer Consulting Services;Internet Services &amp; Software;Other Peripherals;Operating Systems;Applications Software(Business;Monitors/Terminals</v>
      </c>
      <c r="AB444" s="6" t="str">
        <v>Applications Software(Business;Operating Systems;Internet Services &amp; Software;Other Peripherals;Monitors/Terminals;Computer Consulting Services</v>
      </c>
    </row>
    <row r="445">
      <c r="A445" s="6" t="str">
        <v>037833</v>
      </c>
      <c r="B445" s="6" t="str">
        <v>United States</v>
      </c>
      <c r="C445" s="6" t="str">
        <v>Apple Inc</v>
      </c>
      <c r="D445" s="6" t="str">
        <v>Apple Inc</v>
      </c>
      <c r="F445" s="6" t="str">
        <v>United States</v>
      </c>
      <c r="G445" s="6" t="str">
        <v>Topsy Labs Inc</v>
      </c>
      <c r="H445" s="6" t="str">
        <v>Business Services</v>
      </c>
      <c r="I445" s="6" t="str">
        <v>7A5601</v>
      </c>
      <c r="J445" s="6" t="str">
        <v>Topsy Labs Inc</v>
      </c>
      <c r="K445" s="6" t="str">
        <v>Topsy Labs Inc</v>
      </c>
      <c r="L445" s="7">
        <f>=DATE(2013,12,2)</f>
        <v>41609.99949074074</v>
      </c>
      <c r="M445" s="7">
        <f>=DATE(2013,12,2)</f>
        <v>41609.99949074074</v>
      </c>
      <c r="W445" s="6" t="str">
        <v>Portable Computers;Disk Drives;Micro-Computers (PCs);Printers;Mainframes &amp; Super Computers;Other Software (inq. Games);Monitors/Terminals;Other Peripherals</v>
      </c>
      <c r="X445" s="6" t="str">
        <v>Data Processing Services</v>
      </c>
      <c r="Y445" s="6" t="str">
        <v>Data Processing Services</v>
      </c>
      <c r="Z445" s="6" t="str">
        <v>Data Processing Services</v>
      </c>
      <c r="AA445" s="6" t="str">
        <v>Other Software (inq. Games);Printers;Other Peripherals;Disk Drives;Mainframes &amp; Super Computers;Micro-Computers (PCs);Monitors/Terminals;Portable Computers</v>
      </c>
      <c r="AB445" s="6" t="str">
        <v>Other Software (inq. Games);Micro-Computers (PCs);Mainframes &amp; Super Computers;Disk Drives;Monitors/Terminals;Portable Computers;Printers;Other Peripherals</v>
      </c>
    </row>
    <row r="446">
      <c r="A446" s="6" t="str">
        <v>38259P</v>
      </c>
      <c r="B446" s="6" t="str">
        <v>United States</v>
      </c>
      <c r="C446" s="6" t="str">
        <v>Google Inc</v>
      </c>
      <c r="D446" s="6" t="str">
        <v>Alphabet Inc</v>
      </c>
      <c r="F446" s="6" t="str">
        <v>United States</v>
      </c>
      <c r="G446" s="6" t="str">
        <v>Meka Robotics LLC</v>
      </c>
      <c r="H446" s="6" t="str">
        <v>Prepackaged Software</v>
      </c>
      <c r="I446" s="6" t="str">
        <v>8C6959</v>
      </c>
      <c r="J446" s="6" t="str">
        <v>Meka Robotics LLC</v>
      </c>
      <c r="K446" s="6" t="str">
        <v>Meka Robotics LLC</v>
      </c>
      <c r="L446" s="7">
        <f>=DATE(2013,12,4)</f>
        <v>41611.99949074074</v>
      </c>
      <c r="M446" s="7">
        <f>=DATE(2013,12,4)</f>
        <v>41611.99949074074</v>
      </c>
      <c r="W446" s="6" t="str">
        <v>Internet Services &amp; Software;Programming Services</v>
      </c>
      <c r="X446" s="6" t="str">
        <v>Applications Software(Business;Communication/Network Software</v>
      </c>
      <c r="Y446" s="6" t="str">
        <v>Communication/Network Software;Applications Software(Business</v>
      </c>
      <c r="Z446" s="6" t="str">
        <v>Communication/Network Software;Applications Software(Business</v>
      </c>
      <c r="AA446" s="6" t="str">
        <v>Telecommunications Equipment;Primary Business not Hi-Tech;Computer Consulting Services;Internet Services &amp; Software;Programming Services</v>
      </c>
      <c r="AB446" s="6" t="str">
        <v>Telecommunications Equipment;Computer Consulting Services;Programming Services;Internet Services &amp; Software;Primary Business not Hi-Tech</v>
      </c>
    </row>
    <row r="447">
      <c r="A447" s="6" t="str">
        <v>30303M</v>
      </c>
      <c r="B447" s="6" t="str">
        <v>United States</v>
      </c>
      <c r="C447" s="6" t="str">
        <v>Facebook Inc</v>
      </c>
      <c r="D447" s="6" t="str">
        <v>Facebook Inc</v>
      </c>
      <c r="F447" s="6" t="str">
        <v>United States</v>
      </c>
      <c r="G447" s="6" t="str">
        <v>SportStream</v>
      </c>
      <c r="H447" s="6" t="str">
        <v>Business Services</v>
      </c>
      <c r="I447" s="6" t="str">
        <v>7A9163</v>
      </c>
      <c r="J447" s="6" t="str">
        <v>SportStream</v>
      </c>
      <c r="K447" s="6" t="str">
        <v>SportStream</v>
      </c>
      <c r="L447" s="7">
        <f>=DATE(2013,12,17)</f>
        <v>41624.99949074074</v>
      </c>
      <c r="M447" s="7">
        <f>=DATE(2013,12,17)</f>
        <v>41624.99949074074</v>
      </c>
      <c r="W447" s="6" t="str">
        <v>Internet Services &amp; Software</v>
      </c>
      <c r="X447" s="6" t="str">
        <v>Internet Services &amp; Software;Networking Systems (LAN,WAN)</v>
      </c>
      <c r="Y447" s="6" t="str">
        <v>Internet Services &amp; Software;Networking Systems (LAN,WAN)</v>
      </c>
      <c r="Z447" s="6" t="str">
        <v>Networking Systems (LAN,WAN);Internet Services &amp; Software</v>
      </c>
      <c r="AA447" s="6" t="str">
        <v>Internet Services &amp; Software</v>
      </c>
      <c r="AB447" s="6" t="str">
        <v>Internet Services &amp; Software</v>
      </c>
    </row>
    <row r="448">
      <c r="A448" s="6" t="str">
        <v>023135</v>
      </c>
      <c r="B448" s="6" t="str">
        <v>United States</v>
      </c>
      <c r="C448" s="6" t="str">
        <v>Amazon.com Inc</v>
      </c>
      <c r="D448" s="6" t="str">
        <v>Amazon.com Inc</v>
      </c>
      <c r="F448" s="6" t="str">
        <v>United States</v>
      </c>
      <c r="G448" s="6" t="str">
        <v>GoPago Inc-Mobile Payment Technology Assets</v>
      </c>
      <c r="H448" s="6" t="str">
        <v>Prepackaged Software</v>
      </c>
      <c r="I448" s="6" t="str">
        <v>8C0362</v>
      </c>
      <c r="J448" s="6" t="str">
        <v>GoPago Inc</v>
      </c>
      <c r="K448" s="6" t="str">
        <v>GoPago Inc</v>
      </c>
      <c r="L448" s="7">
        <f>=DATE(2013,12,21)</f>
        <v>41628.99949074074</v>
      </c>
      <c r="M448" s="7">
        <f>=DATE(2013,12,21)</f>
        <v>41628.99949074074</v>
      </c>
      <c r="W448" s="6" t="str">
        <v>Primary Business not Hi-Tech</v>
      </c>
      <c r="X448" s="6" t="str">
        <v>Applications Software(Business</v>
      </c>
      <c r="Y448" s="6" t="str">
        <v>Applications Software(Business</v>
      </c>
      <c r="Z448" s="6" t="str">
        <v>Applications Software(Business</v>
      </c>
      <c r="AA448" s="6" t="str">
        <v>Primary Business not Hi-Tech</v>
      </c>
      <c r="AB448" s="6" t="str">
        <v>Primary Business not Hi-Tech</v>
      </c>
    </row>
    <row r="449">
      <c r="A449" s="6" t="str">
        <v>037833</v>
      </c>
      <c r="B449" s="6" t="str">
        <v>United States</v>
      </c>
      <c r="C449" s="6" t="str">
        <v>Apple Inc</v>
      </c>
      <c r="D449" s="6" t="str">
        <v>Apple Inc</v>
      </c>
      <c r="F449" s="6" t="str">
        <v>United States</v>
      </c>
      <c r="G449" s="6" t="str">
        <v>Broadmap</v>
      </c>
      <c r="H449" s="6" t="str">
        <v>Prepackaged Software</v>
      </c>
      <c r="I449" s="6" t="str">
        <v>0L2674</v>
      </c>
      <c r="J449" s="6" t="str">
        <v>Broadmap</v>
      </c>
      <c r="K449" s="6" t="str">
        <v>Broadmap</v>
      </c>
      <c r="L449" s="7">
        <f>=DATE(2013,12,23)</f>
        <v>41630.99949074074</v>
      </c>
      <c r="M449" s="7">
        <f>=DATE(2013,12,23)</f>
        <v>41630.99949074074</v>
      </c>
      <c r="W449" s="6" t="str">
        <v>Micro-Computers (PCs);Mainframes &amp; Super Computers;Monitors/Terminals;Printers;Other Software (inq. Games);Disk Drives;Portable Computers;Other Peripherals</v>
      </c>
      <c r="X449" s="6" t="str">
        <v>Other Software (inq. Games);Internet Services &amp; Software;Applications Software(Home);Desktop Publishing;Communication/Network Software;Utilities/File Mgmt Software;Applications Software(Business</v>
      </c>
      <c r="Y449" s="6" t="str">
        <v>Applications Software(Home);Applications Software(Business;Utilities/File Mgmt Software;Internet Services &amp; Software;Desktop Publishing;Communication/Network Software;Other Software (inq. Games)</v>
      </c>
      <c r="Z449" s="6" t="str">
        <v>Desktop Publishing;Communication/Network Software;Utilities/File Mgmt Software;Other Software (inq. Games);Applications Software(Business;Internet Services &amp; Software;Applications Software(Home)</v>
      </c>
      <c r="AA449" s="6" t="str">
        <v>Printers;Other Software (inq. Games);Micro-Computers (PCs);Portable Computers;Mainframes &amp; Super Computers;Disk Drives;Monitors/Terminals;Other Peripherals</v>
      </c>
      <c r="AB449" s="6" t="str">
        <v>Other Software (inq. Games);Monitors/Terminals;Disk Drives;Micro-Computers (PCs);Other Peripherals;Mainframes &amp; Super Computers;Portable Computers;Printers</v>
      </c>
    </row>
    <row r="450">
      <c r="A450" s="6" t="str">
        <v>037833</v>
      </c>
      <c r="B450" s="6" t="str">
        <v>United States</v>
      </c>
      <c r="C450" s="6" t="str">
        <v>Apple Inc</v>
      </c>
      <c r="D450" s="6" t="str">
        <v>Apple Inc</v>
      </c>
      <c r="F450" s="6" t="str">
        <v>United States</v>
      </c>
      <c r="G450" s="6" t="str">
        <v>SnappyLabs</v>
      </c>
      <c r="H450" s="6" t="str">
        <v>Prepackaged Software</v>
      </c>
      <c r="I450" s="6" t="str">
        <v>8A2655</v>
      </c>
      <c r="J450" s="6" t="str">
        <v>SnappyLabs</v>
      </c>
      <c r="K450" s="6" t="str">
        <v>SnappyLabs</v>
      </c>
      <c r="L450" s="7">
        <f>=DATE(2014,1,4)</f>
        <v>41642.99949074074</v>
      </c>
      <c r="M450" s="7">
        <f>=DATE(2014,1,4)</f>
        <v>41642.99949074074</v>
      </c>
      <c r="W450" s="6" t="str">
        <v>Other Software (inq. Games);Mainframes &amp; Super Computers;Disk Drives;Micro-Computers (PCs);Printers;Portable Computers;Other Peripherals;Monitors/Terminals</v>
      </c>
      <c r="X450" s="6" t="str">
        <v>Communication/Network Software;Applications Software(Business;Applications Software(Home)</v>
      </c>
      <c r="Y450" s="6" t="str">
        <v>Applications Software(Business;Communication/Network Software;Applications Software(Home)</v>
      </c>
      <c r="Z450" s="6" t="str">
        <v>Communication/Network Software;Applications Software(Business;Applications Software(Home)</v>
      </c>
      <c r="AA450" s="6" t="str">
        <v>Other Peripherals;Mainframes &amp; Super Computers;Micro-Computers (PCs);Other Software (inq. Games);Disk Drives;Printers;Monitors/Terminals;Portable Computers</v>
      </c>
      <c r="AB450" s="6" t="str">
        <v>Micro-Computers (PCs);Printers;Other Peripherals;Portable Computers;Disk Drives;Mainframes &amp; Super Computers;Monitors/Terminals;Other Software (inq. Games)</v>
      </c>
    </row>
    <row r="451">
      <c r="A451" s="6" t="str">
        <v>37657R</v>
      </c>
      <c r="B451" s="6" t="str">
        <v>United States</v>
      </c>
      <c r="C451" s="6" t="str">
        <v>GitHub Inc</v>
      </c>
      <c r="D451" s="6" t="str">
        <v>GitHub Inc</v>
      </c>
      <c r="F451" s="6" t="str">
        <v>United States</v>
      </c>
      <c r="G451" s="6" t="str">
        <v>Easel Inc</v>
      </c>
      <c r="H451" s="6" t="str">
        <v>Business Services</v>
      </c>
      <c r="I451" s="6" t="str">
        <v>9A2331</v>
      </c>
      <c r="J451" s="6" t="str">
        <v>Easel Inc</v>
      </c>
      <c r="K451" s="6" t="str">
        <v>Easel Inc</v>
      </c>
      <c r="L451" s="7">
        <f>=DATE(2014,1,9)</f>
        <v>41647.99949074074</v>
      </c>
      <c r="M451" s="7">
        <f>=DATE(2014,1,9)</f>
        <v>41647.99949074074</v>
      </c>
      <c r="W451" s="6" t="str">
        <v>Internet Services &amp; Software</v>
      </c>
      <c r="X451" s="6" t="str">
        <v>Internet Services &amp; Software</v>
      </c>
      <c r="Y451" s="6" t="str">
        <v>Internet Services &amp; Software</v>
      </c>
      <c r="Z451" s="6" t="str">
        <v>Internet Services &amp; Software</v>
      </c>
      <c r="AA451" s="6" t="str">
        <v>Internet Services &amp; Software</v>
      </c>
      <c r="AB451" s="6" t="str">
        <v>Internet Services &amp; Software</v>
      </c>
    </row>
    <row r="452">
      <c r="A452" s="6" t="str">
        <v>38259P</v>
      </c>
      <c r="B452" s="6" t="str">
        <v>United States</v>
      </c>
      <c r="C452" s="6" t="str">
        <v>Google Inc</v>
      </c>
      <c r="D452" s="6" t="str">
        <v>Alphabet Inc</v>
      </c>
      <c r="F452" s="6" t="str">
        <v>United States</v>
      </c>
      <c r="G452" s="6" t="str">
        <v>Nest Labs Inc</v>
      </c>
      <c r="H452" s="6" t="str">
        <v>Measuring, Medical, Photo Equipment; Clocks</v>
      </c>
      <c r="I452" s="6" t="str">
        <v>3A7443</v>
      </c>
      <c r="J452" s="6" t="str">
        <v>Nest Labs Inc</v>
      </c>
      <c r="K452" s="6" t="str">
        <v>Nest Labs Inc</v>
      </c>
      <c r="L452" s="7">
        <f>=DATE(2014,1,13)</f>
        <v>41651.99949074074</v>
      </c>
      <c r="M452" s="7">
        <f>=DATE(2014,2,7)</f>
        <v>41676.99949074074</v>
      </c>
      <c r="N452" s="8">
        <v>3200</v>
      </c>
      <c r="O452" s="8">
        <v>3200</v>
      </c>
      <c r="W452" s="6" t="str">
        <v>Internet Services &amp; Software;Programming Services</v>
      </c>
      <c r="X452" s="6" t="str">
        <v>Process Control Systems</v>
      </c>
      <c r="Y452" s="6" t="str">
        <v>Process Control Systems</v>
      </c>
      <c r="Z452" s="6" t="str">
        <v>Process Control Systems</v>
      </c>
      <c r="AA452" s="6" t="str">
        <v>Primary Business not Hi-Tech;Programming Services;Internet Services &amp; Software;Telecommunications Equipment;Computer Consulting Services</v>
      </c>
      <c r="AB452" s="6" t="str">
        <v>Computer Consulting Services;Primary Business not Hi-Tech;Programming Services;Internet Services &amp; Software;Telecommunications Equipment</v>
      </c>
      <c r="AC452" s="8">
        <v>3200</v>
      </c>
      <c r="AD452" s="7">
        <f>=DATE(2014,1,13)</f>
        <v>41651.99949074074</v>
      </c>
      <c r="AF452" s="8" t="str">
        <v>3,636.36</v>
      </c>
      <c r="AG452" s="8" t="str">
        <v>3,636.36</v>
      </c>
    </row>
    <row r="453">
      <c r="A453" s="6" t="str">
        <v>30303M</v>
      </c>
      <c r="B453" s="6" t="str">
        <v>United States</v>
      </c>
      <c r="C453" s="6" t="str">
        <v>Facebook Inc</v>
      </c>
      <c r="D453" s="6" t="str">
        <v>Facebook Inc</v>
      </c>
      <c r="F453" s="6" t="str">
        <v>United States</v>
      </c>
      <c r="G453" s="6" t="str">
        <v>Branch Media Inc</v>
      </c>
      <c r="H453" s="6" t="str">
        <v>Prepackaged Software</v>
      </c>
      <c r="I453" s="6" t="str">
        <v>8A4134</v>
      </c>
      <c r="J453" s="6" t="str">
        <v>Branch Media Inc</v>
      </c>
      <c r="K453" s="6" t="str">
        <v>Branch Media Inc</v>
      </c>
      <c r="L453" s="7">
        <f>=DATE(2014,1,13)</f>
        <v>41651.99949074074</v>
      </c>
      <c r="M453" s="7">
        <f>=DATE(2014,1,13)</f>
        <v>41651.99949074074</v>
      </c>
      <c r="W453" s="6" t="str">
        <v>Internet Services &amp; Software</v>
      </c>
      <c r="X453" s="6" t="str">
        <v>Applications Software(Business</v>
      </c>
      <c r="Y453" s="6" t="str">
        <v>Applications Software(Business</v>
      </c>
      <c r="Z453" s="6" t="str">
        <v>Applications Software(Business</v>
      </c>
      <c r="AA453" s="6" t="str">
        <v>Internet Services &amp; Software</v>
      </c>
      <c r="AB453" s="6" t="str">
        <v>Internet Services &amp; Software</v>
      </c>
    </row>
    <row r="454">
      <c r="A454" s="6" t="str">
        <v>38259P</v>
      </c>
      <c r="B454" s="6" t="str">
        <v>United States</v>
      </c>
      <c r="C454" s="6" t="str">
        <v>Google Inc</v>
      </c>
      <c r="D454" s="6" t="str">
        <v>Alphabet Inc</v>
      </c>
      <c r="F454" s="6" t="str">
        <v>United States</v>
      </c>
      <c r="G454" s="6" t="str">
        <v>Impermium Corp</v>
      </c>
      <c r="H454" s="6" t="str">
        <v>Prepackaged Software</v>
      </c>
      <c r="I454" s="6" t="str">
        <v>8A4823</v>
      </c>
      <c r="J454" s="6" t="str">
        <v>Impermium Corp</v>
      </c>
      <c r="K454" s="6" t="str">
        <v>Impermium Corp</v>
      </c>
      <c r="L454" s="7">
        <f>=DATE(2014,1,15)</f>
        <v>41653.99949074074</v>
      </c>
      <c r="M454" s="7">
        <f>=DATE(2014,1,15)</f>
        <v>41653.99949074074</v>
      </c>
      <c r="W454" s="6" t="str">
        <v>Internet Services &amp; Software;Programming Services</v>
      </c>
      <c r="X454" s="6" t="str">
        <v>Applications Software(Business</v>
      </c>
      <c r="Y454" s="6" t="str">
        <v>Applications Software(Business</v>
      </c>
      <c r="Z454" s="6" t="str">
        <v>Applications Software(Business</v>
      </c>
      <c r="AA454" s="6" t="str">
        <v>Programming Services;Primary Business not Hi-Tech;Computer Consulting Services;Telecommunications Equipment;Internet Services &amp; Software</v>
      </c>
      <c r="AB454" s="6" t="str">
        <v>Computer Consulting Services;Programming Services;Primary Business not Hi-Tech;Telecommunications Equipment;Internet Services &amp; Software</v>
      </c>
    </row>
    <row r="455">
      <c r="A455" s="6" t="str">
        <v>037833</v>
      </c>
      <c r="B455" s="6" t="str">
        <v>United States</v>
      </c>
      <c r="C455" s="6" t="str">
        <v>Apple Inc</v>
      </c>
      <c r="D455" s="6" t="str">
        <v>Apple Inc</v>
      </c>
      <c r="F455" s="6" t="str">
        <v>United States</v>
      </c>
      <c r="G455" s="6" t="str">
        <v>Apple Inc</v>
      </c>
      <c r="H455" s="6" t="str">
        <v>Computer and Office Equipment</v>
      </c>
      <c r="I455" s="6" t="str">
        <v>037833</v>
      </c>
      <c r="J455" s="6" t="str">
        <v>Apple Inc</v>
      </c>
      <c r="K455" s="6" t="str">
        <v>Apple Inc</v>
      </c>
      <c r="L455" s="7">
        <f>=DATE(2014,1,31)</f>
        <v>41669.99949074074</v>
      </c>
      <c r="M455" s="7">
        <f>=DATE(2014,12,31)</f>
        <v>42003.99949074074</v>
      </c>
      <c r="N455" s="8">
        <v>12000</v>
      </c>
      <c r="O455" s="8">
        <v>12000</v>
      </c>
      <c r="P455" s="8" t="str">
        <v>55,982.64</v>
      </c>
      <c r="R455" s="8">
        <v>37031</v>
      </c>
      <c r="S455" s="8">
        <v>173992</v>
      </c>
      <c r="T455" s="8">
        <v>-19631</v>
      </c>
      <c r="U455" s="8">
        <v>-35356</v>
      </c>
      <c r="V455" s="8">
        <v>55299</v>
      </c>
      <c r="W455" s="6" t="str">
        <v>Mainframes &amp; Super Computers;Printers;Micro-Computers (PCs);Portable Computers;Other Peripherals;Other Software (inq. Games);Monitors/Terminals;Disk Drives</v>
      </c>
      <c r="X455" s="6" t="str">
        <v>Disk Drives;Printers;Other Peripherals;Micro-Computers (PCs);Other Software (inq. Games);Portable Computers;Mainframes &amp; Super Computers;Monitors/Terminals</v>
      </c>
      <c r="Y455" s="6" t="str">
        <v>Printers;Disk Drives;Other Software (inq. Games);Portable Computers;Mainframes &amp; Super Computers;Other Peripherals;Monitors/Terminals;Micro-Computers (PCs)</v>
      </c>
      <c r="Z455" s="6" t="str">
        <v>Portable Computers;Mainframes &amp; Super Computers;Monitors/Terminals;Other Software (inq. Games);Other Peripherals;Micro-Computers (PCs);Printers;Disk Drives</v>
      </c>
      <c r="AA455" s="6" t="str">
        <v>Disk Drives;Other Peripherals;Portable Computers;Micro-Computers (PCs);Monitors/Terminals;Printers;Other Software (inq. Games);Mainframes &amp; Super Computers</v>
      </c>
      <c r="AB455" s="6" t="str">
        <v>Disk Drives;Other Peripherals;Other Software (inq. Games);Micro-Computers (PCs);Portable Computers;Printers;Mainframes &amp; Super Computers;Monitors/Terminals</v>
      </c>
      <c r="AC455" s="8">
        <v>12000</v>
      </c>
      <c r="AD455" s="7">
        <f>=DATE(2014,1,31)</f>
        <v>41669.99949074074</v>
      </c>
      <c r="AF455" s="8" t="str">
        <v>55,982.64</v>
      </c>
      <c r="AG455" s="8" t="str">
        <v>55,982.64</v>
      </c>
    </row>
    <row r="456">
      <c r="A456" s="6" t="str">
        <v>594918</v>
      </c>
      <c r="B456" s="6" t="str">
        <v>United States</v>
      </c>
      <c r="C456" s="6" t="str">
        <v>Microsoft Corp</v>
      </c>
      <c r="D456" s="6" t="str">
        <v>Microsoft Corp</v>
      </c>
      <c r="F456" s="6" t="str">
        <v>United States</v>
      </c>
      <c r="G456" s="6" t="str">
        <v>Foursquare Labs Inc</v>
      </c>
      <c r="H456" s="6" t="str">
        <v>Prepackaged Software</v>
      </c>
      <c r="I456" s="6" t="str">
        <v>5A7852</v>
      </c>
      <c r="J456" s="6" t="str">
        <v>Foursquare Labs Inc</v>
      </c>
      <c r="K456" s="6" t="str">
        <v>Foursquare Labs Inc</v>
      </c>
      <c r="L456" s="7">
        <f>=DATE(2014,2,4)</f>
        <v>41673.99949074074</v>
      </c>
      <c r="M456" s="7">
        <f>=DATE(2014,2,4)</f>
        <v>41673.99949074074</v>
      </c>
      <c r="N456" s="8">
        <v>15</v>
      </c>
      <c r="O456" s="8">
        <v>15</v>
      </c>
      <c r="W456" s="6" t="str">
        <v>Other Peripherals;Computer Consulting Services;Applications Software(Business;Internet Services &amp; Software;Operating Systems;Monitors/Terminals</v>
      </c>
      <c r="X456" s="6" t="str">
        <v>Other Software (inq. Games)</v>
      </c>
      <c r="Y456" s="6" t="str">
        <v>Other Software (inq. Games)</v>
      </c>
      <c r="Z456" s="6" t="str">
        <v>Other Software (inq. Games)</v>
      </c>
      <c r="AA456" s="6" t="str">
        <v>Internet Services &amp; Software;Computer Consulting Services;Other Peripherals;Monitors/Terminals;Applications Software(Business;Operating Systems</v>
      </c>
      <c r="AB456" s="6" t="str">
        <v>Other Peripherals;Monitors/Terminals;Operating Systems;Computer Consulting Services;Internet Services &amp; Software;Applications Software(Business</v>
      </c>
      <c r="AC456" s="8">
        <v>15</v>
      </c>
      <c r="AD456" s="7">
        <f>=DATE(2014,2,4)</f>
        <v>41673.99949074074</v>
      </c>
    </row>
    <row r="457">
      <c r="A457" s="6" t="str">
        <v>023135</v>
      </c>
      <c r="B457" s="6" t="str">
        <v>United States</v>
      </c>
      <c r="C457" s="6" t="str">
        <v>Amazon.com Inc</v>
      </c>
      <c r="D457" s="6" t="str">
        <v>Amazon.com Inc</v>
      </c>
      <c r="F457" s="6" t="str">
        <v>United States</v>
      </c>
      <c r="G457" s="6" t="str">
        <v>Double Helix Games LLC</v>
      </c>
      <c r="H457" s="6" t="str">
        <v>Prepackaged Software</v>
      </c>
      <c r="I457" s="6" t="str">
        <v>8A8341</v>
      </c>
      <c r="J457" s="6" t="str">
        <v>Double Helix Games LLC</v>
      </c>
      <c r="K457" s="6" t="str">
        <v>Double Helix Games LLC</v>
      </c>
      <c r="L457" s="7">
        <f>=DATE(2014,2,5)</f>
        <v>41674.99949074074</v>
      </c>
      <c r="M457" s="7">
        <f>=DATE(2014,2,5)</f>
        <v>41674.99949074074</v>
      </c>
      <c r="W457" s="6" t="str">
        <v>Primary Business not Hi-Tech</v>
      </c>
      <c r="X457" s="6" t="str">
        <v>Other Software (inq. Games)</v>
      </c>
      <c r="Y457" s="6" t="str">
        <v>Other Software (inq. Games)</v>
      </c>
      <c r="Z457" s="6" t="str">
        <v>Other Software (inq. Games)</v>
      </c>
      <c r="AA457" s="6" t="str">
        <v>Primary Business not Hi-Tech</v>
      </c>
      <c r="AB457" s="6" t="str">
        <v>Primary Business not Hi-Tech</v>
      </c>
    </row>
    <row r="458">
      <c r="A458" s="6" t="str">
        <v>53578A</v>
      </c>
      <c r="B458" s="6" t="str">
        <v>United States</v>
      </c>
      <c r="C458" s="6" t="str">
        <v>LinkedIn Corp</v>
      </c>
      <c r="D458" s="6" t="str">
        <v>LinkedIn Corp</v>
      </c>
      <c r="F458" s="6" t="str">
        <v>United States</v>
      </c>
      <c r="G458" s="6" t="str">
        <v>Bright Media Corp Inc</v>
      </c>
      <c r="H458" s="6" t="str">
        <v>Business Services</v>
      </c>
      <c r="I458" s="6" t="str">
        <v>8A8246</v>
      </c>
      <c r="J458" s="6" t="str">
        <v>Bright Media Corp Inc</v>
      </c>
      <c r="K458" s="6" t="str">
        <v>Bright Media Corp Inc</v>
      </c>
      <c r="L458" s="7">
        <f>=DATE(2014,2,6)</f>
        <v>41675.99949074074</v>
      </c>
      <c r="M458" s="7">
        <f>=DATE(2014,3,5)</f>
        <v>41702.99949074074</v>
      </c>
      <c r="N458" s="8">
        <v>120</v>
      </c>
      <c r="O458" s="8">
        <v>120</v>
      </c>
      <c r="W458" s="6" t="str">
        <v>Internet Services &amp; Software</v>
      </c>
      <c r="X458" s="6" t="str">
        <v>Internet Services &amp; Software;Primary Business not Hi-Tech</v>
      </c>
      <c r="Y458" s="6" t="str">
        <v>Primary Business not Hi-Tech;Internet Services &amp; Software</v>
      </c>
      <c r="Z458" s="6" t="str">
        <v>Primary Business not Hi-Tech;Internet Services &amp; Software</v>
      </c>
      <c r="AA458" s="6" t="str">
        <v>Internet Services &amp; Software</v>
      </c>
      <c r="AB458" s="6" t="str">
        <v>Internet Services &amp; Software</v>
      </c>
      <c r="AC458" s="8">
        <v>120</v>
      </c>
      <c r="AD458" s="7">
        <f>=DATE(2014,2,6)</f>
        <v>41675.99949074074</v>
      </c>
      <c r="AF458" s="8" t="str">
        <v>120.00</v>
      </c>
      <c r="AG458" s="8" t="str">
        <v>120.00</v>
      </c>
    </row>
    <row r="459">
      <c r="A459" s="6" t="str">
        <v>30303M</v>
      </c>
      <c r="B459" s="6" t="str">
        <v>United States</v>
      </c>
      <c r="C459" s="6" t="str">
        <v>Facebook Inc</v>
      </c>
      <c r="D459" s="6" t="str">
        <v>Facebook Inc</v>
      </c>
      <c r="F459" s="6" t="str">
        <v>United States</v>
      </c>
      <c r="G459" s="6" t="str">
        <v>WhatsApp Inc</v>
      </c>
      <c r="H459" s="6" t="str">
        <v>Prepackaged Software</v>
      </c>
      <c r="I459" s="6" t="str">
        <v>0A6710</v>
      </c>
      <c r="J459" s="6" t="str">
        <v>WhatsApp Inc</v>
      </c>
      <c r="K459" s="6" t="str">
        <v>WhatsApp Inc</v>
      </c>
      <c r="L459" s="7">
        <f>=DATE(2014,2,19)</f>
        <v>41688.99949074074</v>
      </c>
      <c r="M459" s="7">
        <f>=DATE(2014,10,6)</f>
        <v>41917.99949074074</v>
      </c>
      <c r="N459" s="8">
        <v>21332.108</v>
      </c>
      <c r="O459" s="8">
        <v>19467.709</v>
      </c>
      <c r="W459" s="6" t="str">
        <v>Internet Services &amp; Software</v>
      </c>
      <c r="X459" s="6" t="str">
        <v>Internet Services &amp; Software;Communication/Network Software</v>
      </c>
      <c r="Y459" s="6" t="str">
        <v>Internet Services &amp; Software;Communication/Network Software</v>
      </c>
      <c r="Z459" s="6" t="str">
        <v>Communication/Network Software;Internet Services &amp; Software</v>
      </c>
      <c r="AA459" s="6" t="str">
        <v>Internet Services &amp; Software</v>
      </c>
      <c r="AB459" s="6" t="str">
        <v>Internet Services &amp; Software</v>
      </c>
      <c r="AC459" s="8">
        <v>19467.709</v>
      </c>
      <c r="AD459" s="7">
        <f>=DATE(2014,2,19)</f>
        <v>41688.99949074074</v>
      </c>
      <c r="AF459" s="8" t="str">
        <v>19,467.71</v>
      </c>
      <c r="AG459" s="8" t="str">
        <v>21,332.11</v>
      </c>
    </row>
    <row r="460">
      <c r="A460" s="6" t="str">
        <v>9A0409</v>
      </c>
      <c r="B460" s="6" t="str">
        <v>United States</v>
      </c>
      <c r="C460" s="6" t="str">
        <v>Google Capital 2016 LP</v>
      </c>
      <c r="D460" s="6" t="str">
        <v>Alphabet Inc</v>
      </c>
      <c r="F460" s="6" t="str">
        <v>United States</v>
      </c>
      <c r="G460" s="6" t="str">
        <v>Renaissance Learning Inc</v>
      </c>
      <c r="H460" s="6" t="str">
        <v>Prepackaged Software</v>
      </c>
      <c r="I460" s="6" t="str">
        <v>75968L</v>
      </c>
      <c r="J460" s="6" t="str">
        <v>Permira Holdings Ltd</v>
      </c>
      <c r="K460" s="6" t="str">
        <v>Raphael Acquisition Corp</v>
      </c>
      <c r="L460" s="7">
        <f>=DATE(2014,2,19)</f>
        <v>41688.99949074074</v>
      </c>
      <c r="M460" s="7">
        <f>=DATE(2014,2,19)</f>
        <v>41688.99949074074</v>
      </c>
      <c r="N460" s="8">
        <v>40</v>
      </c>
      <c r="O460" s="8">
        <v>40</v>
      </c>
      <c r="R460" s="8">
        <v>35.258</v>
      </c>
      <c r="S460" s="8">
        <v>136.071</v>
      </c>
      <c r="T460" s="8">
        <v>-68.034</v>
      </c>
      <c r="U460" s="8">
        <v>0.642</v>
      </c>
      <c r="V460" s="8">
        <v>33.065</v>
      </c>
      <c r="W460" s="6" t="str">
        <v>Primary Business not Hi-Tech</v>
      </c>
      <c r="X460" s="6" t="str">
        <v>Other Software (inq. Games)</v>
      </c>
      <c r="Y460" s="6" t="str">
        <v>Primary Business not Hi-Tech</v>
      </c>
      <c r="Z460" s="6" t="str">
        <v>Primary Business not Hi-Tech</v>
      </c>
      <c r="AA460" s="6" t="str">
        <v>Programming Services;Internet Services &amp; Software</v>
      </c>
      <c r="AB460" s="6" t="str">
        <v>Programming Services;Internet Services &amp; Software;Primary Business not Hi-Tech;Telecommunications Equipment;Computer Consulting Services</v>
      </c>
      <c r="AC460" s="8">
        <v>40</v>
      </c>
      <c r="AD460" s="7">
        <f>=DATE(2014,2,20)</f>
        <v>41689.99949074074</v>
      </c>
    </row>
    <row r="461">
      <c r="A461" s="6" t="str">
        <v>037833</v>
      </c>
      <c r="B461" s="6" t="str">
        <v>United States</v>
      </c>
      <c r="C461" s="6" t="str">
        <v>Apple Inc</v>
      </c>
      <c r="D461" s="6" t="str">
        <v>Apple Inc</v>
      </c>
      <c r="F461" s="6" t="str">
        <v>United States</v>
      </c>
      <c r="G461" s="6" t="str">
        <v>Burstly Inc</v>
      </c>
      <c r="H461" s="6" t="str">
        <v>Business Services</v>
      </c>
      <c r="I461" s="6" t="str">
        <v>12079J</v>
      </c>
      <c r="J461" s="6" t="str">
        <v>Burstly Inc</v>
      </c>
      <c r="K461" s="6" t="str">
        <v>Burstly Inc</v>
      </c>
      <c r="L461" s="7">
        <f>=DATE(2014,2,21)</f>
        <v>41690.99949074074</v>
      </c>
      <c r="M461" s="7">
        <f>=DATE(2014,2,21)</f>
        <v>41690.99949074074</v>
      </c>
      <c r="W461" s="6" t="str">
        <v>Mainframes &amp; Super Computers;Other Peripherals;Monitors/Terminals;Disk Drives;Micro-Computers (PCs);Portable Computers;Other Software (inq. Games);Printers</v>
      </c>
      <c r="X461" s="6" t="str">
        <v>Internet Services &amp; Software;Other Computer Related Svcs;Data Processing Services</v>
      </c>
      <c r="Y461" s="6" t="str">
        <v>Data Processing Services;Other Computer Related Svcs;Internet Services &amp; Software</v>
      </c>
      <c r="Z461" s="6" t="str">
        <v>Other Computer Related Svcs;Data Processing Services;Internet Services &amp; Software</v>
      </c>
      <c r="AA461" s="6" t="str">
        <v>Portable Computers;Mainframes &amp; Super Computers;Disk Drives;Monitors/Terminals;Other Peripherals;Other Software (inq. Games);Micro-Computers (PCs);Printers</v>
      </c>
      <c r="AB461" s="6" t="str">
        <v>Other Peripherals;Disk Drives;Mainframes &amp; Super Computers;Other Software (inq. Games);Monitors/Terminals;Micro-Computers (PCs);Portable Computers;Printers</v>
      </c>
    </row>
    <row r="462">
      <c r="A462" s="6" t="str">
        <v>67020Y</v>
      </c>
      <c r="B462" s="6" t="str">
        <v>United States</v>
      </c>
      <c r="C462" s="6" t="str">
        <v>Nuance Communications Inc</v>
      </c>
      <c r="D462" s="6" t="str">
        <v>Nuance Communications Inc</v>
      </c>
      <c r="F462" s="6" t="str">
        <v>United States</v>
      </c>
      <c r="G462" s="6" t="str">
        <v>Conant &amp; Associates Inc</v>
      </c>
      <c r="H462" s="6" t="str">
        <v>Prepackaged Software</v>
      </c>
      <c r="I462" s="6" t="str">
        <v>5C3639</v>
      </c>
      <c r="J462" s="6" t="str">
        <v>Conant &amp; Associates Inc</v>
      </c>
      <c r="K462" s="6" t="str">
        <v>Conant &amp; Associates Inc</v>
      </c>
      <c r="L462" s="7">
        <f>=DATE(2014,2,21)</f>
        <v>41690.99949074074</v>
      </c>
      <c r="M462" s="7">
        <f>=DATE(2014,2,21)</f>
        <v>41690.99949074074</v>
      </c>
      <c r="W462" s="6" t="str">
        <v>Programming Services;Database Software/Programming;Internet Services &amp; Software;Networking Systems (LAN,WAN);Primary Business not Hi-Tech;Applications Software(Home);Computer Consulting Services;Applications Software(Business;Utilities/File Mgmt Software;Desktop Publishing;Other Software (inq. Games);Other Computer Related Svcs;Communication/Network Software</v>
      </c>
      <c r="X462" s="6" t="str">
        <v>Data Processing Services;Other Computer Related Svcs;Computer Consulting Services;Other Software (inq. Games)</v>
      </c>
      <c r="Y462" s="6" t="str">
        <v>Data Processing Services;Computer Consulting Services;Other Software (inq. Games);Other Computer Related Svcs</v>
      </c>
      <c r="Z462" s="6" t="str">
        <v>Other Computer Related Svcs;Other Software (inq. Games);Data Processing Services;Computer Consulting Services</v>
      </c>
      <c r="AA462" s="6" t="str">
        <v>Utilities/File Mgmt Software;Desktop Publishing;Programming Services;Applications Software(Business;Other Computer Related Svcs;Communication/Network Software;Primary Business not Hi-Tech;Internet Services &amp; Software;Computer Consulting Services;Applications Software(Home);Database Software/Programming;Networking Systems (LAN,WAN);Other Software (inq. Games)</v>
      </c>
      <c r="AB462" s="6" t="str">
        <v>Other Software (inq. Games);Programming Services;Applications Software(Business;Networking Systems (LAN,WAN);Desktop Publishing;Primary Business not Hi-Tech;Database Software/Programming;Communication/Network Software;Other Computer Related Svcs;Computer Consulting Services;Applications Software(Home);Utilities/File Mgmt Software;Internet Services &amp; Software</v>
      </c>
    </row>
    <row r="463">
      <c r="A463" s="6" t="str">
        <v>9A2486</v>
      </c>
      <c r="B463" s="6" t="str">
        <v>United States</v>
      </c>
      <c r="C463" s="6" t="str">
        <v>Beats Music LLC</v>
      </c>
      <c r="D463" s="6" t="str">
        <v>Beats Electronics LLC</v>
      </c>
      <c r="F463" s="6" t="str">
        <v>United States</v>
      </c>
      <c r="G463" s="6" t="str">
        <v>TopSpin Media Inc</v>
      </c>
      <c r="H463" s="6" t="str">
        <v>Prepackaged Software</v>
      </c>
      <c r="I463" s="6" t="str">
        <v>9A2476</v>
      </c>
      <c r="J463" s="6" t="str">
        <v>TopSpin Media Inc</v>
      </c>
      <c r="K463" s="6" t="str">
        <v>TopSpin Media Inc</v>
      </c>
      <c r="L463" s="7">
        <f>=DATE(2014,3,4)</f>
        <v>41701.99949074074</v>
      </c>
      <c r="M463" s="7">
        <f>=DATE(2014,3,4)</f>
        <v>41701.99949074074</v>
      </c>
      <c r="W463" s="6" t="str">
        <v>Primary Business not Hi-Tech;Internet Services &amp; Software</v>
      </c>
      <c r="X463" s="6" t="str">
        <v>Applications Software(Business</v>
      </c>
      <c r="Y463" s="6" t="str">
        <v>Applications Software(Business</v>
      </c>
      <c r="Z463" s="6" t="str">
        <v>Applications Software(Business</v>
      </c>
      <c r="AA463" s="6" t="str">
        <v>Other Peripherals</v>
      </c>
      <c r="AB463" s="6" t="str">
        <v>Other Peripherals</v>
      </c>
    </row>
    <row r="464">
      <c r="A464" s="6" t="str">
        <v>38259P</v>
      </c>
      <c r="B464" s="6" t="str">
        <v>United States</v>
      </c>
      <c r="C464" s="6" t="str">
        <v>Google Inc</v>
      </c>
      <c r="D464" s="6" t="str">
        <v>Alphabet Inc</v>
      </c>
      <c r="F464" s="6" t="str">
        <v>United States</v>
      </c>
      <c r="G464" s="6" t="str">
        <v>Green Throttle Games</v>
      </c>
      <c r="H464" s="6" t="str">
        <v>Prepackaged Software</v>
      </c>
      <c r="I464" s="6" t="str">
        <v>9A4113</v>
      </c>
      <c r="J464" s="6" t="str">
        <v>Green Throttle Games</v>
      </c>
      <c r="K464" s="6" t="str">
        <v>Green Throttle Games</v>
      </c>
      <c r="L464" s="7">
        <f>=DATE(2014,3,12)</f>
        <v>41709.99949074074</v>
      </c>
      <c r="M464" s="7">
        <f>=DATE(2014,3,12)</f>
        <v>41709.99949074074</v>
      </c>
      <c r="W464" s="6" t="str">
        <v>Internet Services &amp; Software;Programming Services</v>
      </c>
      <c r="X464" s="6" t="str">
        <v>Other Software (inq. Games);Applications Software(Business</v>
      </c>
      <c r="Y464" s="6" t="str">
        <v>Applications Software(Business;Other Software (inq. Games)</v>
      </c>
      <c r="Z464" s="6" t="str">
        <v>Applications Software(Business;Other Software (inq. Games)</v>
      </c>
      <c r="AA464" s="6" t="str">
        <v>Primary Business not Hi-Tech;Computer Consulting Services;Internet Services &amp; Software;Programming Services;Telecommunications Equipment</v>
      </c>
      <c r="AB464" s="6" t="str">
        <v>Telecommunications Equipment;Computer Consulting Services;Primary Business not Hi-Tech;Programming Services;Internet Services &amp; Software</v>
      </c>
    </row>
    <row r="465">
      <c r="A465" s="6" t="str">
        <v>30303M</v>
      </c>
      <c r="B465" s="6" t="str">
        <v>United States</v>
      </c>
      <c r="C465" s="6" t="str">
        <v>Facebook Inc</v>
      </c>
      <c r="D465" s="6" t="str">
        <v>Facebook Inc</v>
      </c>
      <c r="F465" s="6" t="str">
        <v>United States</v>
      </c>
      <c r="G465" s="6" t="str">
        <v>Oculus VR Inc</v>
      </c>
      <c r="H465" s="6" t="str">
        <v>Prepackaged Software</v>
      </c>
      <c r="I465" s="6" t="str">
        <v>9A6770</v>
      </c>
      <c r="J465" s="6" t="str">
        <v>Oculus VR Inc</v>
      </c>
      <c r="K465" s="6" t="str">
        <v>Oculus VR Inc</v>
      </c>
      <c r="L465" s="7">
        <f>=DATE(2014,3,25)</f>
        <v>41722.99949074074</v>
      </c>
      <c r="M465" s="7">
        <f>=DATE(2014,7,21)</f>
        <v>41840.99949074074</v>
      </c>
      <c r="N465" s="8">
        <v>2280.5</v>
      </c>
      <c r="O465" s="8">
        <v>2180.71</v>
      </c>
      <c r="W465" s="6" t="str">
        <v>Internet Services &amp; Software</v>
      </c>
      <c r="X465" s="6" t="str">
        <v>Communication/Network Software;Applications Software(Business;Applications Software(Home)</v>
      </c>
      <c r="Y465" s="6" t="str">
        <v>Applications Software(Business;Communication/Network Software;Applications Software(Home)</v>
      </c>
      <c r="Z465" s="6" t="str">
        <v>Applications Software(Business;Applications Software(Home);Communication/Network Software</v>
      </c>
      <c r="AA465" s="6" t="str">
        <v>Internet Services &amp; Software</v>
      </c>
      <c r="AB465" s="6" t="str">
        <v>Internet Services &amp; Software</v>
      </c>
      <c r="AC465" s="8">
        <v>2180.71</v>
      </c>
      <c r="AD465" s="7">
        <f>=DATE(2014,3,25)</f>
        <v>41722.99949074074</v>
      </c>
    </row>
    <row r="466">
      <c r="A466" s="6" t="str">
        <v>023135</v>
      </c>
      <c r="B466" s="6" t="str">
        <v>United States</v>
      </c>
      <c r="C466" s="6" t="str">
        <v>Amazon.com Inc</v>
      </c>
      <c r="D466" s="6" t="str">
        <v>Amazon.com Inc</v>
      </c>
      <c r="F466" s="6" t="str">
        <v>United States</v>
      </c>
      <c r="G466" s="6" t="str">
        <v>Iconology Inc</v>
      </c>
      <c r="H466" s="6" t="str">
        <v>Business Services</v>
      </c>
      <c r="I466" s="6" t="str">
        <v>0C0325</v>
      </c>
      <c r="J466" s="6" t="str">
        <v>Iconology Inc</v>
      </c>
      <c r="K466" s="6" t="str">
        <v>Iconology Inc</v>
      </c>
      <c r="L466" s="7">
        <f>=DATE(2014,4,10)</f>
        <v>41738.99949074074</v>
      </c>
      <c r="M466" s="7">
        <f>=DATE(2014,5,6)</f>
        <v>41764.99949074074</v>
      </c>
      <c r="W466" s="6" t="str">
        <v>Primary Business not Hi-Tech</v>
      </c>
      <c r="X466" s="6" t="str">
        <v>Internet Services &amp; Software;Other Computer Related Svcs</v>
      </c>
      <c r="Y466" s="6" t="str">
        <v>Other Computer Related Svcs;Internet Services &amp; Software</v>
      </c>
      <c r="Z466" s="6" t="str">
        <v>Other Computer Related Svcs;Internet Services &amp; Software</v>
      </c>
      <c r="AA466" s="6" t="str">
        <v>Primary Business not Hi-Tech</v>
      </c>
      <c r="AB466" s="6" t="str">
        <v>Primary Business not Hi-Tech</v>
      </c>
    </row>
    <row r="467">
      <c r="A467" s="6" t="str">
        <v>38259P</v>
      </c>
      <c r="B467" s="6" t="str">
        <v>United States</v>
      </c>
      <c r="C467" s="6" t="str">
        <v>Google Inc</v>
      </c>
      <c r="D467" s="6" t="str">
        <v>Alphabet Inc</v>
      </c>
      <c r="F467" s="6" t="str">
        <v>United States</v>
      </c>
      <c r="G467" s="6" t="str">
        <v>Titan Aerospace</v>
      </c>
      <c r="H467" s="6" t="str">
        <v>Metal and Metal Products</v>
      </c>
      <c r="I467" s="6" t="str">
        <v>9A2289</v>
      </c>
      <c r="J467" s="6" t="str">
        <v>Titan Aerospace</v>
      </c>
      <c r="K467" s="6" t="str">
        <v>Titan Aerospace</v>
      </c>
      <c r="L467" s="7">
        <f>=DATE(2014,4,14)</f>
        <v>41742.99949074074</v>
      </c>
      <c r="M467" s="7">
        <f>=DATE(2014,4,14)</f>
        <v>41742.99949074074</v>
      </c>
      <c r="W467" s="6" t="str">
        <v>Programming Services;Internet Services &amp; Software</v>
      </c>
      <c r="X467" s="6" t="str">
        <v>Robotics</v>
      </c>
      <c r="Y467" s="6" t="str">
        <v>Robotics</v>
      </c>
      <c r="Z467" s="6" t="str">
        <v>Robotics</v>
      </c>
      <c r="AA467" s="6" t="str">
        <v>Telecommunications Equipment;Primary Business not Hi-Tech;Programming Services;Computer Consulting Services;Internet Services &amp; Software</v>
      </c>
      <c r="AB467" s="6" t="str">
        <v>Programming Services;Internet Services &amp; Software;Primary Business not Hi-Tech;Computer Consulting Services;Telecommunications Equipment</v>
      </c>
    </row>
    <row r="468">
      <c r="A468" s="6" t="str">
        <v>67020Y</v>
      </c>
      <c r="B468" s="6" t="str">
        <v>United States</v>
      </c>
      <c r="C468" s="6" t="str">
        <v>Nuance Communications Inc</v>
      </c>
      <c r="D468" s="6" t="str">
        <v>Nuance Communications Inc</v>
      </c>
      <c r="F468" s="6" t="str">
        <v>United States</v>
      </c>
      <c r="G468" s="6" t="str">
        <v>Neurostar Solutions Inc</v>
      </c>
      <c r="H468" s="6" t="str">
        <v>Prepackaged Software</v>
      </c>
      <c r="I468" s="6" t="str">
        <v>1C1954</v>
      </c>
      <c r="J468" s="6" t="str">
        <v>Neurostar Solutions Inc</v>
      </c>
      <c r="K468" s="6" t="str">
        <v>Neurostar Solutions Inc</v>
      </c>
      <c r="L468" s="7">
        <f>=DATE(2014,4,17)</f>
        <v>41745.99949074074</v>
      </c>
      <c r="M468" s="7">
        <f>=DATE(2014,4,17)</f>
        <v>41745.99949074074</v>
      </c>
      <c r="W468" s="6" t="str">
        <v>Other Software (inq. Games);Other Computer Related Svcs;Internet Services &amp; Software;Computer Consulting Services;Utilities/File Mgmt Software;Communication/Network Software;Networking Systems (LAN,WAN);Applications Software(Business;Primary Business not Hi-Tech;Database Software/Programming;Desktop Publishing;Applications Software(Home);Programming Services</v>
      </c>
      <c r="X468" s="6" t="str">
        <v>Utilities/File Mgmt Software;Applications Software(Business</v>
      </c>
      <c r="Y468" s="6" t="str">
        <v>Utilities/File Mgmt Software;Applications Software(Business</v>
      </c>
      <c r="Z468" s="6" t="str">
        <v>Utilities/File Mgmt Software;Applications Software(Business</v>
      </c>
      <c r="AA468" s="6" t="str">
        <v>Applications Software(Home);Database Software/Programming;Applications Software(Business;Internet Services &amp; Software;Utilities/File Mgmt Software;Programming Services;Other Software (inq. Games);Networking Systems (LAN,WAN);Desktop Publishing;Other Computer Related Svcs;Primary Business not Hi-Tech;Communication/Network Software;Computer Consulting Services</v>
      </c>
      <c r="AB468" s="6" t="str">
        <v>Other Computer Related Svcs;Networking Systems (LAN,WAN);Communication/Network Software;Database Software/Programming;Programming Services;Computer Consulting Services;Desktop Publishing;Utilities/File Mgmt Software;Applications Software(Business;Internet Services &amp; Software;Other Software (inq. Games);Applications Software(Home);Primary Business not Hi-Tech</v>
      </c>
    </row>
    <row r="469">
      <c r="A469" s="6" t="str">
        <v>38259P</v>
      </c>
      <c r="B469" s="6" t="str">
        <v>United States</v>
      </c>
      <c r="C469" s="6" t="str">
        <v>Google Inc</v>
      </c>
      <c r="D469" s="6" t="str">
        <v>Alphabet Inc</v>
      </c>
      <c r="F469" s="6" t="str">
        <v>United States</v>
      </c>
      <c r="G469" s="6" t="str">
        <v>Adometry Inc</v>
      </c>
      <c r="H469" s="6" t="str">
        <v>Business Services</v>
      </c>
      <c r="I469" s="6" t="str">
        <v>01340P</v>
      </c>
      <c r="J469" s="6" t="str">
        <v>Click Forensics Inc</v>
      </c>
      <c r="K469" s="6" t="str">
        <v>Click Forensics Inc</v>
      </c>
      <c r="L469" s="7">
        <f>=DATE(2014,5,6)</f>
        <v>41764.99949074074</v>
      </c>
      <c r="M469" s="7">
        <f>=DATE(2014,5,6)</f>
        <v>41764.99949074074</v>
      </c>
      <c r="W469" s="6" t="str">
        <v>Internet Services &amp; Software;Programming Services</v>
      </c>
      <c r="X469" s="6" t="str">
        <v>Internet Services &amp; Software</v>
      </c>
      <c r="Y469" s="6" t="str">
        <v>Internet Services &amp; Software</v>
      </c>
      <c r="Z469" s="6" t="str">
        <v>Internet Services &amp; Software</v>
      </c>
      <c r="AA469" s="6" t="str">
        <v>Programming Services;Telecommunications Equipment;Computer Consulting Services;Primary Business not Hi-Tech;Internet Services &amp; Software</v>
      </c>
      <c r="AB469" s="6" t="str">
        <v>Programming Services;Primary Business not Hi-Tech;Computer Consulting Services;Telecommunications Equipment;Internet Services &amp; Software</v>
      </c>
    </row>
    <row r="470">
      <c r="A470" s="6" t="str">
        <v>38259P</v>
      </c>
      <c r="B470" s="6" t="str">
        <v>United States</v>
      </c>
      <c r="C470" s="6" t="str">
        <v>Google Inc</v>
      </c>
      <c r="D470" s="6" t="str">
        <v>Alphabet Inc</v>
      </c>
      <c r="F470" s="6" t="str">
        <v>United States</v>
      </c>
      <c r="G470" s="6" t="str">
        <v>Appetas Inc</v>
      </c>
      <c r="H470" s="6" t="str">
        <v>Business Services</v>
      </c>
      <c r="I470" s="6" t="str">
        <v>0C4721</v>
      </c>
      <c r="J470" s="6" t="str">
        <v>Appetas Inc</v>
      </c>
      <c r="K470" s="6" t="str">
        <v>Appetas Inc</v>
      </c>
      <c r="L470" s="7">
        <f>=DATE(2014,5,7)</f>
        <v>41765.99949074074</v>
      </c>
      <c r="M470" s="7">
        <f>=DATE(2014,5,7)</f>
        <v>41765.99949074074</v>
      </c>
      <c r="W470" s="6" t="str">
        <v>Internet Services &amp; Software;Programming Services</v>
      </c>
      <c r="X470" s="6" t="str">
        <v>Database Software/Programming;Programming Services</v>
      </c>
      <c r="Y470" s="6" t="str">
        <v>Database Software/Programming;Programming Services</v>
      </c>
      <c r="Z470" s="6" t="str">
        <v>Programming Services;Database Software/Programming</v>
      </c>
      <c r="AA470" s="6" t="str">
        <v>Internet Services &amp; Software;Primary Business not Hi-Tech;Programming Services;Computer Consulting Services;Telecommunications Equipment</v>
      </c>
      <c r="AB470" s="6" t="str">
        <v>Internet Services &amp; Software;Computer Consulting Services;Telecommunications Equipment;Primary Business not Hi-Tech;Programming Services</v>
      </c>
    </row>
    <row r="471">
      <c r="A471" s="6" t="str">
        <v>38259P</v>
      </c>
      <c r="B471" s="6" t="str">
        <v>United States</v>
      </c>
      <c r="C471" s="6" t="str">
        <v>Google Inc</v>
      </c>
      <c r="D471" s="6" t="str">
        <v>Alphabet Inc</v>
      </c>
      <c r="F471" s="6" t="str">
        <v>United States</v>
      </c>
      <c r="G471" s="6" t="str">
        <v>Stackdriver Inc</v>
      </c>
      <c r="H471" s="6" t="str">
        <v>Prepackaged Software</v>
      </c>
      <c r="I471" s="6" t="str">
        <v>0C5004</v>
      </c>
      <c r="J471" s="6" t="str">
        <v>Stackdriver Inc</v>
      </c>
      <c r="K471" s="6" t="str">
        <v>Stackdriver Inc</v>
      </c>
      <c r="L471" s="7">
        <f>=DATE(2014,5,7)</f>
        <v>41765.99949074074</v>
      </c>
      <c r="M471" s="7">
        <f>=DATE(2014,5,7)</f>
        <v>41765.99949074074</v>
      </c>
      <c r="W471" s="6" t="str">
        <v>Programming Services;Internet Services &amp; Software</v>
      </c>
      <c r="X471" s="6" t="str">
        <v>Applications Software(Business</v>
      </c>
      <c r="Y471" s="6" t="str">
        <v>Applications Software(Business</v>
      </c>
      <c r="Z471" s="6" t="str">
        <v>Applications Software(Business</v>
      </c>
      <c r="AA471" s="6" t="str">
        <v>Internet Services &amp; Software;Programming Services;Primary Business not Hi-Tech;Telecommunications Equipment;Computer Consulting Services</v>
      </c>
      <c r="AB471" s="6" t="str">
        <v>Computer Consulting Services;Programming Services;Primary Business not Hi-Tech;Telecommunications Equipment;Internet Services &amp; Software</v>
      </c>
    </row>
    <row r="472">
      <c r="A472" s="6" t="str">
        <v>38259P</v>
      </c>
      <c r="B472" s="6" t="str">
        <v>United States</v>
      </c>
      <c r="C472" s="6" t="str">
        <v>Google Inc</v>
      </c>
      <c r="D472" s="6" t="str">
        <v>Alphabet Inc</v>
      </c>
      <c r="F472" s="6" t="str">
        <v>United States</v>
      </c>
      <c r="G472" s="6" t="str">
        <v>Quest Visual Inc</v>
      </c>
      <c r="H472" s="6" t="str">
        <v>Prepackaged Software</v>
      </c>
      <c r="I472" s="6" t="str">
        <v>0C6514</v>
      </c>
      <c r="J472" s="6" t="str">
        <v>Quest Visual Inc</v>
      </c>
      <c r="K472" s="6" t="str">
        <v>Quest Visual Inc</v>
      </c>
      <c r="L472" s="7">
        <f>=DATE(2014,5,16)</f>
        <v>41774.99949074074</v>
      </c>
      <c r="M472" s="7">
        <f>=DATE(2014,5,16)</f>
        <v>41774.99949074074</v>
      </c>
      <c r="W472" s="6" t="str">
        <v>Programming Services;Internet Services &amp; Software</v>
      </c>
      <c r="X472" s="6" t="str">
        <v>Applications Software(Business;Communication/Network Software;Applications Software(Home)</v>
      </c>
      <c r="Y472" s="6" t="str">
        <v>Applications Software(Business;Applications Software(Home);Communication/Network Software</v>
      </c>
      <c r="Z472" s="6" t="str">
        <v>Applications Software(Home);Communication/Network Software;Applications Software(Business</v>
      </c>
      <c r="AA472" s="6" t="str">
        <v>Primary Business not Hi-Tech;Internet Services &amp; Software;Telecommunications Equipment;Computer Consulting Services;Programming Services</v>
      </c>
      <c r="AB472" s="6" t="str">
        <v>Programming Services;Computer Consulting Services;Telecommunications Equipment;Internet Services &amp; Software;Primary Business not Hi-Tech</v>
      </c>
    </row>
    <row r="473">
      <c r="A473" s="6" t="str">
        <v>38259P</v>
      </c>
      <c r="B473" s="6" t="str">
        <v>United States</v>
      </c>
      <c r="C473" s="6" t="str">
        <v>Google Inc</v>
      </c>
      <c r="D473" s="6" t="str">
        <v>Alphabet Inc</v>
      </c>
      <c r="F473" s="6" t="str">
        <v>United States</v>
      </c>
      <c r="G473" s="6" t="str">
        <v>Enterproid Inc</v>
      </c>
      <c r="H473" s="6" t="str">
        <v>Prepackaged Software</v>
      </c>
      <c r="I473" s="6" t="str">
        <v>5A3552</v>
      </c>
      <c r="J473" s="6" t="str">
        <v>Enterproid Inc</v>
      </c>
      <c r="K473" s="6" t="str">
        <v>Enterproid Inc</v>
      </c>
      <c r="L473" s="7">
        <f>=DATE(2014,5,20)</f>
        <v>41778.99949074074</v>
      </c>
      <c r="M473" s="7">
        <f>=DATE(2014,5,20)</f>
        <v>41778.99949074074</v>
      </c>
      <c r="W473" s="6" t="str">
        <v>Programming Services;Internet Services &amp; Software</v>
      </c>
      <c r="X473" s="6" t="str">
        <v>Computer Consulting Services;Applications Software(Business;Turnkey Systems;Applications Software(Home);Other Computer Related Svcs;Other Computer Systems;Communication/Network Software;Utilities/File Mgmt Software;Other Software (inq. Games)</v>
      </c>
      <c r="Y473" s="6" t="str">
        <v>Other Software (inq. Games);Other Computer Related Svcs;Communication/Network Software;Computer Consulting Services;Utilities/File Mgmt Software;Applications Software(Business;Other Computer Systems;Applications Software(Home);Turnkey Systems</v>
      </c>
      <c r="Z473" s="6" t="str">
        <v>Other Software (inq. Games);Computer Consulting Services;Other Computer Systems;Other Computer Related Svcs;Utilities/File Mgmt Software;Communication/Network Software;Turnkey Systems;Applications Software(Home);Applications Software(Business</v>
      </c>
      <c r="AA473" s="6" t="str">
        <v>Primary Business not Hi-Tech;Telecommunications Equipment;Internet Services &amp; Software;Programming Services;Computer Consulting Services</v>
      </c>
      <c r="AB473" s="6" t="str">
        <v>Computer Consulting Services;Internet Services &amp; Software;Primary Business not Hi-Tech;Programming Services;Telecommunications Equipment</v>
      </c>
    </row>
    <row r="474">
      <c r="A474" s="6" t="str">
        <v>037833</v>
      </c>
      <c r="B474" s="6" t="str">
        <v>United States</v>
      </c>
      <c r="C474" s="6" t="str">
        <v>Apple Inc</v>
      </c>
      <c r="D474" s="6" t="str">
        <v>Apple Inc</v>
      </c>
      <c r="F474" s="6" t="str">
        <v>United States</v>
      </c>
      <c r="G474" s="6" t="str">
        <v>Beats Electronics LLC</v>
      </c>
      <c r="H474" s="6" t="str">
        <v>Electronic and Electrical Equipment</v>
      </c>
      <c r="I474" s="6" t="str">
        <v>07573T</v>
      </c>
      <c r="J474" s="6" t="str">
        <v>Beats Electronics LLC</v>
      </c>
      <c r="K474" s="6" t="str">
        <v>Beats Electronics LLC</v>
      </c>
      <c r="L474" s="7">
        <f>=DATE(2014,5,28)</f>
        <v>41786.99949074074</v>
      </c>
      <c r="M474" s="7">
        <f>=DATE(2014,8,1)</f>
        <v>41851.99949074074</v>
      </c>
      <c r="N474" s="8">
        <v>3000</v>
      </c>
      <c r="O474" s="8">
        <v>3000</v>
      </c>
      <c r="W474" s="6" t="str">
        <v>Other Software (inq. Games);Printers;Monitors/Terminals;Mainframes &amp; Super Computers;Other Peripherals;Micro-Computers (PCs);Disk Drives;Portable Computers</v>
      </c>
      <c r="X474" s="6" t="str">
        <v>Other Peripherals</v>
      </c>
      <c r="Y474" s="6" t="str">
        <v>Other Peripherals</v>
      </c>
      <c r="Z474" s="6" t="str">
        <v>Other Peripherals</v>
      </c>
      <c r="AA474" s="6" t="str">
        <v>Disk Drives;Monitors/Terminals;Portable Computers;Other Peripherals;Other Software (inq. Games);Micro-Computers (PCs);Printers;Mainframes &amp; Super Computers</v>
      </c>
      <c r="AB474" s="6" t="str">
        <v>Monitors/Terminals;Mainframes &amp; Super Computers;Micro-Computers (PCs);Disk Drives;Printers;Portable Computers;Other Peripherals;Other Software (inq. Games)</v>
      </c>
      <c r="AC474" s="8">
        <v>3000</v>
      </c>
      <c r="AD474" s="7">
        <f>=DATE(2014,5,28)</f>
        <v>41786.99949074074</v>
      </c>
    </row>
    <row r="475">
      <c r="A475" s="6" t="str">
        <v>38259P</v>
      </c>
      <c r="B475" s="6" t="str">
        <v>United States</v>
      </c>
      <c r="C475" s="6" t="str">
        <v>Google Inc</v>
      </c>
      <c r="D475" s="6" t="str">
        <v>Alphabet Inc</v>
      </c>
      <c r="F475" s="6" t="str">
        <v>United States</v>
      </c>
      <c r="G475" s="6" t="str">
        <v>Skybox Imaging Inc</v>
      </c>
      <c r="H475" s="6" t="str">
        <v>Communications Equipment</v>
      </c>
      <c r="I475" s="6" t="str">
        <v>0C7726</v>
      </c>
      <c r="J475" s="6" t="str">
        <v>Skybox Imaging Inc</v>
      </c>
      <c r="K475" s="6" t="str">
        <v>Skybox Imaging Inc</v>
      </c>
      <c r="L475" s="7">
        <f>=DATE(2014,6,10)</f>
        <v>41799.99949074074</v>
      </c>
      <c r="M475" s="7">
        <f>=DATE(2014,8,1)</f>
        <v>41851.99949074074</v>
      </c>
      <c r="N475" s="8">
        <v>500</v>
      </c>
      <c r="O475" s="8">
        <v>500</v>
      </c>
      <c r="W475" s="6" t="str">
        <v>Internet Services &amp; Software;Programming Services</v>
      </c>
      <c r="X475" s="6" t="str">
        <v>Internet Services &amp; Software;Satellite Communications;Other Telecommunications Equip</v>
      </c>
      <c r="Y475" s="6" t="str">
        <v>Internet Services &amp; Software;Other Telecommunications Equip;Satellite Communications</v>
      </c>
      <c r="Z475" s="6" t="str">
        <v>Satellite Communications;Internet Services &amp; Software;Other Telecommunications Equip</v>
      </c>
      <c r="AA475" s="6" t="str">
        <v>Internet Services &amp; Software;Primary Business not Hi-Tech;Programming Services;Telecommunications Equipment;Computer Consulting Services</v>
      </c>
      <c r="AB475" s="6" t="str">
        <v>Programming Services;Computer Consulting Services;Primary Business not Hi-Tech;Internet Services &amp; Software;Telecommunications Equipment</v>
      </c>
      <c r="AC475" s="8">
        <v>500</v>
      </c>
      <c r="AD475" s="7">
        <f>=DATE(2014,6,10)</f>
        <v>41799.99949074074</v>
      </c>
    </row>
    <row r="476">
      <c r="A476" s="6" t="str">
        <v>3A7443</v>
      </c>
      <c r="B476" s="6" t="str">
        <v>United States</v>
      </c>
      <c r="C476" s="6" t="str">
        <v>Nest Labs Inc</v>
      </c>
      <c r="D476" s="6" t="str">
        <v>Alphabet Inc</v>
      </c>
      <c r="F476" s="6" t="str">
        <v>United States</v>
      </c>
      <c r="G476" s="6" t="str">
        <v>Dropcam Inc</v>
      </c>
      <c r="H476" s="6" t="str">
        <v>Electronic and Electrical Equipment</v>
      </c>
      <c r="I476" s="6" t="str">
        <v>0C8399</v>
      </c>
      <c r="J476" s="6" t="str">
        <v>Dropcam Inc</v>
      </c>
      <c r="K476" s="6" t="str">
        <v>Dropcam Inc</v>
      </c>
      <c r="L476" s="7">
        <f>=DATE(2014,6,20)</f>
        <v>41809.99949074074</v>
      </c>
      <c r="M476" s="7">
        <f>=DATE(2014,7,31)</f>
        <v>41850.99949074074</v>
      </c>
      <c r="N476" s="8">
        <v>555</v>
      </c>
      <c r="O476" s="8">
        <v>555</v>
      </c>
      <c r="W476" s="6" t="str">
        <v>Process Control Systems</v>
      </c>
      <c r="X476" s="6" t="str">
        <v>Communication/Network Software;Primary Business not Hi-Tech;Applications Software(Home);Internet Services &amp; Software</v>
      </c>
      <c r="Y476" s="6" t="str">
        <v>Applications Software(Home);Communication/Network Software;Primary Business not Hi-Tech;Internet Services &amp; Software</v>
      </c>
      <c r="Z476" s="6" t="str">
        <v>Internet Services &amp; Software;Communication/Network Software;Primary Business not Hi-Tech;Applications Software(Home)</v>
      </c>
      <c r="AA476" s="6" t="str">
        <v>Internet Services &amp; Software;Programming Services</v>
      </c>
      <c r="AB476" s="6" t="str">
        <v>Programming Services;Internet Services &amp; Software;Primary Business not Hi-Tech;Telecommunications Equipment;Computer Consulting Services</v>
      </c>
      <c r="AC476" s="8">
        <v>555</v>
      </c>
      <c r="AD476" s="7">
        <f>=DATE(2014,6,20)</f>
        <v>41809.99949074074</v>
      </c>
    </row>
    <row r="477">
      <c r="A477" s="6" t="str">
        <v>38259P</v>
      </c>
      <c r="B477" s="6" t="str">
        <v>United States</v>
      </c>
      <c r="C477" s="6" t="str">
        <v>Google Inc</v>
      </c>
      <c r="D477" s="6" t="str">
        <v>Alphabet Inc</v>
      </c>
      <c r="F477" s="6" t="str">
        <v>United States</v>
      </c>
      <c r="G477" s="6" t="str">
        <v>Appurify Inc</v>
      </c>
      <c r="H477" s="6" t="str">
        <v>Prepackaged Software</v>
      </c>
      <c r="I477" s="6" t="str">
        <v>5A4884</v>
      </c>
      <c r="J477" s="6" t="str">
        <v>Appurify Inc</v>
      </c>
      <c r="K477" s="6" t="str">
        <v>Appurify Inc</v>
      </c>
      <c r="L477" s="7">
        <f>=DATE(2014,6,25)</f>
        <v>41814.99949074074</v>
      </c>
      <c r="M477" s="7">
        <f>=DATE(2014,6,25)</f>
        <v>41814.99949074074</v>
      </c>
      <c r="W477" s="6" t="str">
        <v>Programming Services;Internet Services &amp; Software</v>
      </c>
      <c r="X477" s="6" t="str">
        <v>Internet Services &amp; Software;Communication/Network Software</v>
      </c>
      <c r="Y477" s="6" t="str">
        <v>Communication/Network Software;Internet Services &amp; Software</v>
      </c>
      <c r="Z477" s="6" t="str">
        <v>Communication/Network Software;Internet Services &amp; Software</v>
      </c>
      <c r="AA477" s="6" t="str">
        <v>Telecommunications Equipment;Primary Business not Hi-Tech;Programming Services;Computer Consulting Services;Internet Services &amp; Software</v>
      </c>
      <c r="AB477" s="6" t="str">
        <v>Internet Services &amp; Software;Programming Services;Telecommunications Equipment;Computer Consulting Services;Primary Business not Hi-Tech</v>
      </c>
    </row>
    <row r="478">
      <c r="A478" s="6" t="str">
        <v>594918</v>
      </c>
      <c r="B478" s="6" t="str">
        <v>United States</v>
      </c>
      <c r="C478" s="6" t="str">
        <v>Microsoft Corp</v>
      </c>
      <c r="D478" s="6" t="str">
        <v>Microsoft Corp</v>
      </c>
      <c r="F478" s="6" t="str">
        <v>United States</v>
      </c>
      <c r="G478" s="6" t="str">
        <v>InMage Systems Inc</v>
      </c>
      <c r="H478" s="6" t="str">
        <v>Prepackaged Software</v>
      </c>
      <c r="I478" s="6" t="str">
        <v>1C7562</v>
      </c>
      <c r="J478" s="6" t="str">
        <v>InMage Systems Inc</v>
      </c>
      <c r="K478" s="6" t="str">
        <v>InMage Systems Inc</v>
      </c>
      <c r="L478" s="7">
        <f>=DATE(2014,7,11)</f>
        <v>41830.99949074074</v>
      </c>
      <c r="M478" s="7">
        <f>=DATE(2014,7,11)</f>
        <v>41830.99949074074</v>
      </c>
      <c r="W478" s="6" t="str">
        <v>Applications Software(Business;Other Peripherals;Monitors/Terminals;Computer Consulting Services;Operating Systems;Internet Services &amp; Software</v>
      </c>
      <c r="X478" s="6" t="str">
        <v>Other Software (inq. Games)</v>
      </c>
      <c r="Y478" s="6" t="str">
        <v>Other Software (inq. Games)</v>
      </c>
      <c r="Z478" s="6" t="str">
        <v>Other Software (inq. Games)</v>
      </c>
      <c r="AA478" s="6" t="str">
        <v>Monitors/Terminals;Applications Software(Business;Other Peripherals;Operating Systems;Internet Services &amp; Software;Computer Consulting Services</v>
      </c>
      <c r="AB478" s="6" t="str">
        <v>Other Peripherals;Applications Software(Business;Operating Systems;Computer Consulting Services;Internet Services &amp; Software;Monitors/Terminals</v>
      </c>
    </row>
    <row r="479">
      <c r="A479" s="6" t="str">
        <v>53578A</v>
      </c>
      <c r="B479" s="6" t="str">
        <v>United States</v>
      </c>
      <c r="C479" s="6" t="str">
        <v>LinkedIn Corp</v>
      </c>
      <c r="D479" s="6" t="str">
        <v>LinkedIn Corp</v>
      </c>
      <c r="F479" s="6" t="str">
        <v>United States</v>
      </c>
      <c r="G479" s="6" t="str">
        <v>Newsle Inc</v>
      </c>
      <c r="H479" s="6" t="str">
        <v>Business Services</v>
      </c>
      <c r="I479" s="6" t="str">
        <v>1C7883</v>
      </c>
      <c r="J479" s="6" t="str">
        <v>Newsle Inc</v>
      </c>
      <c r="K479" s="6" t="str">
        <v>Newsle Inc</v>
      </c>
      <c r="L479" s="7">
        <f>=DATE(2014,7,14)</f>
        <v>41833.99949074074</v>
      </c>
      <c r="M479" s="7">
        <f>=DATE(2014,7,14)</f>
        <v>41833.99949074074</v>
      </c>
      <c r="W479" s="6" t="str">
        <v>Internet Services &amp; Software</v>
      </c>
      <c r="X479" s="6" t="str">
        <v>Internet Services &amp; Software</v>
      </c>
      <c r="Y479" s="6" t="str">
        <v>Internet Services &amp; Software</v>
      </c>
      <c r="Z479" s="6" t="str">
        <v>Internet Services &amp; Software</v>
      </c>
      <c r="AA479" s="6" t="str">
        <v>Internet Services &amp; Software</v>
      </c>
      <c r="AB479" s="6" t="str">
        <v>Internet Services &amp; Software</v>
      </c>
    </row>
    <row r="480">
      <c r="A480" s="6" t="str">
        <v>53578A</v>
      </c>
      <c r="B480" s="6" t="str">
        <v>United States</v>
      </c>
      <c r="C480" s="6" t="str">
        <v>LinkedIn Corp</v>
      </c>
      <c r="D480" s="6" t="str">
        <v>LinkedIn Corp</v>
      </c>
      <c r="F480" s="6" t="str">
        <v>United States</v>
      </c>
      <c r="G480" s="6" t="str">
        <v>Bizo Inc</v>
      </c>
      <c r="H480" s="6" t="str">
        <v>Prepackaged Software</v>
      </c>
      <c r="I480" s="6" t="str">
        <v>1C9108</v>
      </c>
      <c r="J480" s="6" t="str">
        <v>Bizo Inc</v>
      </c>
      <c r="K480" s="6" t="str">
        <v>Bizo Inc</v>
      </c>
      <c r="L480" s="7">
        <f>=DATE(2014,7,22)</f>
        <v>41841.99949074074</v>
      </c>
      <c r="M480" s="7">
        <f>=DATE(2014,8,13)</f>
        <v>41863.99949074074</v>
      </c>
      <c r="N480" s="8">
        <v>175</v>
      </c>
      <c r="O480" s="8">
        <v>175</v>
      </c>
      <c r="W480" s="6" t="str">
        <v>Internet Services &amp; Software</v>
      </c>
      <c r="X480" s="6" t="str">
        <v>Applications Software(Business</v>
      </c>
      <c r="Y480" s="6" t="str">
        <v>Applications Software(Business</v>
      </c>
      <c r="Z480" s="6" t="str">
        <v>Applications Software(Business</v>
      </c>
      <c r="AA480" s="6" t="str">
        <v>Internet Services &amp; Software</v>
      </c>
      <c r="AB480" s="6" t="str">
        <v>Internet Services &amp; Software</v>
      </c>
      <c r="AC480" s="8">
        <v>175</v>
      </c>
      <c r="AD480" s="7">
        <f>=DATE(2014,7,22)</f>
        <v>41841.99949074074</v>
      </c>
      <c r="AF480" s="8" t="str">
        <v>175.00</v>
      </c>
      <c r="AG480" s="8" t="str">
        <v>175.00</v>
      </c>
    </row>
    <row r="481">
      <c r="A481" s="6" t="str">
        <v>67020Y</v>
      </c>
      <c r="B481" s="6" t="str">
        <v>United States</v>
      </c>
      <c r="C481" s="6" t="str">
        <v>Nuance Communications Inc</v>
      </c>
      <c r="D481" s="6" t="str">
        <v>Nuance Communications Inc</v>
      </c>
      <c r="F481" s="6" t="str">
        <v>United States</v>
      </c>
      <c r="G481" s="6" t="str">
        <v>Notable Solutions Inc</v>
      </c>
      <c r="H481" s="6" t="str">
        <v>Prepackaged Software</v>
      </c>
      <c r="I481" s="6" t="str">
        <v>66923W</v>
      </c>
      <c r="J481" s="6" t="str">
        <v>Notable Solutions Inc</v>
      </c>
      <c r="K481" s="6" t="str">
        <v>Notable Solutions Inc</v>
      </c>
      <c r="L481" s="7">
        <f>=DATE(2014,7,22)</f>
        <v>41841.99949074074</v>
      </c>
      <c r="M481" s="7">
        <f>=DATE(2014,7,22)</f>
        <v>41841.99949074074</v>
      </c>
      <c r="W481" s="6" t="str">
        <v>Other Computer Related Svcs;Other Software (inq. Games);Applications Software(Home);Internet Services &amp; Software;Communication/Network Software;Primary Business not Hi-Tech;Database Software/Programming;Applications Software(Business;Computer Consulting Services;Programming Services;Networking Systems (LAN,WAN);Utilities/File Mgmt Software;Desktop Publishing</v>
      </c>
      <c r="X481" s="6" t="str">
        <v>Data Processing Services;Computer Consulting Services;Other Computer Related Svcs;Internet Services &amp; Software;Turnkey Systems;Other Software (inq. Games)</v>
      </c>
      <c r="Y481" s="6" t="str">
        <v>Other Software (inq. Games);Other Computer Related Svcs;Turnkey Systems;Computer Consulting Services;Internet Services &amp; Software;Data Processing Services</v>
      </c>
      <c r="Z481" s="6" t="str">
        <v>Internet Services &amp; Software;Turnkey Systems;Other Computer Related Svcs;Other Software (inq. Games);Data Processing Services;Computer Consulting Services</v>
      </c>
      <c r="AA481" s="6" t="str">
        <v>Programming Services;Other Software (inq. Games);Desktop Publishing;Computer Consulting Services;Applications Software(Home);Communication/Network Software;Other Computer Related Svcs;Applications Software(Business;Database Software/Programming;Networking Systems (LAN,WAN);Primary Business not Hi-Tech;Utilities/File Mgmt Software;Internet Services &amp; Software</v>
      </c>
      <c r="AB481" s="6" t="str">
        <v>Networking Systems (LAN,WAN);Desktop Publishing;Utilities/File Mgmt Software;Other Computer Related Svcs;Applications Software(Home);Other Software (inq. Games);Programming Services;Communication/Network Software;Database Software/Programming;Applications Software(Business;Internet Services &amp; Software;Computer Consulting Services;Primary Business not Hi-Tech</v>
      </c>
    </row>
    <row r="482">
      <c r="A482" s="6" t="str">
        <v>38259P</v>
      </c>
      <c r="B482" s="6" t="str">
        <v>United States</v>
      </c>
      <c r="C482" s="6" t="str">
        <v>Google Inc</v>
      </c>
      <c r="D482" s="6" t="str">
        <v>Alphabet Inc</v>
      </c>
      <c r="F482" s="6" t="str">
        <v>United States</v>
      </c>
      <c r="G482" s="6" t="str">
        <v>Tinker Square Inc</v>
      </c>
      <c r="H482" s="6" t="str">
        <v>Prepackaged Software</v>
      </c>
      <c r="I482" s="6" t="str">
        <v>2C1642</v>
      </c>
      <c r="J482" s="6" t="str">
        <v>Tinker Square Inc</v>
      </c>
      <c r="K482" s="6" t="str">
        <v>Tinker Square Inc</v>
      </c>
      <c r="L482" s="7">
        <f>=DATE(2014,8,6)</f>
        <v>41856.99949074074</v>
      </c>
      <c r="M482" s="7">
        <f>=DATE(2014,8,6)</f>
        <v>41856.99949074074</v>
      </c>
      <c r="W482" s="6" t="str">
        <v>Internet Services &amp; Software;Programming Services</v>
      </c>
      <c r="X482" s="6" t="str">
        <v>Applications Software(Business;Applications Software(Home);Communication/Network Software</v>
      </c>
      <c r="Y482" s="6" t="str">
        <v>Applications Software(Home);Applications Software(Business;Communication/Network Software</v>
      </c>
      <c r="Z482" s="6" t="str">
        <v>Communication/Network Software;Applications Software(Home);Applications Software(Business</v>
      </c>
      <c r="AA482" s="6" t="str">
        <v>Programming Services;Internet Services &amp; Software;Computer Consulting Services;Primary Business not Hi-Tech;Telecommunications Equipment</v>
      </c>
      <c r="AB482" s="6" t="str">
        <v>Programming Services;Primary Business not Hi-Tech;Computer Consulting Services;Telecommunications Equipment;Internet Services &amp; Software</v>
      </c>
    </row>
    <row r="483">
      <c r="A483" s="6" t="str">
        <v>98787H</v>
      </c>
      <c r="B483" s="6" t="str">
        <v>United States</v>
      </c>
      <c r="C483" s="6" t="str">
        <v>YouTube Inc</v>
      </c>
      <c r="D483" s="6" t="str">
        <v>Alphabet Inc</v>
      </c>
      <c r="F483" s="6" t="str">
        <v>United States</v>
      </c>
      <c r="G483" s="6" t="str">
        <v>Directr Inc</v>
      </c>
      <c r="H483" s="6" t="str">
        <v>Prepackaged Software</v>
      </c>
      <c r="I483" s="6" t="str">
        <v>2C1722</v>
      </c>
      <c r="J483" s="6" t="str">
        <v>Directr Inc</v>
      </c>
      <c r="K483" s="6" t="str">
        <v>Directr Inc</v>
      </c>
      <c r="L483" s="7">
        <f>=DATE(2014,8,6)</f>
        <v>41856.99949074074</v>
      </c>
      <c r="M483" s="7">
        <f>=DATE(2014,8,6)</f>
        <v>41856.99949074074</v>
      </c>
      <c r="W483" s="6" t="str">
        <v>Internet Services &amp; Software</v>
      </c>
      <c r="X483" s="6" t="str">
        <v>Communication/Network Software;Applications Software(Business;Applications Software(Home)</v>
      </c>
      <c r="Y483" s="6" t="str">
        <v>Communication/Network Software;Applications Software(Home);Applications Software(Business</v>
      </c>
      <c r="Z483" s="6" t="str">
        <v>Communication/Network Software;Applications Software(Home);Applications Software(Business</v>
      </c>
      <c r="AA483" s="6" t="str">
        <v>Programming Services;Internet Services &amp; Software</v>
      </c>
      <c r="AB483" s="6" t="str">
        <v>Programming Services;Primary Business not Hi-Tech;Computer Consulting Services;Telecommunications Equipment;Internet Services &amp; Software</v>
      </c>
    </row>
    <row r="484">
      <c r="A484" s="6" t="str">
        <v>38259P</v>
      </c>
      <c r="B484" s="6" t="str">
        <v>United States</v>
      </c>
      <c r="C484" s="6" t="str">
        <v>Google Inc</v>
      </c>
      <c r="D484" s="6" t="str">
        <v>Alphabet Inc</v>
      </c>
      <c r="F484" s="6" t="str">
        <v>United States</v>
      </c>
      <c r="G484" s="6" t="str">
        <v>Jetpac Inc</v>
      </c>
      <c r="H484" s="6" t="str">
        <v>Prepackaged Software</v>
      </c>
      <c r="I484" s="6" t="str">
        <v>2C3501</v>
      </c>
      <c r="J484" s="6" t="str">
        <v>Jetpac Inc</v>
      </c>
      <c r="K484" s="6" t="str">
        <v>Jetpac Inc</v>
      </c>
      <c r="L484" s="7">
        <f>=DATE(2014,8,15)</f>
        <v>41865.99949074074</v>
      </c>
      <c r="M484" s="7">
        <f>=DATE(2014,8,17)</f>
        <v>41867.99949074074</v>
      </c>
      <c r="W484" s="6" t="str">
        <v>Internet Services &amp; Software;Programming Services</v>
      </c>
      <c r="X484" s="6" t="str">
        <v>Internet Services &amp; Software</v>
      </c>
      <c r="Y484" s="6" t="str">
        <v>Internet Services &amp; Software</v>
      </c>
      <c r="Z484" s="6" t="str">
        <v>Internet Services &amp; Software</v>
      </c>
      <c r="AA484" s="6" t="str">
        <v>Primary Business not Hi-Tech;Telecommunications Equipment;Internet Services &amp; Software;Programming Services;Computer Consulting Services</v>
      </c>
      <c r="AB484" s="6" t="str">
        <v>Programming Services;Internet Services &amp; Software;Computer Consulting Services;Primary Business not Hi-Tech;Telecommunications Equipment</v>
      </c>
    </row>
    <row r="485">
      <c r="A485" s="6" t="str">
        <v>023135</v>
      </c>
      <c r="B485" s="6" t="str">
        <v>United States</v>
      </c>
      <c r="C485" s="6" t="str">
        <v>Amazon.com Inc</v>
      </c>
      <c r="D485" s="6" t="str">
        <v>Amazon.com Inc</v>
      </c>
      <c r="F485" s="6" t="str">
        <v>United States</v>
      </c>
      <c r="G485" s="6" t="str">
        <v>Twitch Interactive Inc</v>
      </c>
      <c r="H485" s="6" t="str">
        <v>Business Services</v>
      </c>
      <c r="I485" s="6" t="str">
        <v>0C6551</v>
      </c>
      <c r="J485" s="6" t="str">
        <v>Twitch Interactive Inc</v>
      </c>
      <c r="K485" s="6" t="str">
        <v>Twitch Interactive Inc</v>
      </c>
      <c r="L485" s="7">
        <f>=DATE(2014,8,25)</f>
        <v>41875.99949074074</v>
      </c>
      <c r="M485" s="7">
        <f>=DATE(2014,9,25)</f>
        <v>41906.99949074074</v>
      </c>
      <c r="N485" s="8">
        <v>970</v>
      </c>
      <c r="O485" s="8">
        <v>970</v>
      </c>
      <c r="W485" s="6" t="str">
        <v>Primary Business not Hi-Tech</v>
      </c>
      <c r="X485" s="6" t="str">
        <v>Internet Services &amp; Software</v>
      </c>
      <c r="Y485" s="6" t="str">
        <v>Internet Services &amp; Software</v>
      </c>
      <c r="Z485" s="6" t="str">
        <v>Internet Services &amp; Software</v>
      </c>
      <c r="AA485" s="6" t="str">
        <v>Primary Business not Hi-Tech</v>
      </c>
      <c r="AB485" s="6" t="str">
        <v>Primary Business not Hi-Tech</v>
      </c>
      <c r="AC485" s="8">
        <v>970</v>
      </c>
      <c r="AD485" s="7">
        <f>=DATE(2014,8,25)</f>
        <v>41875.99949074074</v>
      </c>
    </row>
    <row r="486">
      <c r="A486" s="6" t="str">
        <v>38259P</v>
      </c>
      <c r="B486" s="6" t="str">
        <v>United States</v>
      </c>
      <c r="C486" s="6" t="str">
        <v>Google Inc</v>
      </c>
      <c r="D486" s="6" t="str">
        <v>Alphabet Inc</v>
      </c>
      <c r="F486" s="6" t="str">
        <v>United States</v>
      </c>
      <c r="G486" s="6" t="str">
        <v>Zync Inc</v>
      </c>
      <c r="H486" s="6" t="str">
        <v>Prepackaged Software</v>
      </c>
      <c r="I486" s="6" t="str">
        <v>2C5207</v>
      </c>
      <c r="J486" s="6" t="str">
        <v>Zync Inc</v>
      </c>
      <c r="K486" s="6" t="str">
        <v>Zync Inc</v>
      </c>
      <c r="L486" s="7">
        <f>=DATE(2014,8,26)</f>
        <v>41876.99949074074</v>
      </c>
      <c r="M486" s="7">
        <f>=DATE(2014,8,26)</f>
        <v>41876.99949074074</v>
      </c>
      <c r="W486" s="6" t="str">
        <v>Programming Services;Internet Services &amp; Software</v>
      </c>
      <c r="X486" s="6" t="str">
        <v>Applications Software(Business;Other Software (inq. Games)</v>
      </c>
      <c r="Y486" s="6" t="str">
        <v>Other Software (inq. Games);Applications Software(Business</v>
      </c>
      <c r="Z486" s="6" t="str">
        <v>Other Software (inq. Games);Applications Software(Business</v>
      </c>
      <c r="AA486" s="6" t="str">
        <v>Primary Business not Hi-Tech;Computer Consulting Services;Programming Services;Internet Services &amp; Software;Telecommunications Equipment</v>
      </c>
      <c r="AB486" s="6" t="str">
        <v>Computer Consulting Services;Programming Services;Internet Services &amp; Software;Telecommunications Equipment;Primary Business not Hi-Tech</v>
      </c>
    </row>
    <row r="487">
      <c r="A487" s="6" t="str">
        <v>037833</v>
      </c>
      <c r="B487" s="6" t="str">
        <v>United States</v>
      </c>
      <c r="C487" s="6" t="str">
        <v>Apple Inc</v>
      </c>
      <c r="D487" s="6" t="str">
        <v>Apple Inc</v>
      </c>
      <c r="F487" s="6" t="str">
        <v>United States</v>
      </c>
      <c r="G487" s="6" t="str">
        <v>Apple Inc</v>
      </c>
      <c r="H487" s="6" t="str">
        <v>Computer and Office Equipment</v>
      </c>
      <c r="I487" s="6" t="str">
        <v>037833</v>
      </c>
      <c r="J487" s="6" t="str">
        <v>Apple Inc</v>
      </c>
      <c r="K487" s="6" t="str">
        <v>Apple Inc</v>
      </c>
      <c r="L487" s="7">
        <f>=DATE(2014,8,31)</f>
        <v>41881.99949074074</v>
      </c>
      <c r="M487" s="7">
        <f>=DATE(2015,2,28)</f>
        <v>42062.99949074074</v>
      </c>
      <c r="N487" s="8">
        <v>9000</v>
      </c>
      <c r="O487" s="8">
        <v>9000</v>
      </c>
      <c r="P487" s="8" t="str">
        <v>654,269.08</v>
      </c>
      <c r="R487" s="8">
        <v>38555</v>
      </c>
      <c r="S487" s="8">
        <v>178144</v>
      </c>
      <c r="T487" s="8">
        <v>-29677</v>
      </c>
      <c r="U487" s="8">
        <v>-24965</v>
      </c>
      <c r="V487" s="8">
        <v>59027</v>
      </c>
      <c r="W487" s="6" t="str">
        <v>Other Peripherals;Monitors/Terminals;Printers;Micro-Computers (PCs);Other Software (inq. Games);Mainframes &amp; Super Computers;Disk Drives;Portable Computers</v>
      </c>
      <c r="X487" s="6" t="str">
        <v>Mainframes &amp; Super Computers;Disk Drives;Printers;Monitors/Terminals;Other Software (inq. Games);Micro-Computers (PCs);Portable Computers;Other Peripherals</v>
      </c>
      <c r="Y487" s="6" t="str">
        <v>Micro-Computers (PCs);Other Peripherals;Disk Drives;Monitors/Terminals;Printers;Portable Computers;Mainframes &amp; Super Computers;Other Software (inq. Games)</v>
      </c>
      <c r="Z487" s="6" t="str">
        <v>Printers;Other Peripherals;Disk Drives;Other Software (inq. Games);Micro-Computers (PCs);Mainframes &amp; Super Computers;Portable Computers;Monitors/Terminals</v>
      </c>
      <c r="AA487" s="6" t="str">
        <v>Other Software (inq. Games);Micro-Computers (PCs);Other Peripherals;Mainframes &amp; Super Computers;Disk Drives;Portable Computers;Printers;Monitors/Terminals</v>
      </c>
      <c r="AB487" s="6" t="str">
        <v>Portable Computers;Mainframes &amp; Super Computers;Monitors/Terminals;Printers;Other Software (inq. Games);Other Peripherals;Disk Drives;Micro-Computers (PCs)</v>
      </c>
      <c r="AC487" s="8">
        <v>9000</v>
      </c>
      <c r="AD487" s="7">
        <f>=DATE(2014,8,31)</f>
        <v>41881.99949074074</v>
      </c>
      <c r="AF487" s="8" t="str">
        <v>654,269.08</v>
      </c>
      <c r="AG487" s="8" t="str">
        <v>654,269.08</v>
      </c>
    </row>
    <row r="488">
      <c r="A488" s="6" t="str">
        <v>30303M</v>
      </c>
      <c r="B488" s="6" t="str">
        <v>United States</v>
      </c>
      <c r="C488" s="6" t="str">
        <v>Facebook Inc</v>
      </c>
      <c r="D488" s="6" t="str">
        <v>Facebook Inc</v>
      </c>
      <c r="F488" s="6" t="str">
        <v>United States</v>
      </c>
      <c r="G488" s="6" t="str">
        <v>Nonstop Games Inc</v>
      </c>
      <c r="H488" s="6" t="str">
        <v>Prepackaged Software</v>
      </c>
      <c r="I488" s="6" t="str">
        <v>5C3368</v>
      </c>
      <c r="J488" s="6" t="str">
        <v>Nonstop Games Inc</v>
      </c>
      <c r="K488" s="6" t="str">
        <v>Nonstop Games Inc</v>
      </c>
      <c r="L488" s="7">
        <f>=DATE(2014,9,8)</f>
        <v>41889.99949074074</v>
      </c>
      <c r="M488" s="7">
        <f>=DATE(2014,9,8)</f>
        <v>41889.99949074074</v>
      </c>
      <c r="W488" s="6" t="str">
        <v>Internet Services &amp; Software</v>
      </c>
      <c r="X488" s="6" t="str">
        <v>Other Software (inq. Games)</v>
      </c>
      <c r="Y488" s="6" t="str">
        <v>Other Software (inq. Games)</v>
      </c>
      <c r="Z488" s="6" t="str">
        <v>Other Software (inq. Games)</v>
      </c>
      <c r="AA488" s="6" t="str">
        <v>Internet Services &amp; Software</v>
      </c>
      <c r="AB488" s="6" t="str">
        <v>Internet Services &amp; Software</v>
      </c>
    </row>
    <row r="489">
      <c r="A489" s="6" t="str">
        <v>38259P</v>
      </c>
      <c r="B489" s="6" t="str">
        <v>United States</v>
      </c>
      <c r="C489" s="6" t="str">
        <v>Google Inc</v>
      </c>
      <c r="D489" s="6" t="str">
        <v>Alphabet Inc</v>
      </c>
      <c r="F489" s="6" t="str">
        <v>United States</v>
      </c>
      <c r="G489" s="6" t="str">
        <v>Lynx Design Inc</v>
      </c>
      <c r="H489" s="6" t="str">
        <v>Measuring, Medical, Photo Equipment; Clocks</v>
      </c>
      <c r="I489" s="6" t="str">
        <v>2C8075</v>
      </c>
      <c r="J489" s="6" t="str">
        <v>Lynx Design Inc</v>
      </c>
      <c r="K489" s="6" t="str">
        <v>Lynx Design Inc</v>
      </c>
      <c r="L489" s="7">
        <f>=DATE(2014,9,10)</f>
        <v>41891.99949074074</v>
      </c>
      <c r="M489" s="7">
        <f>=DATE(2014,9,10)</f>
        <v>41891.99949074074</v>
      </c>
      <c r="W489" s="6" t="str">
        <v>Internet Services &amp; Software;Programming Services</v>
      </c>
      <c r="X489" s="6" t="str">
        <v>General Med. Instruments/Supp.</v>
      </c>
      <c r="Y489" s="6" t="str">
        <v>General Med. Instruments/Supp.</v>
      </c>
      <c r="Z489" s="6" t="str">
        <v>General Med. Instruments/Supp.</v>
      </c>
      <c r="AA489" s="6" t="str">
        <v>Programming Services;Primary Business not Hi-Tech;Internet Services &amp; Software;Telecommunications Equipment;Computer Consulting Services</v>
      </c>
      <c r="AB489" s="6" t="str">
        <v>Internet Services &amp; Software;Telecommunications Equipment;Computer Consulting Services;Programming Services;Primary Business not Hi-Tech</v>
      </c>
    </row>
    <row r="490">
      <c r="A490" s="6" t="str">
        <v>38259P</v>
      </c>
      <c r="B490" s="6" t="str">
        <v>United States</v>
      </c>
      <c r="C490" s="6" t="str">
        <v>Google Inc</v>
      </c>
      <c r="D490" s="6" t="str">
        <v>Alphabet Inc</v>
      </c>
      <c r="F490" s="6" t="str">
        <v>United States</v>
      </c>
      <c r="G490" s="6" t="str">
        <v>Input Factory Inc</v>
      </c>
      <c r="H490" s="6" t="str">
        <v>Prepackaged Software</v>
      </c>
      <c r="I490" s="6" t="str">
        <v>2C8344</v>
      </c>
      <c r="J490" s="6" t="str">
        <v>Input Factory Inc</v>
      </c>
      <c r="K490" s="6" t="str">
        <v>Input Factory Inc</v>
      </c>
      <c r="L490" s="7">
        <f>=DATE(2014,9,11)</f>
        <v>41892.99949074074</v>
      </c>
      <c r="M490" s="7">
        <f>=DATE(2014,9,11)</f>
        <v>41892.99949074074</v>
      </c>
      <c r="W490" s="6" t="str">
        <v>Internet Services &amp; Software;Programming Services</v>
      </c>
      <c r="X490" s="6" t="str">
        <v>Applications Software(Home);Communication/Network Software;Applications Software(Business</v>
      </c>
      <c r="Y490" s="6" t="str">
        <v>Applications Software(Home);Communication/Network Software;Applications Software(Business</v>
      </c>
      <c r="Z490" s="6" t="str">
        <v>Applications Software(Business;Applications Software(Home);Communication/Network Software</v>
      </c>
      <c r="AA490" s="6" t="str">
        <v>Programming Services;Primary Business not Hi-Tech;Computer Consulting Services;Internet Services &amp; Software;Telecommunications Equipment</v>
      </c>
      <c r="AB490" s="6" t="str">
        <v>Computer Consulting Services;Primary Business not Hi-Tech;Programming Services;Internet Services &amp; Software;Telecommunications Equipment</v>
      </c>
    </row>
    <row r="491">
      <c r="A491" s="6" t="str">
        <v>38259P</v>
      </c>
      <c r="B491" s="6" t="str">
        <v>United States</v>
      </c>
      <c r="C491" s="6" t="str">
        <v>Google Inc</v>
      </c>
      <c r="D491" s="6" t="str">
        <v>Alphabet Inc</v>
      </c>
      <c r="F491" s="6" t="str">
        <v>United States</v>
      </c>
      <c r="G491" s="6" t="str">
        <v>Firebase Inc</v>
      </c>
      <c r="H491" s="6" t="str">
        <v>Prepackaged Software</v>
      </c>
      <c r="I491" s="6" t="str">
        <v>3C6584</v>
      </c>
      <c r="J491" s="6" t="str">
        <v>Firebase Inc</v>
      </c>
      <c r="K491" s="6" t="str">
        <v>Firebase Inc</v>
      </c>
      <c r="L491" s="7">
        <f>=DATE(2014,10,21)</f>
        <v>41932.99949074074</v>
      </c>
      <c r="M491" s="7">
        <f>=DATE(2014,10,21)</f>
        <v>41932.99949074074</v>
      </c>
      <c r="W491" s="6" t="str">
        <v>Programming Services;Internet Services &amp; Software</v>
      </c>
      <c r="X491" s="6" t="str">
        <v>Communication/Network Software;Applications Software(Home);Applications Software(Business</v>
      </c>
      <c r="Y491" s="6" t="str">
        <v>Applications Software(Home);Applications Software(Business;Communication/Network Software</v>
      </c>
      <c r="Z491" s="6" t="str">
        <v>Applications Software(Business;Applications Software(Home);Communication/Network Software</v>
      </c>
      <c r="AA491" s="6" t="str">
        <v>Telecommunications Equipment;Programming Services;Computer Consulting Services;Primary Business not Hi-Tech;Internet Services &amp; Software</v>
      </c>
      <c r="AB491" s="6" t="str">
        <v>Programming Services;Computer Consulting Services;Telecommunications Equipment;Internet Services &amp; Software;Primary Business not Hi-Tech</v>
      </c>
    </row>
    <row r="492">
      <c r="A492" s="6" t="str">
        <v>3A7443</v>
      </c>
      <c r="B492" s="6" t="str">
        <v>United States</v>
      </c>
      <c r="C492" s="6" t="str">
        <v>Nest Labs Inc</v>
      </c>
      <c r="D492" s="6" t="str">
        <v>Alphabet Inc</v>
      </c>
      <c r="F492" s="6" t="str">
        <v>United States</v>
      </c>
      <c r="G492" s="6" t="str">
        <v>Revolv Inc</v>
      </c>
      <c r="H492" s="6" t="str">
        <v>Prepackaged Software</v>
      </c>
      <c r="I492" s="6" t="str">
        <v>3C4359</v>
      </c>
      <c r="J492" s="6" t="str">
        <v>Revolv Inc</v>
      </c>
      <c r="K492" s="6" t="str">
        <v>Revolv Inc</v>
      </c>
      <c r="L492" s="7">
        <f>=DATE(2014,10,24)</f>
        <v>41935.99949074074</v>
      </c>
      <c r="M492" s="7">
        <f>=DATE(2014,10,24)</f>
        <v>41935.99949074074</v>
      </c>
      <c r="W492" s="6" t="str">
        <v>Process Control Systems</v>
      </c>
      <c r="X492" s="6" t="str">
        <v>Applications Software(Business;Communication/Network Software;Applications Software(Home)</v>
      </c>
      <c r="Y492" s="6" t="str">
        <v>Communication/Network Software;Applications Software(Business;Applications Software(Home)</v>
      </c>
      <c r="Z492" s="6" t="str">
        <v>Applications Software(Business;Communication/Network Software;Applications Software(Home)</v>
      </c>
      <c r="AA492" s="6" t="str">
        <v>Programming Services;Internet Services &amp; Software</v>
      </c>
      <c r="AB492" s="6" t="str">
        <v>Telecommunications Equipment;Computer Consulting Services;Internet Services &amp; Software;Primary Business not Hi-Tech;Programming Services</v>
      </c>
    </row>
    <row r="493">
      <c r="A493" s="6" t="str">
        <v>037833</v>
      </c>
      <c r="B493" s="6" t="str">
        <v>United States</v>
      </c>
      <c r="C493" s="6" t="str">
        <v>Apple Inc</v>
      </c>
      <c r="D493" s="6" t="str">
        <v>Apple Inc</v>
      </c>
      <c r="F493" s="6" t="str">
        <v>United States</v>
      </c>
      <c r="G493" s="6" t="str">
        <v>Union Bay Networks</v>
      </c>
      <c r="H493" s="6" t="str">
        <v>Prepackaged Software</v>
      </c>
      <c r="I493" s="6" t="str">
        <v>0L2662</v>
      </c>
      <c r="J493" s="6" t="str">
        <v>Union Bay Networks</v>
      </c>
      <c r="K493" s="6" t="str">
        <v>Union Bay Networks</v>
      </c>
      <c r="L493" s="7">
        <f>=DATE(2014,11,3)</f>
        <v>41945.99949074074</v>
      </c>
      <c r="M493" s="7">
        <f>=DATE(2014,11,3)</f>
        <v>41945.99949074074</v>
      </c>
      <c r="W493" s="6" t="str">
        <v>Mainframes &amp; Super Computers;Micro-Computers (PCs);Other Peripherals;Disk Drives;Portable Computers;Printers;Other Software (inq. Games);Monitors/Terminals</v>
      </c>
      <c r="X493" s="6" t="str">
        <v>Applications Software(Business;Utilities/File Mgmt Software;Other Software (inq. Games);Internet Services &amp; Software;Communication/Network Software;Desktop Publishing;Applications Software(Home)</v>
      </c>
      <c r="Y493" s="6" t="str">
        <v>Communication/Network Software;Applications Software(Business;Utilities/File Mgmt Software;Other Software (inq. Games);Applications Software(Home);Internet Services &amp; Software;Desktop Publishing</v>
      </c>
      <c r="Z493" s="6" t="str">
        <v>Applications Software(Home);Desktop Publishing;Communication/Network Software;Applications Software(Business;Other Software (inq. Games);Internet Services &amp; Software;Utilities/File Mgmt Software</v>
      </c>
      <c r="AA493" s="6" t="str">
        <v>Other Peripherals;Printers;Monitors/Terminals;Micro-Computers (PCs);Mainframes &amp; Super Computers;Other Software (inq. Games);Portable Computers;Disk Drives</v>
      </c>
      <c r="AB493" s="6" t="str">
        <v>Mainframes &amp; Super Computers;Monitors/Terminals;Printers;Disk Drives;Other Peripherals;Other Software (inq. Games);Portable Computers;Micro-Computers (PCs)</v>
      </c>
    </row>
    <row r="494">
      <c r="A494" s="6" t="str">
        <v>38259P</v>
      </c>
      <c r="B494" s="6" t="str">
        <v>United States</v>
      </c>
      <c r="C494" s="6" t="str">
        <v>Google Inc</v>
      </c>
      <c r="D494" s="6" t="str">
        <v>Alphabet Inc</v>
      </c>
      <c r="F494" s="6" t="str">
        <v>United States</v>
      </c>
      <c r="G494" s="6" t="str">
        <v>Relative Wave LLC</v>
      </c>
      <c r="H494" s="6" t="str">
        <v>Prepackaged Software</v>
      </c>
      <c r="I494" s="6" t="str">
        <v>4C2684</v>
      </c>
      <c r="J494" s="6" t="str">
        <v>Relative Wave LLC</v>
      </c>
      <c r="K494" s="6" t="str">
        <v>Relative Wave LLC</v>
      </c>
      <c r="L494" s="7">
        <f>=DATE(2014,11,19)</f>
        <v>41961.99949074074</v>
      </c>
      <c r="M494" s="7">
        <f>=DATE(2014,11,19)</f>
        <v>41961.99949074074</v>
      </c>
      <c r="W494" s="6" t="str">
        <v>Programming Services;Internet Services &amp; Software</v>
      </c>
      <c r="X494" s="6" t="str">
        <v>Applications Software(Home);Communication/Network Software;Applications Software(Business</v>
      </c>
      <c r="Y494" s="6" t="str">
        <v>Applications Software(Business;Communication/Network Software;Applications Software(Home)</v>
      </c>
      <c r="Z494" s="6" t="str">
        <v>Communication/Network Software;Applications Software(Business;Applications Software(Home)</v>
      </c>
      <c r="AA494" s="6" t="str">
        <v>Computer Consulting Services;Programming Services;Internet Services &amp; Software;Telecommunications Equipment;Primary Business not Hi-Tech</v>
      </c>
      <c r="AB494" s="6" t="str">
        <v>Programming Services;Internet Services &amp; Software;Telecommunications Equipment;Primary Business not Hi-Tech;Computer Consulting Services</v>
      </c>
    </row>
    <row r="495">
      <c r="A495" s="6" t="str">
        <v>594918</v>
      </c>
      <c r="B495" s="6" t="str">
        <v>United States</v>
      </c>
      <c r="C495" s="6" t="str">
        <v>Microsoft Corp</v>
      </c>
      <c r="D495" s="6" t="str">
        <v>Microsoft Corp</v>
      </c>
      <c r="F495" s="6" t="str">
        <v>United States</v>
      </c>
      <c r="G495" s="6" t="str">
        <v>Acompli Inc</v>
      </c>
      <c r="H495" s="6" t="str">
        <v>Prepackaged Software</v>
      </c>
      <c r="I495" s="6" t="str">
        <v>4C4377</v>
      </c>
      <c r="J495" s="6" t="str">
        <v>Acompli Inc</v>
      </c>
      <c r="K495" s="6" t="str">
        <v>Acompli Inc</v>
      </c>
      <c r="L495" s="7">
        <f>=DATE(2014,12,1)</f>
        <v>41973.99949074074</v>
      </c>
      <c r="M495" s="7">
        <f>=DATE(2014,12,1)</f>
        <v>41973.99949074074</v>
      </c>
      <c r="W495" s="6" t="str">
        <v>Other Peripherals;Computer Consulting Services;Monitors/Terminals;Operating Systems;Applications Software(Business;Internet Services &amp; Software</v>
      </c>
      <c r="X495" s="6" t="str">
        <v>Communication/Network Software;Applications Software(Business;Applications Software(Home)</v>
      </c>
      <c r="Y495" s="6" t="str">
        <v>Communication/Network Software;Applications Software(Business;Applications Software(Home)</v>
      </c>
      <c r="Z495" s="6" t="str">
        <v>Communication/Network Software;Applications Software(Business;Applications Software(Home)</v>
      </c>
      <c r="AA495" s="6" t="str">
        <v>Computer Consulting Services;Applications Software(Business;Other Peripherals;Monitors/Terminals;Operating Systems;Internet Services &amp; Software</v>
      </c>
      <c r="AB495" s="6" t="str">
        <v>Monitors/Terminals;Internet Services &amp; Software;Other Peripherals;Computer Consulting Services;Operating Systems;Applications Software(Business</v>
      </c>
    </row>
    <row r="496">
      <c r="A496" s="6" t="str">
        <v>0C6551</v>
      </c>
      <c r="B496" s="6" t="str">
        <v>United States</v>
      </c>
      <c r="C496" s="6" t="str">
        <v>Twitch Interactive Inc</v>
      </c>
      <c r="D496" s="6" t="str">
        <v>Amazon.com Inc</v>
      </c>
      <c r="F496" s="6" t="str">
        <v>United States</v>
      </c>
      <c r="G496" s="6" t="str">
        <v>Good Game Agency</v>
      </c>
      <c r="H496" s="6" t="str">
        <v>Business Services</v>
      </c>
      <c r="I496" s="6" t="str">
        <v>4C6608</v>
      </c>
      <c r="J496" s="6" t="str">
        <v>Good Game Agency</v>
      </c>
      <c r="K496" s="6" t="str">
        <v>Good Game Agency</v>
      </c>
      <c r="L496" s="7">
        <f>=DATE(2014,12,10)</f>
        <v>41982.99949074074</v>
      </c>
      <c r="M496" s="7">
        <f>=DATE(2014,12,10)</f>
        <v>41982.99949074074</v>
      </c>
      <c r="W496" s="6" t="str">
        <v>Internet Services &amp; Software</v>
      </c>
      <c r="X496" s="6" t="str">
        <v>Communication/Network Software;Internet Services &amp; Software</v>
      </c>
      <c r="Y496" s="6" t="str">
        <v>Communication/Network Software;Internet Services &amp; Software</v>
      </c>
      <c r="Z496" s="6" t="str">
        <v>Internet Services &amp; Software;Communication/Network Software</v>
      </c>
      <c r="AA496" s="6" t="str">
        <v>Primary Business not Hi-Tech</v>
      </c>
      <c r="AB496" s="6" t="str">
        <v>Primary Business not Hi-Tech</v>
      </c>
    </row>
    <row r="497">
      <c r="A497" s="6" t="str">
        <v>9A6770</v>
      </c>
      <c r="B497" s="6" t="str">
        <v>United States</v>
      </c>
      <c r="C497" s="6" t="str">
        <v>Oculus VR LLC(NOW 8J8006)</v>
      </c>
      <c r="D497" s="6" t="str">
        <v>Facebook Inc</v>
      </c>
      <c r="F497" s="6" t="str">
        <v>United States</v>
      </c>
      <c r="G497" s="6" t="str">
        <v>Nimble VR</v>
      </c>
      <c r="H497" s="6" t="str">
        <v>Measuring, Medical, Photo Equipment; Clocks</v>
      </c>
      <c r="I497" s="6" t="str">
        <v>4C8398</v>
      </c>
      <c r="J497" s="6" t="str">
        <v>Nimble VR</v>
      </c>
      <c r="K497" s="6" t="str">
        <v>Nimble VR</v>
      </c>
      <c r="L497" s="7">
        <f>=DATE(2014,12,12)</f>
        <v>41984.99949074074</v>
      </c>
      <c r="M497" s="7">
        <f>=DATE(2014,12,12)</f>
        <v>41984.99949074074</v>
      </c>
      <c r="W497" s="6" t="str">
        <v>Applications Software(Business;Communication/Network Software;Applications Software(Home);Programming Services</v>
      </c>
      <c r="X497" s="6" t="str">
        <v>Precision/Measuring Test Equip;Other Software (inq. Games);Other Electronics</v>
      </c>
      <c r="Y497" s="6" t="str">
        <v>Other Software (inq. Games);Other Electronics;Precision/Measuring Test Equip</v>
      </c>
      <c r="Z497" s="6" t="str">
        <v>Precision/Measuring Test Equip;Other Electronics;Other Software (inq. Games)</v>
      </c>
      <c r="AA497" s="6" t="str">
        <v>Internet Services &amp; Software</v>
      </c>
      <c r="AB497" s="6" t="str">
        <v>Internet Services &amp; Software</v>
      </c>
    </row>
    <row r="498">
      <c r="A498" s="6" t="str">
        <v>98787H</v>
      </c>
      <c r="B498" s="6" t="str">
        <v>United States</v>
      </c>
      <c r="C498" s="6" t="str">
        <v>YouTube Inc</v>
      </c>
      <c r="D498" s="6" t="str">
        <v>Alphabet Inc</v>
      </c>
      <c r="F498" s="6" t="str">
        <v>United States</v>
      </c>
      <c r="G498" s="6" t="str">
        <v>Vidmaker Inc</v>
      </c>
      <c r="H498" s="6" t="str">
        <v>Business Services</v>
      </c>
      <c r="I498" s="6" t="str">
        <v>4C9062</v>
      </c>
      <c r="J498" s="6" t="str">
        <v>Vidmaker Inc</v>
      </c>
      <c r="K498" s="6" t="str">
        <v>Vidmaker Inc</v>
      </c>
      <c r="L498" s="7">
        <f>=DATE(2014,12,18)</f>
        <v>41990.99949074074</v>
      </c>
      <c r="M498" s="7">
        <f>=DATE(2014,12,18)</f>
        <v>41990.99949074074</v>
      </c>
      <c r="W498" s="6" t="str">
        <v>Internet Services &amp; Software</v>
      </c>
      <c r="X498" s="6" t="str">
        <v>Internet Services &amp; Software</v>
      </c>
      <c r="Y498" s="6" t="str">
        <v>Internet Services &amp; Software</v>
      </c>
      <c r="Z498" s="6" t="str">
        <v>Internet Services &amp; Software</v>
      </c>
      <c r="AA498" s="6" t="str">
        <v>Internet Services &amp; Software;Programming Services</v>
      </c>
      <c r="AB498" s="6" t="str">
        <v>Telecommunications Equipment;Programming Services;Internet Services &amp; Software;Primary Business not Hi-Tech;Computer Consulting Services</v>
      </c>
    </row>
    <row r="499">
      <c r="A499" s="6" t="str">
        <v>30303M</v>
      </c>
      <c r="B499" s="6" t="str">
        <v>United States</v>
      </c>
      <c r="C499" s="6" t="str">
        <v>Facebook Inc</v>
      </c>
      <c r="D499" s="6" t="str">
        <v>Facebook Inc</v>
      </c>
      <c r="F499" s="6" t="str">
        <v>United States</v>
      </c>
      <c r="G499" s="6" t="str">
        <v>Wit.ai Inc</v>
      </c>
      <c r="H499" s="6" t="str">
        <v>Prepackaged Software</v>
      </c>
      <c r="I499" s="6" t="str">
        <v>5C2999</v>
      </c>
      <c r="J499" s="6" t="str">
        <v>Wit.ai Inc</v>
      </c>
      <c r="K499" s="6" t="str">
        <v>Wit.ai Inc</v>
      </c>
      <c r="L499" s="7">
        <f>=DATE(2015,1,5)</f>
        <v>42008.99949074074</v>
      </c>
      <c r="M499" s="7">
        <f>=DATE(2015,1,5)</f>
        <v>42008.99949074074</v>
      </c>
      <c r="W499" s="6" t="str">
        <v>Internet Services &amp; Software</v>
      </c>
      <c r="X499" s="6" t="str">
        <v>Communication/Network Software;Applications Software(Home);Applications Software(Business</v>
      </c>
      <c r="Y499" s="6" t="str">
        <v>Applications Software(Business;Applications Software(Home);Communication/Network Software</v>
      </c>
      <c r="Z499" s="6" t="str">
        <v>Applications Software(Business;Applications Software(Home);Communication/Network Software</v>
      </c>
      <c r="AA499" s="6" t="str">
        <v>Internet Services &amp; Software</v>
      </c>
      <c r="AB499" s="6" t="str">
        <v>Internet Services &amp; Software</v>
      </c>
    </row>
    <row r="500">
      <c r="A500" s="6" t="str">
        <v>30303M</v>
      </c>
      <c r="B500" s="6" t="str">
        <v>United States</v>
      </c>
      <c r="C500" s="6" t="str">
        <v>Facebook Inc</v>
      </c>
      <c r="D500" s="6" t="str">
        <v>Facebook Inc</v>
      </c>
      <c r="F500" s="6" t="str">
        <v>United States</v>
      </c>
      <c r="G500" s="6" t="str">
        <v>QuickFire Networks Corp</v>
      </c>
      <c r="H500" s="6" t="str">
        <v>Computer and Office Equipment</v>
      </c>
      <c r="I500" s="6" t="str">
        <v>5C3754</v>
      </c>
      <c r="J500" s="6" t="str">
        <v>QuickFire Networks Corp</v>
      </c>
      <c r="K500" s="6" t="str">
        <v>QuickFire Networks Corp</v>
      </c>
      <c r="L500" s="7">
        <f>=DATE(2015,1,8)</f>
        <v>42011.99949074074</v>
      </c>
      <c r="M500" s="7">
        <f>=DATE(2015,1,8)</f>
        <v>42011.99949074074</v>
      </c>
      <c r="W500" s="6" t="str">
        <v>Internet Services &amp; Software</v>
      </c>
      <c r="X500" s="6" t="str">
        <v>Other Peripherals</v>
      </c>
      <c r="Y500" s="6" t="str">
        <v>Other Peripherals</v>
      </c>
      <c r="Z500" s="6" t="str">
        <v>Other Peripherals</v>
      </c>
      <c r="AA500" s="6" t="str">
        <v>Internet Services &amp; Software</v>
      </c>
      <c r="AB500" s="6" t="str">
        <v>Internet Services &amp; Software</v>
      </c>
    </row>
    <row r="501">
      <c r="A501" s="6" t="str">
        <v>594918</v>
      </c>
      <c r="B501" s="6" t="str">
        <v>United States</v>
      </c>
      <c r="C501" s="6" t="str">
        <v>Microsoft Corp</v>
      </c>
      <c r="D501" s="6" t="str">
        <v>Microsoft Corp</v>
      </c>
      <c r="F501" s="6" t="str">
        <v>United States</v>
      </c>
      <c r="G501" s="6" t="str">
        <v>Revolution Analytics Inc</v>
      </c>
      <c r="H501" s="6" t="str">
        <v>Business Services</v>
      </c>
      <c r="I501" s="6" t="str">
        <v>5C6762</v>
      </c>
      <c r="J501" s="6" t="str">
        <v>Revolution Analytics Inc</v>
      </c>
      <c r="K501" s="6" t="str">
        <v>Revolution Analytics Inc</v>
      </c>
      <c r="L501" s="7">
        <f>=DATE(2015,1,23)</f>
        <v>42026.99949074074</v>
      </c>
      <c r="M501" s="7">
        <f>=DATE(2015,4,6)</f>
        <v>42099.99949074074</v>
      </c>
      <c r="W501" s="6" t="str">
        <v>Applications Software(Business;Other Peripherals;Operating Systems;Monitors/Terminals;Computer Consulting Services;Internet Services &amp; Software</v>
      </c>
      <c r="X501" s="6" t="str">
        <v>Data Processing Services;Other Software (inq. Games);Other Computer Related Svcs;Computer Consulting Services</v>
      </c>
      <c r="Y501" s="6" t="str">
        <v>Computer Consulting Services;Other Computer Related Svcs;Other Software (inq. Games);Data Processing Services</v>
      </c>
      <c r="Z501" s="6" t="str">
        <v>Other Software (inq. Games);Computer Consulting Services;Data Processing Services;Other Computer Related Svcs</v>
      </c>
      <c r="AA501" s="6" t="str">
        <v>Monitors/Terminals;Computer Consulting Services;Other Peripherals;Applications Software(Business;Operating Systems;Internet Services &amp; Software</v>
      </c>
      <c r="AB501" s="6" t="str">
        <v>Computer Consulting Services;Monitors/Terminals;Applications Software(Business;Other Peripherals;Internet Services &amp; Software;Operating Systems</v>
      </c>
    </row>
    <row r="502">
      <c r="A502" s="6" t="str">
        <v>38259P</v>
      </c>
      <c r="B502" s="6" t="str">
        <v>United States</v>
      </c>
      <c r="C502" s="6" t="str">
        <v>Google Inc</v>
      </c>
      <c r="D502" s="6" t="str">
        <v>Alphabet Inc</v>
      </c>
      <c r="F502" s="6" t="str">
        <v>United States</v>
      </c>
      <c r="G502" s="6" t="str">
        <v>Launchpad Toys Inc</v>
      </c>
      <c r="H502" s="6" t="str">
        <v>Prepackaged Software</v>
      </c>
      <c r="I502" s="6" t="str">
        <v>5C9466</v>
      </c>
      <c r="J502" s="6" t="str">
        <v>Launchpad Toys Inc</v>
      </c>
      <c r="K502" s="6" t="str">
        <v>Launchpad Toys Inc</v>
      </c>
      <c r="L502" s="7">
        <f>=DATE(2015,2,5)</f>
        <v>42039.99949074074</v>
      </c>
      <c r="M502" s="7">
        <f>=DATE(2015,2,5)</f>
        <v>42039.99949074074</v>
      </c>
      <c r="W502" s="6" t="str">
        <v>Programming Services;Internet Services &amp; Software</v>
      </c>
      <c r="X502" s="6" t="str">
        <v>Applications Software(Home);Communication/Network Software;Applications Software(Business</v>
      </c>
      <c r="Y502" s="6" t="str">
        <v>Applications Software(Home);Applications Software(Business;Communication/Network Software</v>
      </c>
      <c r="Z502" s="6" t="str">
        <v>Applications Software(Home);Applications Software(Business;Communication/Network Software</v>
      </c>
      <c r="AA502" s="6" t="str">
        <v>Computer Consulting Services;Telecommunications Equipment;Primary Business not Hi-Tech;Programming Services;Internet Services &amp; Software</v>
      </c>
      <c r="AB502" s="6" t="str">
        <v>Telecommunications Equipment;Programming Services;Computer Consulting Services;Internet Services &amp; Software;Primary Business not Hi-Tech</v>
      </c>
    </row>
    <row r="503">
      <c r="A503" s="6" t="str">
        <v>594918</v>
      </c>
      <c r="B503" s="6" t="str">
        <v>United States</v>
      </c>
      <c r="C503" s="6" t="str">
        <v>Microsoft Corp</v>
      </c>
      <c r="D503" s="6" t="str">
        <v>Microsoft Corp</v>
      </c>
      <c r="F503" s="6" t="str">
        <v>United States</v>
      </c>
      <c r="G503" s="6" t="str">
        <v>Sunrise Atelier Inc</v>
      </c>
      <c r="H503" s="6" t="str">
        <v>Prepackaged Software</v>
      </c>
      <c r="I503" s="6" t="str">
        <v>5C9143</v>
      </c>
      <c r="J503" s="6" t="str">
        <v>Sunrise Atelier Inc</v>
      </c>
      <c r="K503" s="6" t="str">
        <v>Sunrise Atelier Inc</v>
      </c>
      <c r="L503" s="7">
        <f>=DATE(2015,2,11)</f>
        <v>42045.99949074074</v>
      </c>
      <c r="M503" s="7">
        <f>=DATE(2015,2,11)</f>
        <v>42045.99949074074</v>
      </c>
      <c r="W503" s="6" t="str">
        <v>Applications Software(Business;Computer Consulting Services;Internet Services &amp; Software;Monitors/Terminals;Other Peripherals;Operating Systems</v>
      </c>
      <c r="X503" s="6" t="str">
        <v>Other Software (inq. Games)</v>
      </c>
      <c r="Y503" s="6" t="str">
        <v>Other Software (inq. Games)</v>
      </c>
      <c r="Z503" s="6" t="str">
        <v>Other Software (inq. Games)</v>
      </c>
      <c r="AA503" s="6" t="str">
        <v>Operating Systems;Monitors/Terminals;Other Peripherals;Computer Consulting Services;Internet Services &amp; Software;Applications Software(Business</v>
      </c>
      <c r="AB503" s="6" t="str">
        <v>Other Peripherals;Computer Consulting Services;Operating Systems;Applications Software(Business;Monitors/Terminals;Internet Services &amp; Software</v>
      </c>
    </row>
    <row r="504">
      <c r="A504" s="6" t="str">
        <v>38259P</v>
      </c>
      <c r="B504" s="6" t="str">
        <v>United States</v>
      </c>
      <c r="C504" s="6" t="str">
        <v>Google Inc</v>
      </c>
      <c r="D504" s="6" t="str">
        <v>Alphabet Inc</v>
      </c>
      <c r="F504" s="6" t="str">
        <v>United States</v>
      </c>
      <c r="G504" s="6" t="str">
        <v>Athena Wireless Communications Inc</v>
      </c>
      <c r="H504" s="6" t="str">
        <v>Telecommunications</v>
      </c>
      <c r="I504" s="6" t="str">
        <v>6C8655</v>
      </c>
      <c r="J504" s="6" t="str">
        <v>Athena Wireless Communications Inc</v>
      </c>
      <c r="K504" s="6" t="str">
        <v>Athena Wireless Communications Inc</v>
      </c>
      <c r="L504" s="7">
        <f>=DATE(2015,2,23)</f>
        <v>42057.99949074074</v>
      </c>
      <c r="M504" s="7">
        <f>=DATE(2015,2,23)</f>
        <v>42057.99949074074</v>
      </c>
      <c r="W504" s="6" t="str">
        <v>Programming Services;Internet Services &amp; Software</v>
      </c>
      <c r="X504" s="6" t="str">
        <v>Cellular Communications;Satellite Communications</v>
      </c>
      <c r="Y504" s="6" t="str">
        <v>Satellite Communications;Cellular Communications</v>
      </c>
      <c r="Z504" s="6" t="str">
        <v>Cellular Communications;Satellite Communications</v>
      </c>
      <c r="AA504" s="6" t="str">
        <v>Telecommunications Equipment;Internet Services &amp; Software;Computer Consulting Services;Primary Business not Hi-Tech;Programming Services</v>
      </c>
      <c r="AB504" s="6" t="str">
        <v>Primary Business not Hi-Tech;Telecommunications Equipment;Computer Consulting Services;Internet Services &amp; Software;Programming Services</v>
      </c>
    </row>
    <row r="505">
      <c r="A505" s="6" t="str">
        <v>38259P</v>
      </c>
      <c r="B505" s="6" t="str">
        <v>United States</v>
      </c>
      <c r="C505" s="6" t="str">
        <v>Google Inc</v>
      </c>
      <c r="D505" s="6" t="str">
        <v>Alphabet Inc</v>
      </c>
      <c r="F505" s="6" t="str">
        <v>United States</v>
      </c>
      <c r="G505" s="6" t="str">
        <v>Red Hot Labs Inc</v>
      </c>
      <c r="H505" s="6" t="str">
        <v>Prepackaged Software</v>
      </c>
      <c r="I505" s="6" t="str">
        <v>6C2417</v>
      </c>
      <c r="J505" s="6" t="str">
        <v>Red Hot Labs Inc</v>
      </c>
      <c r="K505" s="6" t="str">
        <v>Red Hot Labs Inc</v>
      </c>
      <c r="L505" s="7">
        <f>=DATE(2015,2,24)</f>
        <v>42058.99949074074</v>
      </c>
      <c r="M505" s="7">
        <f>=DATE(2015,2,24)</f>
        <v>42058.99949074074</v>
      </c>
      <c r="W505" s="6" t="str">
        <v>Internet Services &amp; Software;Programming Services</v>
      </c>
      <c r="X505" s="6" t="str">
        <v>Other Software (inq. Games)</v>
      </c>
      <c r="Y505" s="6" t="str">
        <v>Other Software (inq. Games)</v>
      </c>
      <c r="Z505" s="6" t="str">
        <v>Other Software (inq. Games)</v>
      </c>
      <c r="AA505" s="6" t="str">
        <v>Primary Business not Hi-Tech;Programming Services;Computer Consulting Services;Internet Services &amp; Software;Telecommunications Equipment</v>
      </c>
      <c r="AB505" s="6" t="str">
        <v>Primary Business not Hi-Tech;Programming Services;Internet Services &amp; Software;Telecommunications Equipment;Computer Consulting Services</v>
      </c>
    </row>
    <row r="506">
      <c r="A506" s="6" t="str">
        <v>023135</v>
      </c>
      <c r="B506" s="6" t="str">
        <v>United States</v>
      </c>
      <c r="C506" s="6" t="str">
        <v>Amazon.com Inc</v>
      </c>
      <c r="D506" s="6" t="str">
        <v>Amazon.com Inc</v>
      </c>
      <c r="F506" s="6" t="str">
        <v>United States</v>
      </c>
      <c r="G506" s="6" t="str">
        <v>2lemetry Inc</v>
      </c>
      <c r="H506" s="6" t="str">
        <v>Business Services</v>
      </c>
      <c r="I506" s="6" t="str">
        <v>6C5610</v>
      </c>
      <c r="J506" s="6" t="str">
        <v>2lemetry Inc</v>
      </c>
      <c r="K506" s="6" t="str">
        <v>2lemetry Inc</v>
      </c>
      <c r="L506" s="7">
        <f>=DATE(2015,3,12)</f>
        <v>42074.99949074074</v>
      </c>
      <c r="M506" s="7">
        <f>=DATE(2015,3,12)</f>
        <v>42074.99949074074</v>
      </c>
      <c r="W506" s="6" t="str">
        <v>Primary Business not Hi-Tech</v>
      </c>
      <c r="X506" s="6" t="str">
        <v>Other Computer Related Svcs;Data Processing Services;Applications Software(Business</v>
      </c>
      <c r="Y506" s="6" t="str">
        <v>Data Processing Services;Other Computer Related Svcs;Applications Software(Business</v>
      </c>
      <c r="Z506" s="6" t="str">
        <v>Other Computer Related Svcs;Data Processing Services;Applications Software(Business</v>
      </c>
      <c r="AA506" s="6" t="str">
        <v>Primary Business not Hi-Tech</v>
      </c>
      <c r="AB506" s="6" t="str">
        <v>Primary Business not Hi-Tech</v>
      </c>
    </row>
    <row r="507">
      <c r="A507" s="6" t="str">
        <v>30303M</v>
      </c>
      <c r="B507" s="6" t="str">
        <v>United States</v>
      </c>
      <c r="C507" s="6" t="str">
        <v>Facebook Inc</v>
      </c>
      <c r="D507" s="6" t="str">
        <v>Facebook Inc</v>
      </c>
      <c r="F507" s="6" t="str">
        <v>United States</v>
      </c>
      <c r="G507" s="6" t="str">
        <v>TheFind Inc</v>
      </c>
      <c r="H507" s="6" t="str">
        <v>Miscellaneous Retail Trade</v>
      </c>
      <c r="I507" s="6" t="str">
        <v>31708V</v>
      </c>
      <c r="J507" s="6" t="str">
        <v>TheFind Inc</v>
      </c>
      <c r="K507" s="6" t="str">
        <v>TheFind Inc</v>
      </c>
      <c r="L507" s="7">
        <f>=DATE(2015,3,13)</f>
        <v>42075.99949074074</v>
      </c>
      <c r="M507" s="7">
        <f>=DATE(2015,3,13)</f>
        <v>42075.99949074074</v>
      </c>
      <c r="W507" s="6" t="str">
        <v>Internet Services &amp; Software</v>
      </c>
      <c r="X507" s="6" t="str">
        <v>Internet Services &amp; Software</v>
      </c>
      <c r="Y507" s="6" t="str">
        <v>Internet Services &amp; Software</v>
      </c>
      <c r="Z507" s="6" t="str">
        <v>Internet Services &amp; Software</v>
      </c>
      <c r="AA507" s="6" t="str">
        <v>Internet Services &amp; Software</v>
      </c>
      <c r="AB507" s="6" t="str">
        <v>Internet Services &amp; Software</v>
      </c>
    </row>
    <row r="508">
      <c r="A508" s="6" t="str">
        <v>594918</v>
      </c>
      <c r="B508" s="6" t="str">
        <v>United States</v>
      </c>
      <c r="C508" s="6" t="str">
        <v>Microsoft Corp</v>
      </c>
      <c r="D508" s="6" t="str">
        <v>Microsoft Corp</v>
      </c>
      <c r="F508" s="6" t="str">
        <v>United States</v>
      </c>
      <c r="G508" s="6" t="str">
        <v>LiveLoop Inc</v>
      </c>
      <c r="H508" s="6" t="str">
        <v>Prepackaged Software</v>
      </c>
      <c r="I508" s="6" t="str">
        <v>6C9068</v>
      </c>
      <c r="J508" s="6" t="str">
        <v>LiveLoop Inc</v>
      </c>
      <c r="K508" s="6" t="str">
        <v>LiveLoop Inc</v>
      </c>
      <c r="L508" s="7">
        <f>=DATE(2015,3,28)</f>
        <v>42090.99949074074</v>
      </c>
      <c r="M508" s="7">
        <f>=DATE(2015,3,28)</f>
        <v>42090.99949074074</v>
      </c>
      <c r="W508" s="6" t="str">
        <v>Internet Services &amp; Software;Applications Software(Business;Operating Systems;Computer Consulting Services;Other Peripherals;Monitors/Terminals</v>
      </c>
      <c r="X508" s="6" t="str">
        <v>Applications Software(Home);Applications Software(Business;Communication/Network Software</v>
      </c>
      <c r="Y508" s="6" t="str">
        <v>Communication/Network Software;Applications Software(Business;Applications Software(Home)</v>
      </c>
      <c r="Z508" s="6" t="str">
        <v>Applications Software(Business;Communication/Network Software;Applications Software(Home)</v>
      </c>
      <c r="AA508" s="6" t="str">
        <v>Computer Consulting Services;Monitors/Terminals;Other Peripherals;Applications Software(Business;Internet Services &amp; Software;Operating Systems</v>
      </c>
      <c r="AB508" s="6" t="str">
        <v>Applications Software(Business;Computer Consulting Services;Operating Systems;Internet Services &amp; Software;Other Peripherals;Monitors/Terminals</v>
      </c>
    </row>
    <row r="509">
      <c r="A509" s="6" t="str">
        <v>53578A</v>
      </c>
      <c r="B509" s="6" t="str">
        <v>United States</v>
      </c>
      <c r="C509" s="6" t="str">
        <v>LinkedIn Corp</v>
      </c>
      <c r="D509" s="6" t="str">
        <v>LinkedIn Corp</v>
      </c>
      <c r="F509" s="6" t="str">
        <v>United States</v>
      </c>
      <c r="G509" s="6" t="str">
        <v>Refresh Inc</v>
      </c>
      <c r="H509" s="6" t="str">
        <v>Prepackaged Software</v>
      </c>
      <c r="I509" s="6" t="str">
        <v>7C0642</v>
      </c>
      <c r="J509" s="6" t="str">
        <v>Refresh Inc</v>
      </c>
      <c r="K509" s="6" t="str">
        <v>Refresh Inc</v>
      </c>
      <c r="L509" s="7">
        <f>=DATE(2015,4,2)</f>
        <v>42095.99949074074</v>
      </c>
      <c r="M509" s="7">
        <f>=DATE(2015,4,2)</f>
        <v>42095.99949074074</v>
      </c>
      <c r="W509" s="6" t="str">
        <v>Internet Services &amp; Software</v>
      </c>
      <c r="X509" s="6" t="str">
        <v>Internet Services &amp; Software;Utilities/File Mgmt Software</v>
      </c>
      <c r="Y509" s="6" t="str">
        <v>Utilities/File Mgmt Software;Internet Services &amp; Software</v>
      </c>
      <c r="Z509" s="6" t="str">
        <v>Utilities/File Mgmt Software;Internet Services &amp; Software</v>
      </c>
      <c r="AA509" s="6" t="str">
        <v>Internet Services &amp; Software</v>
      </c>
      <c r="AB509" s="6" t="str">
        <v>Internet Services &amp; Software</v>
      </c>
    </row>
    <row r="510">
      <c r="A510" s="6" t="str">
        <v>2E5821</v>
      </c>
      <c r="B510" s="6" t="str">
        <v>United States</v>
      </c>
      <c r="C510" s="6" t="str">
        <v>Amazon Corporate LLC</v>
      </c>
      <c r="D510" s="6" t="str">
        <v>Amazon.com Inc</v>
      </c>
      <c r="F510" s="6" t="str">
        <v>United States</v>
      </c>
      <c r="G510" s="6" t="str">
        <v>Cloudreach Inc</v>
      </c>
      <c r="H510" s="6" t="str">
        <v>Prepackaged Software</v>
      </c>
      <c r="I510" s="6" t="str">
        <v>2E5825</v>
      </c>
      <c r="J510" s="6" t="str">
        <v>Cloudreach Inc</v>
      </c>
      <c r="K510" s="6" t="str">
        <v>Cloudreach Inc</v>
      </c>
      <c r="L510" s="7">
        <f>=DATE(2015,4,8)</f>
        <v>42101.99949074074</v>
      </c>
      <c r="M510" s="7">
        <f>=DATE(2015,4,8)</f>
        <v>42101.99949074074</v>
      </c>
      <c r="W510" s="6" t="str">
        <v>Internet Services &amp; Software;Primary Business not Hi-Tech</v>
      </c>
      <c r="X510" s="6" t="str">
        <v>Database Software/Programming;Applications Software(Business;Other Software (inq. Games);Communication/Network Software;Programming Services</v>
      </c>
      <c r="Y510" s="6" t="str">
        <v>Communication/Network Software;Other Software (inq. Games);Database Software/Programming;Applications Software(Business;Programming Services</v>
      </c>
      <c r="Z510" s="6" t="str">
        <v>Communication/Network Software;Database Software/Programming;Programming Services;Applications Software(Business;Other Software (inq. Games)</v>
      </c>
      <c r="AA510" s="6" t="str">
        <v>Primary Business not Hi-Tech</v>
      </c>
      <c r="AB510" s="6" t="str">
        <v>Primary Business not Hi-Tech</v>
      </c>
    </row>
    <row r="511">
      <c r="A511" s="6" t="str">
        <v>037833</v>
      </c>
      <c r="B511" s="6" t="str">
        <v>United States</v>
      </c>
      <c r="C511" s="6" t="str">
        <v>Apple Inc</v>
      </c>
      <c r="D511" s="6" t="str">
        <v>Apple Inc</v>
      </c>
      <c r="F511" s="6" t="str">
        <v>United States</v>
      </c>
      <c r="G511" s="6" t="str">
        <v>Dryft</v>
      </c>
      <c r="H511" s="6" t="str">
        <v>Prepackaged Software</v>
      </c>
      <c r="I511" s="6" t="str">
        <v>7C1307</v>
      </c>
      <c r="J511" s="6" t="str">
        <v>Dryft</v>
      </c>
      <c r="K511" s="6" t="str">
        <v>Dryft</v>
      </c>
      <c r="L511" s="7">
        <f>=DATE(2015,4,8)</f>
        <v>42101.99949074074</v>
      </c>
      <c r="M511" s="7">
        <f>=DATE(2015,4,8)</f>
        <v>42101.99949074074</v>
      </c>
      <c r="W511" s="6" t="str">
        <v>Portable Computers;Printers;Disk Drives;Other Software (inq. Games);Other Peripherals;Mainframes &amp; Super Computers;Monitors/Terminals;Micro-Computers (PCs)</v>
      </c>
      <c r="X511" s="6" t="str">
        <v>Applications Software(Business;Communication/Network Software;Applications Software(Home)</v>
      </c>
      <c r="Y511" s="6" t="str">
        <v>Applications Software(Business;Applications Software(Home);Communication/Network Software</v>
      </c>
      <c r="Z511" s="6" t="str">
        <v>Applications Software(Business;Applications Software(Home);Communication/Network Software</v>
      </c>
      <c r="AA511" s="6" t="str">
        <v>Disk Drives;Mainframes &amp; Super Computers;Micro-Computers (PCs);Portable Computers;Other Software (inq. Games);Monitors/Terminals;Other Peripherals;Printers</v>
      </c>
      <c r="AB511" s="6" t="str">
        <v>Monitors/Terminals;Micro-Computers (PCs);Disk Drives;Portable Computers;Other Peripherals;Printers;Mainframes &amp; Super Computers;Other Software (inq. Games)</v>
      </c>
    </row>
    <row r="512">
      <c r="A512" s="6" t="str">
        <v>023135</v>
      </c>
      <c r="B512" s="6" t="str">
        <v>United States</v>
      </c>
      <c r="C512" s="6" t="str">
        <v>Amazon.com Inc</v>
      </c>
      <c r="D512" s="6" t="str">
        <v>Amazon.com Inc</v>
      </c>
      <c r="F512" s="6" t="str">
        <v>United States</v>
      </c>
      <c r="G512" s="6" t="str">
        <v>Shoefitr Inc</v>
      </c>
      <c r="H512" s="6" t="str">
        <v>Business Services</v>
      </c>
      <c r="I512" s="6" t="str">
        <v>7C1588</v>
      </c>
      <c r="J512" s="6" t="str">
        <v>Shoefitr Inc</v>
      </c>
      <c r="K512" s="6" t="str">
        <v>Shoefitr Inc</v>
      </c>
      <c r="L512" s="7">
        <f>=DATE(2015,4,8)</f>
        <v>42101.99949074074</v>
      </c>
      <c r="M512" s="7">
        <f>=DATE(2015,4,8)</f>
        <v>42101.99949074074</v>
      </c>
      <c r="S512" s="8">
        <v>1.6</v>
      </c>
      <c r="W512" s="6" t="str">
        <v>Primary Business not Hi-Tech</v>
      </c>
      <c r="X512" s="6" t="str">
        <v>Internet Services &amp; Software</v>
      </c>
      <c r="Y512" s="6" t="str">
        <v>Internet Services &amp; Software</v>
      </c>
      <c r="Z512" s="6" t="str">
        <v>Internet Services &amp; Software</v>
      </c>
      <c r="AA512" s="6" t="str">
        <v>Primary Business not Hi-Tech</v>
      </c>
      <c r="AB512" s="6" t="str">
        <v>Primary Business not Hi-Tech</v>
      </c>
    </row>
    <row r="513">
      <c r="A513" s="6" t="str">
        <v>53578A</v>
      </c>
      <c r="B513" s="6" t="str">
        <v>United States</v>
      </c>
      <c r="C513" s="6" t="str">
        <v>LinkedIn Corp</v>
      </c>
      <c r="D513" s="6" t="str">
        <v>LinkedIn Corp</v>
      </c>
      <c r="F513" s="6" t="str">
        <v>United States</v>
      </c>
      <c r="G513" s="6" t="str">
        <v>Lynda.com Inc</v>
      </c>
      <c r="H513" s="6" t="str">
        <v>Business Services</v>
      </c>
      <c r="I513" s="6" t="str">
        <v>55126T</v>
      </c>
      <c r="J513" s="6" t="str">
        <v>Lynda.com Inc</v>
      </c>
      <c r="K513" s="6" t="str">
        <v>Lynda.com Inc</v>
      </c>
      <c r="L513" s="7">
        <f>=DATE(2015,4,9)</f>
        <v>42102.99949074074</v>
      </c>
      <c r="M513" s="7">
        <f>=DATE(2015,5,14)</f>
        <v>42137.99949074074</v>
      </c>
      <c r="N513" s="8">
        <v>1500</v>
      </c>
      <c r="O513" s="8">
        <v>1500</v>
      </c>
      <c r="W513" s="6" t="str">
        <v>Internet Services &amp; Software</v>
      </c>
      <c r="X513" s="6" t="str">
        <v>Internet Services &amp; Software</v>
      </c>
      <c r="Y513" s="6" t="str">
        <v>Internet Services &amp; Software</v>
      </c>
      <c r="Z513" s="6" t="str">
        <v>Internet Services &amp; Software</v>
      </c>
      <c r="AA513" s="6" t="str">
        <v>Internet Services &amp; Software</v>
      </c>
      <c r="AB513" s="6" t="str">
        <v>Internet Services &amp; Software</v>
      </c>
      <c r="AC513" s="8">
        <v>1500</v>
      </c>
      <c r="AD513" s="7">
        <f>=DATE(2015,4,9)</f>
        <v>42102.99949074074</v>
      </c>
      <c r="AF513" s="8" t="str">
        <v>1,500.00</v>
      </c>
      <c r="AG513" s="8" t="str">
        <v>1,500.00</v>
      </c>
    </row>
    <row r="514">
      <c r="A514" s="6" t="str">
        <v>38259P</v>
      </c>
      <c r="B514" s="6" t="str">
        <v>United States</v>
      </c>
      <c r="C514" s="6" t="str">
        <v>Google Inc</v>
      </c>
      <c r="D514" s="6" t="str">
        <v>Alphabet Inc</v>
      </c>
      <c r="F514" s="6" t="str">
        <v>United States</v>
      </c>
      <c r="G514" s="6" t="str">
        <v>Softcard</v>
      </c>
      <c r="H514" s="6" t="str">
        <v>Prepackaged Software</v>
      </c>
      <c r="I514" s="6" t="str">
        <v>5C5662</v>
      </c>
      <c r="J514" s="6" t="str">
        <v>Softcard</v>
      </c>
      <c r="K514" s="6" t="str">
        <v>Softcard</v>
      </c>
      <c r="L514" s="7">
        <f>=DATE(2015,4,29)</f>
        <v>42122.99949074074</v>
      </c>
      <c r="M514" s="7">
        <f>=DATE(2015,4,29)</f>
        <v>42122.99949074074</v>
      </c>
      <c r="W514" s="6" t="str">
        <v>Internet Services &amp; Software;Programming Services</v>
      </c>
      <c r="X514" s="6" t="str">
        <v>Applications Software(Home);Applications Software(Business;Communication/Network Software</v>
      </c>
      <c r="Y514" s="6" t="str">
        <v>Applications Software(Home);Communication/Network Software;Applications Software(Business</v>
      </c>
      <c r="Z514" s="6" t="str">
        <v>Applications Software(Business;Applications Software(Home);Communication/Network Software</v>
      </c>
      <c r="AA514" s="6" t="str">
        <v>Telecommunications Equipment;Internet Services &amp; Software;Primary Business not Hi-Tech;Computer Consulting Services;Programming Services</v>
      </c>
      <c r="AB514" s="6" t="str">
        <v>Telecommunications Equipment;Programming Services;Computer Consulting Services;Primary Business not Hi-Tech;Internet Services &amp; Software</v>
      </c>
    </row>
    <row r="515">
      <c r="A515" s="6" t="str">
        <v>38259P</v>
      </c>
      <c r="B515" s="6" t="str">
        <v>United States</v>
      </c>
      <c r="C515" s="6" t="str">
        <v>Google Inc</v>
      </c>
      <c r="D515" s="6" t="str">
        <v>Alphabet Inc</v>
      </c>
      <c r="F515" s="6" t="str">
        <v>United States</v>
      </c>
      <c r="G515" s="6" t="str">
        <v>Timeful Inc</v>
      </c>
      <c r="H515" s="6" t="str">
        <v>Prepackaged Software</v>
      </c>
      <c r="I515" s="6" t="str">
        <v>7C5880</v>
      </c>
      <c r="J515" s="6" t="str">
        <v>Timeful Inc</v>
      </c>
      <c r="K515" s="6" t="str">
        <v>Timeful Inc</v>
      </c>
      <c r="L515" s="7">
        <f>=DATE(2015,5,4)</f>
        <v>42127.99949074074</v>
      </c>
      <c r="M515" s="7">
        <f>=DATE(2015,5,4)</f>
        <v>42127.99949074074</v>
      </c>
      <c r="W515" s="6" t="str">
        <v>Internet Services &amp; Software;Programming Services</v>
      </c>
      <c r="X515" s="6" t="str">
        <v>Applications Software(Business;Applications Software(Home);Communication/Network Software</v>
      </c>
      <c r="Y515" s="6" t="str">
        <v>Applications Software(Home);Communication/Network Software;Applications Software(Business</v>
      </c>
      <c r="Z515" s="6" t="str">
        <v>Applications Software(Home);Communication/Network Software;Applications Software(Business</v>
      </c>
      <c r="AA515" s="6" t="str">
        <v>Telecommunications Equipment;Programming Services;Internet Services &amp; Software;Computer Consulting Services;Primary Business not Hi-Tech</v>
      </c>
      <c r="AB515" s="6" t="str">
        <v>Telecommunications Equipment;Computer Consulting Services;Programming Services;Internet Services &amp; Software;Primary Business not Hi-Tech</v>
      </c>
    </row>
    <row r="516">
      <c r="A516" s="6" t="str">
        <v>037833</v>
      </c>
      <c r="B516" s="6" t="str">
        <v>United States</v>
      </c>
      <c r="C516" s="6" t="str">
        <v>Apple Inc</v>
      </c>
      <c r="D516" s="6" t="str">
        <v>Apple Inc</v>
      </c>
      <c r="F516" s="6" t="str">
        <v>United States</v>
      </c>
      <c r="G516" s="6" t="str">
        <v>Coherent Navigation Inc</v>
      </c>
      <c r="H516" s="6" t="str">
        <v>Telecommunications</v>
      </c>
      <c r="I516" s="6" t="str">
        <v>7C8497</v>
      </c>
      <c r="J516" s="6" t="str">
        <v>Coherent Navigation Inc</v>
      </c>
      <c r="K516" s="6" t="str">
        <v>Coherent Navigation Inc</v>
      </c>
      <c r="L516" s="7">
        <f>=DATE(2015,5,17)</f>
        <v>42140.99949074074</v>
      </c>
      <c r="M516" s="7">
        <f>=DATE(2015,5,17)</f>
        <v>42140.99949074074</v>
      </c>
      <c r="W516" s="6" t="str">
        <v>Other Peripherals;Monitors/Terminals;Printers;Disk Drives;Mainframes &amp; Super Computers;Other Software (inq. Games);Portable Computers;Micro-Computers (PCs)</v>
      </c>
      <c r="X516" s="6" t="str">
        <v>Satellite Communications;Satellites (Non-Communications)</v>
      </c>
      <c r="Y516" s="6" t="str">
        <v>Satellites (Non-Communications);Satellite Communications</v>
      </c>
      <c r="Z516" s="6" t="str">
        <v>Satellites (Non-Communications);Satellite Communications</v>
      </c>
      <c r="AA516" s="6" t="str">
        <v>Monitors/Terminals;Other Peripherals;Disk Drives;Other Software (inq. Games);Printers;Portable Computers;Micro-Computers (PCs);Mainframes &amp; Super Computers</v>
      </c>
      <c r="AB516" s="6" t="str">
        <v>Other Software (inq. Games);Printers;Disk Drives;Mainframes &amp; Super Computers;Monitors/Terminals;Other Peripherals;Micro-Computers (PCs);Portable Computers</v>
      </c>
    </row>
    <row r="517">
      <c r="A517" s="6" t="str">
        <v>037833</v>
      </c>
      <c r="B517" s="6" t="str">
        <v>United States</v>
      </c>
      <c r="C517" s="6" t="str">
        <v>Apple Inc</v>
      </c>
      <c r="D517" s="6" t="str">
        <v>Apple Inc</v>
      </c>
      <c r="F517" s="6" t="str">
        <v>United States</v>
      </c>
      <c r="G517" s="6" t="str">
        <v>Apple Inc</v>
      </c>
      <c r="H517" s="6" t="str">
        <v>Computer and Office Equipment</v>
      </c>
      <c r="I517" s="6" t="str">
        <v>037833</v>
      </c>
      <c r="J517" s="6" t="str">
        <v>Apple Inc</v>
      </c>
      <c r="K517" s="6" t="str">
        <v>Apple Inc</v>
      </c>
      <c r="L517" s="7">
        <f>=DATE(2015,5,31)</f>
        <v>42154.99949074074</v>
      </c>
      <c r="M517" s="7">
        <f>=DATE(2015,7,31)</f>
        <v>42215.99949074074</v>
      </c>
      <c r="N517" s="8">
        <v>6000</v>
      </c>
      <c r="O517" s="8">
        <v>6000</v>
      </c>
      <c r="P517" s="8" t="str">
        <v>726,534.63</v>
      </c>
      <c r="R517" s="8">
        <v>47808</v>
      </c>
      <c r="S517" s="8">
        <v>212164</v>
      </c>
      <c r="T517" s="8">
        <v>-18055</v>
      </c>
      <c r="U517" s="8">
        <v>-62713</v>
      </c>
      <c r="V517" s="8">
        <v>74931</v>
      </c>
      <c r="W517" s="6" t="str">
        <v>Other Software (inq. Games);Disk Drives;Mainframes &amp; Super Computers;Micro-Computers (PCs);Other Peripherals;Printers;Portable Computers;Monitors/Terminals</v>
      </c>
      <c r="X517" s="6" t="str">
        <v>Portable Computers;Monitors/Terminals;Mainframes &amp; Super Computers;Other Peripherals;Printers;Micro-Computers (PCs);Other Software (inq. Games);Disk Drives</v>
      </c>
      <c r="Y517" s="6" t="str">
        <v>Monitors/Terminals;Disk Drives;Micro-Computers (PCs);Other Peripherals;Mainframes &amp; Super Computers;Portable Computers;Printers;Other Software (inq. Games)</v>
      </c>
      <c r="Z517" s="6" t="str">
        <v>Other Software (inq. Games);Printers;Portable Computers;Micro-Computers (PCs);Disk Drives;Other Peripherals;Mainframes &amp; Super Computers;Monitors/Terminals</v>
      </c>
      <c r="AA517" s="6" t="str">
        <v>Other Software (inq. Games);Monitors/Terminals;Portable Computers;Micro-Computers (PCs);Other Peripherals;Mainframes &amp; Super Computers;Disk Drives;Printers</v>
      </c>
      <c r="AB517" s="6" t="str">
        <v>Printers;Micro-Computers (PCs);Monitors/Terminals;Mainframes &amp; Super Computers;Portable Computers;Disk Drives;Other Software (inq. Games);Other Peripherals</v>
      </c>
      <c r="AC517" s="8">
        <v>6000</v>
      </c>
      <c r="AD517" s="7">
        <f>=DATE(2015,5,31)</f>
        <v>42154.99949074074</v>
      </c>
      <c r="AF517" s="8" t="str">
        <v>726,534.63</v>
      </c>
      <c r="AG517" s="8" t="str">
        <v>726,534.63</v>
      </c>
    </row>
    <row r="518">
      <c r="A518" s="6" t="str">
        <v>594918</v>
      </c>
      <c r="B518" s="6" t="str">
        <v>United States</v>
      </c>
      <c r="C518" s="6" t="str">
        <v>Microsoft Corp</v>
      </c>
      <c r="D518" s="6" t="str">
        <v>Microsoft Corp</v>
      </c>
      <c r="F518" s="6" t="str">
        <v>United States</v>
      </c>
      <c r="G518" s="6" t="str">
        <v>BlueStripe Software Inc</v>
      </c>
      <c r="H518" s="6" t="str">
        <v>Prepackaged Software</v>
      </c>
      <c r="I518" s="6" t="str">
        <v>8C3537</v>
      </c>
      <c r="J518" s="6" t="str">
        <v>BlueStripe Software Inc</v>
      </c>
      <c r="K518" s="6" t="str">
        <v>BlueStripe Software Inc</v>
      </c>
      <c r="L518" s="7">
        <f>=DATE(2015,6,10)</f>
        <v>42164.99949074074</v>
      </c>
      <c r="M518" s="7">
        <f>=DATE(2015,6,10)</f>
        <v>42164.99949074074</v>
      </c>
      <c r="W518" s="6" t="str">
        <v>Computer Consulting Services;Other Peripherals;Internet Services &amp; Software;Applications Software(Business;Operating Systems;Monitors/Terminals</v>
      </c>
      <c r="X518" s="6" t="str">
        <v>Utilities/File Mgmt Software;Applications Software(Home);Desktop Publishing;Applications Software(Business;Communication/Network Software;Internet Services &amp; Software;Other Software (inq. Games)</v>
      </c>
      <c r="Y518" s="6" t="str">
        <v>Applications Software(Home);Communication/Network Software;Other Software (inq. Games);Applications Software(Business;Internet Services &amp; Software;Utilities/File Mgmt Software;Desktop Publishing</v>
      </c>
      <c r="Z518" s="6" t="str">
        <v>Utilities/File Mgmt Software;Applications Software(Business;Communication/Network Software;Other Software (inq. Games);Desktop Publishing;Internet Services &amp; Software;Applications Software(Home)</v>
      </c>
      <c r="AA518" s="6" t="str">
        <v>Computer Consulting Services;Other Peripherals;Internet Services &amp; Software;Monitors/Terminals;Operating Systems;Applications Software(Business</v>
      </c>
      <c r="AB518" s="6" t="str">
        <v>Monitors/Terminals;Applications Software(Business;Other Peripherals;Computer Consulting Services;Internet Services &amp; Software;Operating Systems</v>
      </c>
    </row>
    <row r="519">
      <c r="A519" s="6" t="str">
        <v>38259P</v>
      </c>
      <c r="B519" s="6" t="str">
        <v>United States</v>
      </c>
      <c r="C519" s="6" t="str">
        <v>Google Inc</v>
      </c>
      <c r="D519" s="6" t="str">
        <v>Alphabet Inc</v>
      </c>
      <c r="F519" s="6" t="str">
        <v>United States</v>
      </c>
      <c r="G519" s="6" t="str">
        <v>Agawi Inc</v>
      </c>
      <c r="H519" s="6" t="str">
        <v>Prepackaged Software</v>
      </c>
      <c r="I519" s="6" t="str">
        <v>8C5643</v>
      </c>
      <c r="J519" s="6" t="str">
        <v>Agawi Inc</v>
      </c>
      <c r="K519" s="6" t="str">
        <v>Agawi Inc</v>
      </c>
      <c r="L519" s="7">
        <f>=DATE(2015,6,18)</f>
        <v>42172.99949074074</v>
      </c>
      <c r="M519" s="7">
        <f>=DATE(2015,6,18)</f>
        <v>42172.99949074074</v>
      </c>
      <c r="W519" s="6" t="str">
        <v>Internet Services &amp; Software;Programming Services</v>
      </c>
      <c r="X519" s="6" t="str">
        <v>Communication/Network Software;Applications Software(Home);Applications Software(Business</v>
      </c>
      <c r="Y519" s="6" t="str">
        <v>Communication/Network Software;Applications Software(Home);Applications Software(Business</v>
      </c>
      <c r="Z519" s="6" t="str">
        <v>Applications Software(Business;Communication/Network Software;Applications Software(Home)</v>
      </c>
      <c r="AA519" s="6" t="str">
        <v>Telecommunications Equipment;Computer Consulting Services;Programming Services;Internet Services &amp; Software;Primary Business not Hi-Tech</v>
      </c>
      <c r="AB519" s="6" t="str">
        <v>Computer Consulting Services;Programming Services;Internet Services &amp; Software;Telecommunications Equipment;Primary Business not Hi-Tech</v>
      </c>
    </row>
    <row r="520">
      <c r="A520" s="6" t="str">
        <v>88837Z</v>
      </c>
      <c r="B520" s="6" t="str">
        <v>United States</v>
      </c>
      <c r="C520" s="6" t="str">
        <v>Titan Outdoor LLC</v>
      </c>
      <c r="D520" s="6" t="str">
        <v>Alphabet Inc</v>
      </c>
      <c r="E520" s="6" t="str">
        <v>Sidewalk Labs</v>
      </c>
      <c r="F520" s="6" t="str">
        <v>United States</v>
      </c>
      <c r="G520" s="6" t="str">
        <v>Control Group Inc</v>
      </c>
      <c r="H520" s="6" t="str">
        <v>Prepackaged Software</v>
      </c>
      <c r="I520" s="6" t="str">
        <v>8C9018</v>
      </c>
      <c r="J520" s="6" t="str">
        <v>Control Group Inc</v>
      </c>
      <c r="K520" s="6" t="str">
        <v>Control Group Inc</v>
      </c>
      <c r="L520" s="7">
        <f>=DATE(2015,6,23)</f>
        <v>42177.99949074074</v>
      </c>
      <c r="M520" s="7">
        <f>=DATE(2015,9,18)</f>
        <v>42264.99949074074</v>
      </c>
      <c r="W520" s="6" t="str">
        <v>Primary Business not Hi-Tech</v>
      </c>
      <c r="X520" s="6" t="str">
        <v>Other Computer Related Svcs;Computer Consulting Services;Other Software (inq. Games);Data Processing Services</v>
      </c>
      <c r="Y520" s="6" t="str">
        <v>Computer Consulting Services;Other Software (inq. Games);Data Processing Services;Other Computer Related Svcs</v>
      </c>
      <c r="Z520" s="6" t="str">
        <v>Data Processing Services;Other Computer Related Svcs;Other Software (inq. Games);Computer Consulting Services</v>
      </c>
      <c r="AA520" s="6" t="str">
        <v>Data Processing Services;Other Computer Related Svcs;Computer Consulting Services;Other Software (inq. Games)</v>
      </c>
      <c r="AB520" s="6" t="str">
        <v>Computer Consulting Services;Primary Business not Hi-Tech;Internet Services &amp; Software;Programming Services;Telecommunications Equipment</v>
      </c>
    </row>
    <row r="521">
      <c r="A521" s="6" t="str">
        <v>4C7902</v>
      </c>
      <c r="B521" s="6" t="str">
        <v>United States</v>
      </c>
      <c r="C521" s="6" t="str">
        <v>Amazon Web Services Inc</v>
      </c>
      <c r="D521" s="6" t="str">
        <v>Amazon.com Inc</v>
      </c>
      <c r="F521" s="6" t="str">
        <v>United States</v>
      </c>
      <c r="G521" s="6" t="str">
        <v>Trellis Automation Inc</v>
      </c>
      <c r="H521" s="6" t="str">
        <v>Prepackaged Software</v>
      </c>
      <c r="I521" s="6" t="str">
        <v>9C1814</v>
      </c>
      <c r="J521" s="6" t="str">
        <v>Trellis Automation Inc</v>
      </c>
      <c r="K521" s="6" t="str">
        <v>Trellis Automation Inc</v>
      </c>
      <c r="L521" s="7">
        <f>=DATE(2015,7,14)</f>
        <v>42198.99949074074</v>
      </c>
      <c r="M521" s="7">
        <f>=DATE(2015,7,14)</f>
        <v>42198.99949074074</v>
      </c>
      <c r="W521" s="6" t="str">
        <v>Primary Business not Hi-Tech;Computer Consulting Services;Other Computer Related Svcs;Internet Services &amp; Software;Data Processing Services</v>
      </c>
      <c r="X521" s="6" t="str">
        <v>Applications Software(Business</v>
      </c>
      <c r="Y521" s="6" t="str">
        <v>Applications Software(Business</v>
      </c>
      <c r="Z521" s="6" t="str">
        <v>Applications Software(Business</v>
      </c>
      <c r="AA521" s="6" t="str">
        <v>Primary Business not Hi-Tech</v>
      </c>
      <c r="AB521" s="6" t="str">
        <v>Primary Business not Hi-Tech</v>
      </c>
    </row>
    <row r="522">
      <c r="A522" s="6" t="str">
        <v>38259P</v>
      </c>
      <c r="B522" s="6" t="str">
        <v>United States</v>
      </c>
      <c r="C522" s="6" t="str">
        <v>Google Inc</v>
      </c>
      <c r="D522" s="6" t="str">
        <v>Alphabet Inc</v>
      </c>
      <c r="F522" s="6" t="str">
        <v>United States</v>
      </c>
      <c r="G522" s="6" t="str">
        <v>Pixate Inc</v>
      </c>
      <c r="H522" s="6" t="str">
        <v>Prepackaged Software</v>
      </c>
      <c r="I522" s="6" t="str">
        <v>9C2731</v>
      </c>
      <c r="J522" s="6" t="str">
        <v>Pixate Inc</v>
      </c>
      <c r="K522" s="6" t="str">
        <v>Pixate Inc</v>
      </c>
      <c r="L522" s="7">
        <f>=DATE(2015,7,21)</f>
        <v>42205.99949074074</v>
      </c>
      <c r="M522" s="7">
        <f>=DATE(2015,7,21)</f>
        <v>42205.99949074074</v>
      </c>
      <c r="W522" s="6" t="str">
        <v>Programming Services;Internet Services &amp; Software</v>
      </c>
      <c r="X522" s="6" t="str">
        <v>Applications Software(Home);Applications Software(Business;Communication/Network Software</v>
      </c>
      <c r="Y522" s="6" t="str">
        <v>Communication/Network Software;Applications Software(Home);Applications Software(Business</v>
      </c>
      <c r="Z522" s="6" t="str">
        <v>Communication/Network Software;Applications Software(Home);Applications Software(Business</v>
      </c>
      <c r="AA522" s="6" t="str">
        <v>Internet Services &amp; Software;Programming Services;Primary Business not Hi-Tech;Telecommunications Equipment;Computer Consulting Services</v>
      </c>
      <c r="AB522" s="6" t="str">
        <v>Internet Services &amp; Software;Programming Services;Primary Business not Hi-Tech;Telecommunications Equipment;Computer Consulting Services</v>
      </c>
    </row>
    <row r="523">
      <c r="A523" s="6" t="str">
        <v>594918</v>
      </c>
      <c r="B523" s="6" t="str">
        <v>United States</v>
      </c>
      <c r="C523" s="6" t="str">
        <v>Microsoft Corp</v>
      </c>
      <c r="D523" s="6" t="str">
        <v>Microsoft Corp</v>
      </c>
      <c r="F523" s="6" t="str">
        <v>United States</v>
      </c>
      <c r="G523" s="6" t="str">
        <v>Incent Games Inc</v>
      </c>
      <c r="H523" s="6" t="str">
        <v>Prepackaged Software</v>
      </c>
      <c r="I523" s="6" t="str">
        <v>9C4861</v>
      </c>
      <c r="J523" s="6" t="str">
        <v>Incent Games Inc</v>
      </c>
      <c r="K523" s="6" t="str">
        <v>Incent Games Inc</v>
      </c>
      <c r="L523" s="7">
        <f>=DATE(2015,8,3)</f>
        <v>42218.99949074074</v>
      </c>
      <c r="M523" s="7">
        <f>=DATE(2015,8,3)</f>
        <v>42218.99949074074</v>
      </c>
      <c r="W523" s="6" t="str">
        <v>Monitors/Terminals;Other Peripherals;Internet Services &amp; Software;Computer Consulting Services;Operating Systems;Applications Software(Business</v>
      </c>
      <c r="X523" s="6" t="str">
        <v>Internet Services &amp; Software;Other Software (inq. Games);Applications Software(Business</v>
      </c>
      <c r="Y523" s="6" t="str">
        <v>Other Software (inq. Games);Internet Services &amp; Software;Applications Software(Business</v>
      </c>
      <c r="Z523" s="6" t="str">
        <v>Applications Software(Business;Internet Services &amp; Software;Other Software (inq. Games)</v>
      </c>
      <c r="AA523" s="6" t="str">
        <v>Applications Software(Business;Computer Consulting Services;Monitors/Terminals;Other Peripherals;Operating Systems;Internet Services &amp; Software</v>
      </c>
      <c r="AB523" s="6" t="str">
        <v>Computer Consulting Services;Operating Systems;Other Peripherals;Internet Services &amp; Software;Applications Software(Business;Monitors/Terminals</v>
      </c>
    </row>
    <row r="524">
      <c r="A524" s="6" t="str">
        <v>53578A</v>
      </c>
      <c r="B524" s="6" t="str">
        <v>United States</v>
      </c>
      <c r="C524" s="6" t="str">
        <v>LinkedIn Corp</v>
      </c>
      <c r="D524" s="6" t="str">
        <v>LinkedIn Corp</v>
      </c>
      <c r="F524" s="6" t="str">
        <v>United States</v>
      </c>
      <c r="G524" s="6" t="str">
        <v>Fliptop Inc</v>
      </c>
      <c r="H524" s="6" t="str">
        <v>Prepackaged Software</v>
      </c>
      <c r="I524" s="6" t="str">
        <v>0A5696</v>
      </c>
      <c r="J524" s="6" t="str">
        <v>Fliptop Inc</v>
      </c>
      <c r="K524" s="6" t="str">
        <v>Fliptop Inc</v>
      </c>
      <c r="L524" s="7">
        <f>=DATE(2015,8,28)</f>
        <v>42243.99949074074</v>
      </c>
      <c r="M524" s="7">
        <f>=DATE(2015,8,28)</f>
        <v>42243.99949074074</v>
      </c>
      <c r="W524" s="6" t="str">
        <v>Internet Services &amp; Software</v>
      </c>
      <c r="X524" s="6" t="str">
        <v>Applications Software(Business</v>
      </c>
      <c r="Y524" s="6" t="str">
        <v>Applications Software(Business</v>
      </c>
      <c r="Z524" s="6" t="str">
        <v>Applications Software(Business</v>
      </c>
      <c r="AA524" s="6" t="str">
        <v>Internet Services &amp; Software</v>
      </c>
      <c r="AB524" s="6" t="str">
        <v>Internet Services &amp; Software</v>
      </c>
    </row>
    <row r="525">
      <c r="A525" s="6" t="str">
        <v>4C7902</v>
      </c>
      <c r="B525" s="6" t="str">
        <v>United States</v>
      </c>
      <c r="C525" s="6" t="str">
        <v>Amazon Web Services Inc</v>
      </c>
      <c r="D525" s="6" t="str">
        <v>Amazon.com Inc</v>
      </c>
      <c r="F525" s="6" t="str">
        <v>United States</v>
      </c>
      <c r="G525" s="6" t="str">
        <v>Elemental Technologies Inc</v>
      </c>
      <c r="H525" s="6" t="str">
        <v>Prepackaged Software</v>
      </c>
      <c r="I525" s="6" t="str">
        <v>0C8631</v>
      </c>
      <c r="J525" s="6" t="str">
        <v>Elemental Technologies Inc</v>
      </c>
      <c r="K525" s="6" t="str">
        <v>Elemental Technologies Inc</v>
      </c>
      <c r="L525" s="7">
        <f>=DATE(2015,9,3)</f>
        <v>42249.99949074074</v>
      </c>
      <c r="M525" s="7">
        <f>=DATE(2015,10,19)</f>
        <v>42295.99949074074</v>
      </c>
      <c r="N525" s="8">
        <v>296</v>
      </c>
      <c r="O525" s="8">
        <v>296</v>
      </c>
      <c r="S525" s="8">
        <v>8.2</v>
      </c>
      <c r="W525" s="6" t="str">
        <v>Data Processing Services;Internet Services &amp; Software;Computer Consulting Services;Primary Business not Hi-Tech;Other Computer Related Svcs</v>
      </c>
      <c r="X525" s="6" t="str">
        <v>Internet Services &amp; Software;Communication/Network Software</v>
      </c>
      <c r="Y525" s="6" t="str">
        <v>Internet Services &amp; Software;Communication/Network Software</v>
      </c>
      <c r="Z525" s="6" t="str">
        <v>Communication/Network Software;Internet Services &amp; Software</v>
      </c>
      <c r="AA525" s="6" t="str">
        <v>Primary Business not Hi-Tech</v>
      </c>
      <c r="AB525" s="6" t="str">
        <v>Primary Business not Hi-Tech</v>
      </c>
      <c r="AC525" s="8">
        <v>296</v>
      </c>
      <c r="AD525" s="7">
        <f>=DATE(2015,10,19)</f>
        <v>42295.99949074074</v>
      </c>
    </row>
    <row r="526">
      <c r="A526" s="6" t="str">
        <v>594918</v>
      </c>
      <c r="B526" s="6" t="str">
        <v>United States</v>
      </c>
      <c r="C526" s="6" t="str">
        <v>Microsoft Corp</v>
      </c>
      <c r="D526" s="6" t="str">
        <v>Microsoft Corp</v>
      </c>
      <c r="F526" s="6" t="str">
        <v>United States</v>
      </c>
      <c r="G526" s="6" t="str">
        <v>Adallom Inc</v>
      </c>
      <c r="H526" s="6" t="str">
        <v>Prepackaged Software</v>
      </c>
      <c r="I526" s="6" t="str">
        <v>9C2365</v>
      </c>
      <c r="J526" s="6" t="str">
        <v>Adallom Inc</v>
      </c>
      <c r="K526" s="6" t="str">
        <v>Adallom Inc</v>
      </c>
      <c r="L526" s="7">
        <f>=DATE(2015,9,8)</f>
        <v>42254.99949074074</v>
      </c>
      <c r="M526" s="7">
        <f>=DATE(2015,9,8)</f>
        <v>42254.99949074074</v>
      </c>
      <c r="W526" s="6" t="str">
        <v>Operating Systems;Applications Software(Business;Internet Services &amp; Software;Computer Consulting Services;Monitors/Terminals;Other Peripherals</v>
      </c>
      <c r="X526" s="6" t="str">
        <v>Internet Services &amp; Software;Applications Software(Home);Applications Software(Business;Desktop Publishing;Other Software (inq. Games);Utilities/File Mgmt Software;Communication/Network Software</v>
      </c>
      <c r="Y526" s="6" t="str">
        <v>Communication/Network Software;Applications Software(Home);Internet Services &amp; Software;Applications Software(Business;Desktop Publishing;Other Software (inq. Games);Utilities/File Mgmt Software</v>
      </c>
      <c r="Z526" s="6" t="str">
        <v>Other Software (inq. Games);Utilities/File Mgmt Software;Communication/Network Software;Applications Software(Business;Desktop Publishing;Applications Software(Home);Internet Services &amp; Software</v>
      </c>
      <c r="AA526" s="6" t="str">
        <v>Computer Consulting Services;Operating Systems;Monitors/Terminals;Internet Services &amp; Software;Applications Software(Business;Other Peripherals</v>
      </c>
      <c r="AB526" s="6" t="str">
        <v>Applications Software(Business;Monitors/Terminals;Internet Services &amp; Software;Other Peripherals;Computer Consulting Services;Operating Systems</v>
      </c>
    </row>
    <row r="527">
      <c r="A527" s="6" t="str">
        <v>594918</v>
      </c>
      <c r="B527" s="6" t="str">
        <v>United States</v>
      </c>
      <c r="C527" s="6" t="str">
        <v>Microsoft Corp</v>
      </c>
      <c r="D527" s="6" t="str">
        <v>Microsoft Corp</v>
      </c>
      <c r="F527" s="6" t="str">
        <v>United States</v>
      </c>
      <c r="G527" s="6" t="str">
        <v>Double Labs Inc</v>
      </c>
      <c r="H527" s="6" t="str">
        <v>Prepackaged Software</v>
      </c>
      <c r="I527" s="6" t="str">
        <v>0E2871</v>
      </c>
      <c r="J527" s="6" t="str">
        <v>Double Labs Inc</v>
      </c>
      <c r="K527" s="6" t="str">
        <v>Double Labs Inc</v>
      </c>
      <c r="L527" s="7">
        <f>=DATE(2015,9,11)</f>
        <v>42257.99949074074</v>
      </c>
      <c r="M527" s="7">
        <f>=DATE(2015,9,11)</f>
        <v>42257.99949074074</v>
      </c>
      <c r="W527" s="6" t="str">
        <v>Applications Software(Business;Computer Consulting Services;Operating Systems;Monitors/Terminals;Other Peripherals;Internet Services &amp; Software</v>
      </c>
      <c r="X527" s="6" t="str">
        <v>Applications Software(Home);Communication/Network Software;Applications Software(Business</v>
      </c>
      <c r="Y527" s="6" t="str">
        <v>Applications Software(Home);Communication/Network Software;Applications Software(Business</v>
      </c>
      <c r="Z527" s="6" t="str">
        <v>Communication/Network Software;Applications Software(Business;Applications Software(Home)</v>
      </c>
      <c r="AA527" s="6" t="str">
        <v>Other Peripherals;Internet Services &amp; Software;Monitors/Terminals;Computer Consulting Services;Applications Software(Business;Operating Systems</v>
      </c>
      <c r="AB527" s="6" t="str">
        <v>Other Peripherals;Operating Systems;Monitors/Terminals;Computer Consulting Services;Applications Software(Business;Internet Services &amp; Software</v>
      </c>
    </row>
    <row r="528">
      <c r="A528" s="6" t="str">
        <v>023135</v>
      </c>
      <c r="B528" s="6" t="str">
        <v>United States</v>
      </c>
      <c r="C528" s="6" t="str">
        <v>Amazon.com Inc</v>
      </c>
      <c r="D528" s="6" t="str">
        <v>Amazon.com Inc</v>
      </c>
      <c r="F528" s="6" t="str">
        <v>United States</v>
      </c>
      <c r="G528" s="6" t="str">
        <v>Safaba Translation Solutions Inc</v>
      </c>
      <c r="H528" s="6" t="str">
        <v>Prepackaged Software</v>
      </c>
      <c r="I528" s="6" t="str">
        <v>0E5588</v>
      </c>
      <c r="J528" s="6" t="str">
        <v>Safaba Translation Solutions Inc</v>
      </c>
      <c r="K528" s="6" t="str">
        <v>Safaba Translation Solutions Inc</v>
      </c>
      <c r="L528" s="7">
        <f>=DATE(2015,9,25)</f>
        <v>42271.99949074074</v>
      </c>
      <c r="M528" s="7">
        <f>=DATE(2015,9,25)</f>
        <v>42271.99949074074</v>
      </c>
      <c r="W528" s="6" t="str">
        <v>Primary Business not Hi-Tech</v>
      </c>
      <c r="X528" s="6" t="str">
        <v>Other Software (inq. Games)</v>
      </c>
      <c r="Y528" s="6" t="str">
        <v>Other Software (inq. Games)</v>
      </c>
      <c r="Z528" s="6" t="str">
        <v>Other Software (inq. Games)</v>
      </c>
      <c r="AA528" s="6" t="str">
        <v>Primary Business not Hi-Tech</v>
      </c>
      <c r="AB528" s="6" t="str">
        <v>Primary Business not Hi-Tech</v>
      </c>
    </row>
    <row r="529">
      <c r="A529" s="6" t="str">
        <v>38259P</v>
      </c>
      <c r="B529" s="6" t="str">
        <v>United States</v>
      </c>
      <c r="C529" s="6" t="str">
        <v>Google Inc</v>
      </c>
      <c r="D529" s="6" t="str">
        <v>Alphabet Inc</v>
      </c>
      <c r="F529" s="6" t="str">
        <v>United States</v>
      </c>
      <c r="G529" s="6" t="str">
        <v>Jibe Mobile Inc</v>
      </c>
      <c r="H529" s="6" t="str">
        <v>Business Services</v>
      </c>
      <c r="I529" s="6" t="str">
        <v>0E7230</v>
      </c>
      <c r="J529" s="6" t="str">
        <v>Jibe Mobile Inc</v>
      </c>
      <c r="K529" s="6" t="str">
        <v>Jibe Mobile Inc</v>
      </c>
      <c r="L529" s="7">
        <f>=DATE(2015,9,30)</f>
        <v>42276.99949074074</v>
      </c>
      <c r="M529" s="7">
        <f>=DATE(2015,9,30)</f>
        <v>42276.99949074074</v>
      </c>
      <c r="W529" s="6" t="str">
        <v>Programming Services;Internet Services &amp; Software</v>
      </c>
      <c r="X529" s="6" t="str">
        <v>Computer Consulting Services;Programming Services;Other Computer Related Svcs</v>
      </c>
      <c r="Y529" s="6" t="str">
        <v>Programming Services;Computer Consulting Services;Other Computer Related Svcs</v>
      </c>
      <c r="Z529" s="6" t="str">
        <v>Other Computer Related Svcs;Programming Services;Computer Consulting Services</v>
      </c>
      <c r="AA529" s="6" t="str">
        <v>Programming Services;Telecommunications Equipment;Computer Consulting Services;Primary Business not Hi-Tech;Internet Services &amp; Software</v>
      </c>
      <c r="AB529" s="6" t="str">
        <v>Primary Business not Hi-Tech;Telecommunications Equipment;Computer Consulting Services;Programming Services;Internet Services &amp; Software</v>
      </c>
    </row>
    <row r="530">
      <c r="A530" s="6" t="str">
        <v>037833</v>
      </c>
      <c r="B530" s="6" t="str">
        <v>United States</v>
      </c>
      <c r="C530" s="6" t="str">
        <v>Apple Inc</v>
      </c>
      <c r="D530" s="6" t="str">
        <v>Apple Inc</v>
      </c>
      <c r="F530" s="6" t="str">
        <v>United States</v>
      </c>
      <c r="G530" s="6" t="str">
        <v>Perceptio Inc</v>
      </c>
      <c r="H530" s="6" t="str">
        <v>Prepackaged Software</v>
      </c>
      <c r="I530" s="6" t="str">
        <v>0E7940</v>
      </c>
      <c r="J530" s="6" t="str">
        <v>Perceptio Inc</v>
      </c>
      <c r="K530" s="6" t="str">
        <v>Perceptio Inc</v>
      </c>
      <c r="L530" s="7">
        <f>=DATE(2015,10,5)</f>
        <v>42281.99949074074</v>
      </c>
      <c r="M530" s="7">
        <f>=DATE(2015,10,5)</f>
        <v>42281.99949074074</v>
      </c>
      <c r="W530" s="6" t="str">
        <v>Monitors/Terminals;Disk Drives;Mainframes &amp; Super Computers;Printers;Other Software (inq. Games);Portable Computers;Micro-Computers (PCs);Other Peripherals</v>
      </c>
      <c r="X530" s="6" t="str">
        <v>Other Software (inq. Games)</v>
      </c>
      <c r="Y530" s="6" t="str">
        <v>Other Software (inq. Games)</v>
      </c>
      <c r="Z530" s="6" t="str">
        <v>Other Software (inq. Games)</v>
      </c>
      <c r="AA530" s="6" t="str">
        <v>Other Software (inq. Games);Disk Drives;Mainframes &amp; Super Computers;Portable Computers;Printers;Monitors/Terminals;Micro-Computers (PCs);Other Peripherals</v>
      </c>
      <c r="AB530" s="6" t="str">
        <v>Disk Drives;Portable Computers;Mainframes &amp; Super Computers;Micro-Computers (PCs);Other Software (inq. Games);Printers;Other Peripherals;Monitors/Terminals</v>
      </c>
    </row>
    <row r="531">
      <c r="A531" s="6" t="str">
        <v>38259P</v>
      </c>
      <c r="B531" s="6" t="str">
        <v>United States</v>
      </c>
      <c r="C531" s="6" t="str">
        <v>Google Inc</v>
      </c>
      <c r="D531" s="6" t="str">
        <v>Alphabet Inc</v>
      </c>
      <c r="F531" s="6" t="str">
        <v>United States</v>
      </c>
      <c r="G531" s="6" t="str">
        <v>Divshot Inc</v>
      </c>
      <c r="H531" s="6" t="str">
        <v>Prepackaged Software</v>
      </c>
      <c r="I531" s="6" t="str">
        <v>0E9101</v>
      </c>
      <c r="J531" s="6" t="str">
        <v>Divshot Inc</v>
      </c>
      <c r="K531" s="6" t="str">
        <v>Divshot Inc</v>
      </c>
      <c r="L531" s="7">
        <f>=DATE(2015,10,13)</f>
        <v>42289.99949074074</v>
      </c>
      <c r="M531" s="7">
        <f>=DATE(2015,10,13)</f>
        <v>42289.99949074074</v>
      </c>
      <c r="W531" s="6" t="str">
        <v>Internet Services &amp; Software;Programming Services</v>
      </c>
      <c r="X531" s="6" t="str">
        <v>Other Software (inq. Games)</v>
      </c>
      <c r="Y531" s="6" t="str">
        <v>Other Software (inq. Games)</v>
      </c>
      <c r="Z531" s="6" t="str">
        <v>Other Software (inq. Games)</v>
      </c>
      <c r="AA531" s="6" t="str">
        <v>Primary Business not Hi-Tech;Programming Services;Internet Services &amp; Software;Telecommunications Equipment;Computer Consulting Services</v>
      </c>
      <c r="AB531" s="6" t="str">
        <v>Telecommunications Equipment;Programming Services;Computer Consulting Services;Internet Services &amp; Software;Primary Business not Hi-Tech</v>
      </c>
    </row>
    <row r="532">
      <c r="A532" s="6" t="str">
        <v>594918</v>
      </c>
      <c r="B532" s="6" t="str">
        <v>United States</v>
      </c>
      <c r="C532" s="6" t="str">
        <v>Microsoft Corp</v>
      </c>
      <c r="D532" s="6" t="str">
        <v>Microsoft Corp</v>
      </c>
      <c r="F532" s="6" t="str">
        <v>United States</v>
      </c>
      <c r="G532" s="6" t="str">
        <v>Mobile Data Labs Inc</v>
      </c>
      <c r="H532" s="6" t="str">
        <v>Prepackaged Software</v>
      </c>
      <c r="I532" s="6" t="str">
        <v>1E3197</v>
      </c>
      <c r="J532" s="6" t="str">
        <v>Mobile Data Labs Inc</v>
      </c>
      <c r="K532" s="6" t="str">
        <v>Mobile Data Labs Inc</v>
      </c>
      <c r="L532" s="7">
        <f>=DATE(2015,11,5)</f>
        <v>42312.99949074074</v>
      </c>
      <c r="M532" s="7">
        <f>=DATE(2015,11,5)</f>
        <v>42312.99949074074</v>
      </c>
      <c r="W532" s="6" t="str">
        <v>Monitors/Terminals;Operating Systems;Applications Software(Business;Other Peripherals;Computer Consulting Services;Internet Services &amp; Software</v>
      </c>
      <c r="X532" s="6" t="str">
        <v>Applications Software(Business;Communication/Network Software;Applications Software(Home)</v>
      </c>
      <c r="Y532" s="6" t="str">
        <v>Communication/Network Software;Applications Software(Business;Applications Software(Home)</v>
      </c>
      <c r="Z532" s="6" t="str">
        <v>Communication/Network Software;Applications Software(Business;Applications Software(Home)</v>
      </c>
      <c r="AA532" s="6" t="str">
        <v>Applications Software(Business;Internet Services &amp; Software;Computer Consulting Services;Other Peripherals;Monitors/Terminals;Operating Systems</v>
      </c>
      <c r="AB532" s="6" t="str">
        <v>Applications Software(Business;Internet Services &amp; Software;Other Peripherals;Computer Consulting Services;Monitors/Terminals;Operating Systems</v>
      </c>
    </row>
    <row r="533">
      <c r="A533" s="6" t="str">
        <v>73959W</v>
      </c>
      <c r="B533" s="6" t="str">
        <v>United States</v>
      </c>
      <c r="C533" s="6" t="str">
        <v>PowerSchool Group LLC</v>
      </c>
      <c r="D533" s="6" t="str">
        <v>PowerSchool Holdings Inc</v>
      </c>
      <c r="F533" s="6" t="str">
        <v>United States</v>
      </c>
      <c r="G533" s="6" t="str">
        <v>InfoSnap Inc</v>
      </c>
      <c r="H533" s="6" t="str">
        <v>Business Services</v>
      </c>
      <c r="I533" s="6" t="str">
        <v>1E4035</v>
      </c>
      <c r="J533" s="6" t="str">
        <v>InfoSnap Inc</v>
      </c>
      <c r="K533" s="6" t="str">
        <v>InfoSnap Inc</v>
      </c>
      <c r="L533" s="7">
        <f>=DATE(2015,11,5)</f>
        <v>42312.99949074074</v>
      </c>
      <c r="M533" s="7">
        <f>=DATE(2015,11,5)</f>
        <v>42312.99949074074</v>
      </c>
      <c r="S533" s="8">
        <v>5.2</v>
      </c>
      <c r="W533" s="6" t="str">
        <v>Other Software (inq. Games)</v>
      </c>
      <c r="X533" s="6" t="str">
        <v>Internet Services &amp; Software</v>
      </c>
      <c r="Y533" s="6" t="str">
        <v>Internet Services &amp; Software</v>
      </c>
      <c r="Z533" s="6" t="str">
        <v>Internet Services &amp; Software</v>
      </c>
      <c r="AA533" s="6" t="str">
        <v>Applications Software(Business;Applications Software(Home);Primary Business not Hi-Tech;Internet Services &amp; Software;Utilities/File Mgmt Software;Desktop Publishing;Communication/Network Software;Other Software (inq. Games)</v>
      </c>
      <c r="AB533" s="6" t="str">
        <v>Internet Services &amp; Software;Applications Software(Home);Communication/Network Software;Utilities/File Mgmt Software;Other Software (inq. Games);Desktop Publishing;Applications Software(Business;Primary Business not Hi-Tech</v>
      </c>
    </row>
    <row r="534">
      <c r="A534" s="6" t="str">
        <v>38259P</v>
      </c>
      <c r="B534" s="6" t="str">
        <v>United States</v>
      </c>
      <c r="C534" s="6" t="str">
        <v>Google Inc</v>
      </c>
      <c r="D534" s="6" t="str">
        <v>Alphabet Inc</v>
      </c>
      <c r="F534" s="6" t="str">
        <v>United States</v>
      </c>
      <c r="G534" s="6" t="str">
        <v>Fly Labs Inc</v>
      </c>
      <c r="H534" s="6" t="str">
        <v>Prepackaged Software</v>
      </c>
      <c r="I534" s="6" t="str">
        <v>1E3438</v>
      </c>
      <c r="J534" s="6" t="str">
        <v>Fly Labs Inc</v>
      </c>
      <c r="K534" s="6" t="str">
        <v>Fly Labs Inc</v>
      </c>
      <c r="L534" s="7">
        <f>=DATE(2015,11,7)</f>
        <v>42314.99949074074</v>
      </c>
      <c r="M534" s="7">
        <f>=DATE(2015,11,7)</f>
        <v>42314.99949074074</v>
      </c>
      <c r="W534" s="6" t="str">
        <v>Programming Services;Internet Services &amp; Software</v>
      </c>
      <c r="X534" s="6" t="str">
        <v>Applications Software(Business;Applications Software(Home);Communication/Network Software</v>
      </c>
      <c r="Y534" s="6" t="str">
        <v>Communication/Network Software;Applications Software(Business;Applications Software(Home)</v>
      </c>
      <c r="Z534" s="6" t="str">
        <v>Communication/Network Software;Applications Software(Home);Applications Software(Business</v>
      </c>
      <c r="AA534" s="6" t="str">
        <v>Computer Consulting Services;Internet Services &amp; Software;Primary Business not Hi-Tech;Telecommunications Equipment;Programming Services</v>
      </c>
      <c r="AB534" s="6" t="str">
        <v>Computer Consulting Services;Programming Services;Telecommunications Equipment;Primary Business not Hi-Tech;Internet Services &amp; Software</v>
      </c>
    </row>
    <row r="535">
      <c r="A535" s="6" t="str">
        <v>38259P</v>
      </c>
      <c r="B535" s="6" t="str">
        <v>United States</v>
      </c>
      <c r="C535" s="6" t="str">
        <v>Google Inc</v>
      </c>
      <c r="D535" s="6" t="str">
        <v>Alphabet Inc</v>
      </c>
      <c r="F535" s="6" t="str">
        <v>United States</v>
      </c>
      <c r="G535" s="6" t="str">
        <v>Bebop Technology LLC</v>
      </c>
      <c r="H535" s="6" t="str">
        <v>Prepackaged Software</v>
      </c>
      <c r="I535" s="6" t="str">
        <v>1E6853</v>
      </c>
      <c r="J535" s="6" t="str">
        <v>Bebop Technology LLC</v>
      </c>
      <c r="K535" s="6" t="str">
        <v>Bebop Technology LLC</v>
      </c>
      <c r="L535" s="7">
        <f>=DATE(2015,11,19)</f>
        <v>42326.99949074074</v>
      </c>
      <c r="M535" s="7">
        <f>=DATE(2015,12,17)</f>
        <v>42354.99949074074</v>
      </c>
      <c r="N535" s="8">
        <v>380.241</v>
      </c>
      <c r="O535" s="8">
        <v>380.241</v>
      </c>
      <c r="W535" s="6" t="str">
        <v>Programming Services;Internet Services &amp; Software</v>
      </c>
      <c r="X535" s="6" t="str">
        <v>Other Software (inq. Games)</v>
      </c>
      <c r="Y535" s="6" t="str">
        <v>Other Software (inq. Games)</v>
      </c>
      <c r="Z535" s="6" t="str">
        <v>Other Software (inq. Games)</v>
      </c>
      <c r="AA535" s="6" t="str">
        <v>Computer Consulting Services;Programming Services;Telecommunications Equipment;Primary Business not Hi-Tech;Internet Services &amp; Software</v>
      </c>
      <c r="AB535" s="6" t="str">
        <v>Internet Services &amp; Software;Telecommunications Equipment;Computer Consulting Services;Programming Services;Primary Business not Hi-Tech</v>
      </c>
      <c r="AC535" s="8">
        <v>380.241</v>
      </c>
      <c r="AD535" s="7">
        <f>=DATE(2015,12,17)</f>
        <v>42354.99949074074</v>
      </c>
    </row>
    <row r="536">
      <c r="A536" s="6" t="str">
        <v>037833</v>
      </c>
      <c r="B536" s="6" t="str">
        <v>United States</v>
      </c>
      <c r="C536" s="6" t="str">
        <v>Apple Inc</v>
      </c>
      <c r="D536" s="6" t="str">
        <v>Apple Inc</v>
      </c>
      <c r="F536" s="6" t="str">
        <v>United States</v>
      </c>
      <c r="G536" s="6" t="str">
        <v>Apple Inc</v>
      </c>
      <c r="H536" s="6" t="str">
        <v>Computer and Office Equipment</v>
      </c>
      <c r="I536" s="6" t="str">
        <v>037833</v>
      </c>
      <c r="J536" s="6" t="str">
        <v>Apple Inc</v>
      </c>
      <c r="K536" s="6" t="str">
        <v>Apple Inc</v>
      </c>
      <c r="L536" s="7">
        <f>=DATE(2015,11,30)</f>
        <v>42337.99949074074</v>
      </c>
      <c r="M536" s="7">
        <f>=DATE(2016,4,30)</f>
        <v>42489.99949074074</v>
      </c>
      <c r="N536" s="8">
        <v>3000</v>
      </c>
      <c r="O536" s="8">
        <v>3000</v>
      </c>
      <c r="P536" s="8" t="str">
        <v>597,203.18</v>
      </c>
      <c r="R536" s="8">
        <v>53394</v>
      </c>
      <c r="S536" s="8">
        <v>233715</v>
      </c>
      <c r="T536" s="8">
        <v>-17716</v>
      </c>
      <c r="U536" s="8">
        <v>-56274</v>
      </c>
      <c r="V536" s="8">
        <v>81266</v>
      </c>
      <c r="W536" s="6" t="str">
        <v>Monitors/Terminals;Other Peripherals;Printers;Other Software (inq. Games);Disk Drives;Portable Computers;Mainframes &amp; Super Computers;Micro-Computers (PCs)</v>
      </c>
      <c r="X536" s="6" t="str">
        <v>Monitors/Terminals;Printers;Mainframes &amp; Super Computers;Portable Computers;Other Peripherals;Disk Drives;Other Software (inq. Games);Micro-Computers (PCs)</v>
      </c>
      <c r="Y536" s="6" t="str">
        <v>Other Peripherals;Disk Drives;Monitors/Terminals;Other Software (inq. Games);Mainframes &amp; Super Computers;Portable Computers;Printers;Micro-Computers (PCs)</v>
      </c>
      <c r="Z536" s="6" t="str">
        <v>Portable Computers;Disk Drives;Monitors/Terminals;Mainframes &amp; Super Computers;Printers;Micro-Computers (PCs);Other Peripherals;Other Software (inq. Games)</v>
      </c>
      <c r="AA536" s="6" t="str">
        <v>Mainframes &amp; Super Computers;Disk Drives;Micro-Computers (PCs);Other Software (inq. Games);Monitors/Terminals;Other Peripherals;Printers;Portable Computers</v>
      </c>
      <c r="AB536" s="6" t="str">
        <v>Monitors/Terminals;Mainframes &amp; Super Computers;Other Software (inq. Games);Portable Computers;Disk Drives;Other Peripherals;Micro-Computers (PCs);Printers</v>
      </c>
      <c r="AC536" s="8">
        <v>3000</v>
      </c>
      <c r="AD536" s="7">
        <f>=DATE(2015,11,30)</f>
        <v>42337.99949074074</v>
      </c>
      <c r="AF536" s="8" t="str">
        <v>597,203.18</v>
      </c>
      <c r="AG536" s="8" t="str">
        <v>597,203.18</v>
      </c>
    </row>
    <row r="537">
      <c r="A537" s="6" t="str">
        <v>594918</v>
      </c>
      <c r="B537" s="6" t="str">
        <v>United States</v>
      </c>
      <c r="C537" s="6" t="str">
        <v>Microsoft Corp</v>
      </c>
      <c r="D537" s="6" t="str">
        <v>Microsoft Corp</v>
      </c>
      <c r="F537" s="6" t="str">
        <v>United States</v>
      </c>
      <c r="G537" s="6" t="str">
        <v>Metanautix Inc</v>
      </c>
      <c r="H537" s="6" t="str">
        <v>Prepackaged Software</v>
      </c>
      <c r="I537" s="6" t="str">
        <v>2E5770</v>
      </c>
      <c r="J537" s="6" t="str">
        <v>Metanautix Inc</v>
      </c>
      <c r="K537" s="6" t="str">
        <v>Metanautix Inc</v>
      </c>
      <c r="L537" s="7">
        <f>=DATE(2015,12,18)</f>
        <v>42355.99949074074</v>
      </c>
      <c r="M537" s="7">
        <f>=DATE(2015,12,18)</f>
        <v>42355.99949074074</v>
      </c>
      <c r="W537" s="6" t="str">
        <v>Internet Services &amp; Software;Other Peripherals;Operating Systems;Applications Software(Business;Monitors/Terminals;Computer Consulting Services</v>
      </c>
      <c r="X537" s="6" t="str">
        <v>Applications Software(Business</v>
      </c>
      <c r="Y537" s="6" t="str">
        <v>Applications Software(Business</v>
      </c>
      <c r="Z537" s="6" t="str">
        <v>Applications Software(Business</v>
      </c>
      <c r="AA537" s="6" t="str">
        <v>Computer Consulting Services;Operating Systems;Applications Software(Business;Monitors/Terminals;Internet Services &amp; Software;Other Peripherals</v>
      </c>
      <c r="AB537" s="6" t="str">
        <v>Computer Consulting Services;Internet Services &amp; Software;Operating Systems;Applications Software(Business;Other Peripherals;Monitors/Terminals</v>
      </c>
    </row>
    <row r="538">
      <c r="A538" s="6" t="str">
        <v>594918</v>
      </c>
      <c r="B538" s="6" t="str">
        <v>United States</v>
      </c>
      <c r="C538" s="6" t="str">
        <v>Microsoft Corp</v>
      </c>
      <c r="D538" s="6" t="str">
        <v>Microsoft Corp</v>
      </c>
      <c r="F538" s="6" t="str">
        <v>United States</v>
      </c>
      <c r="G538" s="6" t="str">
        <v>Talko Inc</v>
      </c>
      <c r="H538" s="6" t="str">
        <v>Prepackaged Software</v>
      </c>
      <c r="I538" s="6" t="str">
        <v>2E4117</v>
      </c>
      <c r="J538" s="6" t="str">
        <v>Talko Inc</v>
      </c>
      <c r="K538" s="6" t="str">
        <v>Talko Inc</v>
      </c>
      <c r="L538" s="7">
        <f>=DATE(2015,12,21)</f>
        <v>42358.99949074074</v>
      </c>
      <c r="M538" s="7">
        <f>=DATE(2015,12,21)</f>
        <v>42358.99949074074</v>
      </c>
      <c r="W538" s="6" t="str">
        <v>Applications Software(Business;Other Peripherals;Computer Consulting Services;Operating Systems;Internet Services &amp; Software;Monitors/Terminals</v>
      </c>
      <c r="X538" s="6" t="str">
        <v>Communication/Network Software;Applications Software(Home);Applications Software(Business</v>
      </c>
      <c r="Y538" s="6" t="str">
        <v>Applications Software(Business;Communication/Network Software;Applications Software(Home)</v>
      </c>
      <c r="Z538" s="6" t="str">
        <v>Communication/Network Software;Applications Software(Home);Applications Software(Business</v>
      </c>
      <c r="AA538" s="6" t="str">
        <v>Operating Systems;Other Peripherals;Computer Consulting Services;Applications Software(Business;Monitors/Terminals;Internet Services &amp; Software</v>
      </c>
      <c r="AB538" s="6" t="str">
        <v>Computer Consulting Services;Monitors/Terminals;Operating Systems;Internet Services &amp; Software;Other Peripherals;Applications Software(Business</v>
      </c>
    </row>
    <row r="539">
      <c r="A539" s="6" t="str">
        <v>00507V</v>
      </c>
      <c r="B539" s="6" t="str">
        <v>United States</v>
      </c>
      <c r="C539" s="6" t="str">
        <v>Activision Blizzard Inc</v>
      </c>
      <c r="D539" s="6" t="str">
        <v>Activision Blizzard Inc</v>
      </c>
      <c r="F539" s="6" t="str">
        <v>United States</v>
      </c>
      <c r="G539" s="6" t="str">
        <v>Major League Gaming Inc</v>
      </c>
      <c r="H539" s="6" t="str">
        <v>Amusement and Recreation Services</v>
      </c>
      <c r="I539" s="6" t="str">
        <v>56115Y</v>
      </c>
      <c r="J539" s="6" t="str">
        <v>Major League Gaming Inc</v>
      </c>
      <c r="K539" s="6" t="str">
        <v>Major League Gaming Inc</v>
      </c>
      <c r="L539" s="7">
        <f>=DATE(2016,1,4)</f>
        <v>42372.99949074074</v>
      </c>
      <c r="M539" s="7">
        <f>=DATE(2016,1,4)</f>
        <v>42372.99949074074</v>
      </c>
      <c r="W539" s="6" t="str">
        <v>Operating Systems;Other Software (inq. Games);Other Computer Systems</v>
      </c>
      <c r="X539" s="6" t="str">
        <v>Other Software (inq. Games);Internet Services &amp; Software;Communication/Network Software</v>
      </c>
      <c r="Y539" s="6" t="str">
        <v>Communication/Network Software;Other Software (inq. Games);Internet Services &amp; Software</v>
      </c>
      <c r="Z539" s="6" t="str">
        <v>Communication/Network Software;Other Software (inq. Games);Internet Services &amp; Software</v>
      </c>
      <c r="AA539" s="6" t="str">
        <v>Other Computer Systems;Other Software (inq. Games);Operating Systems</v>
      </c>
      <c r="AB539" s="6" t="str">
        <v>Other Software (inq. Games);Other Computer Systems;Operating Systems</v>
      </c>
    </row>
    <row r="540">
      <c r="A540" s="6" t="str">
        <v>037833</v>
      </c>
      <c r="B540" s="6" t="str">
        <v>United States</v>
      </c>
      <c r="C540" s="6" t="str">
        <v>Apple Inc</v>
      </c>
      <c r="D540" s="6" t="str">
        <v>Apple Inc</v>
      </c>
      <c r="F540" s="6" t="str">
        <v>United States</v>
      </c>
      <c r="G540" s="6" t="str">
        <v>Emotient Inc</v>
      </c>
      <c r="H540" s="6" t="str">
        <v>Prepackaged Software</v>
      </c>
      <c r="I540" s="6" t="str">
        <v>2E9669</v>
      </c>
      <c r="J540" s="6" t="str">
        <v>Emotient Inc</v>
      </c>
      <c r="K540" s="6" t="str">
        <v>Emotient Inc</v>
      </c>
      <c r="L540" s="7">
        <f>=DATE(2016,1,7)</f>
        <v>42375.99949074074</v>
      </c>
      <c r="M540" s="7">
        <f>=DATE(2016,1,7)</f>
        <v>42375.99949074074</v>
      </c>
      <c r="W540" s="6" t="str">
        <v>Portable Computers;Mainframes &amp; Super Computers;Micro-Computers (PCs);Other Software (inq. Games);Other Peripherals;Printers;Monitors/Terminals;Disk Drives</v>
      </c>
      <c r="X540" s="6" t="str">
        <v>Other Software (inq. Games)</v>
      </c>
      <c r="Y540" s="6" t="str">
        <v>Other Software (inq. Games)</v>
      </c>
      <c r="Z540" s="6" t="str">
        <v>Other Software (inq. Games)</v>
      </c>
      <c r="AA540" s="6" t="str">
        <v>Other Software (inq. Games);Other Peripherals;Mainframes &amp; Super Computers;Disk Drives;Monitors/Terminals;Portable Computers;Printers;Micro-Computers (PCs)</v>
      </c>
      <c r="AB540" s="6" t="str">
        <v>Mainframes &amp; Super Computers;Monitors/Terminals;Other Peripherals;Portable Computers;Micro-Computers (PCs);Disk Drives;Other Software (inq. Games);Printers</v>
      </c>
    </row>
    <row r="541">
      <c r="A541" s="6" t="str">
        <v>037833</v>
      </c>
      <c r="B541" s="6" t="str">
        <v>United States</v>
      </c>
      <c r="C541" s="6" t="str">
        <v>Apple Inc</v>
      </c>
      <c r="D541" s="6" t="str">
        <v>Apple Inc</v>
      </c>
      <c r="F541" s="6" t="str">
        <v>United States</v>
      </c>
      <c r="G541" s="6" t="str">
        <v>LearnSprout Inc</v>
      </c>
      <c r="H541" s="6" t="str">
        <v>Business Services</v>
      </c>
      <c r="I541" s="6" t="str">
        <v>3E2694</v>
      </c>
      <c r="J541" s="6" t="str">
        <v>LearnSprout Inc</v>
      </c>
      <c r="K541" s="6" t="str">
        <v>LearnSprout Inc</v>
      </c>
      <c r="L541" s="7">
        <f>=DATE(2016,1,28)</f>
        <v>42396.99949074074</v>
      </c>
      <c r="M541" s="7">
        <f>=DATE(2016,1,28)</f>
        <v>42396.99949074074</v>
      </c>
      <c r="W541" s="6" t="str">
        <v>Other Peripherals;Micro-Computers (PCs);Other Software (inq. Games);Mainframes &amp; Super Computers;Monitors/Terminals;Printers;Portable Computers;Disk Drives</v>
      </c>
      <c r="X541" s="6" t="str">
        <v>Data Processing Services;Communication/Network Software</v>
      </c>
      <c r="Y541" s="6" t="str">
        <v>Communication/Network Software;Data Processing Services</v>
      </c>
      <c r="Z541" s="6" t="str">
        <v>Communication/Network Software;Data Processing Services</v>
      </c>
      <c r="AA541" s="6" t="str">
        <v>Other Peripherals;Portable Computers;Other Software (inq. Games);Monitors/Terminals;Mainframes &amp; Super Computers;Micro-Computers (PCs);Printers;Disk Drives</v>
      </c>
      <c r="AB541" s="6" t="str">
        <v>Mainframes &amp; Super Computers;Portable Computers;Micro-Computers (PCs);Other Peripherals;Monitors/Terminals;Other Software (inq. Games);Printers;Disk Drives</v>
      </c>
    </row>
    <row r="542">
      <c r="A542" s="6" t="str">
        <v>037833</v>
      </c>
      <c r="B542" s="6" t="str">
        <v>United States</v>
      </c>
      <c r="C542" s="6" t="str">
        <v>Apple Inc</v>
      </c>
      <c r="D542" s="6" t="str">
        <v>Apple Inc</v>
      </c>
      <c r="F542" s="6" t="str">
        <v>United States</v>
      </c>
      <c r="G542" s="6" t="str">
        <v>Flyby Media Inc</v>
      </c>
      <c r="H542" s="6" t="str">
        <v>Prepackaged Software</v>
      </c>
      <c r="I542" s="6" t="str">
        <v>3E2927</v>
      </c>
      <c r="J542" s="6" t="str">
        <v>Flyby Media Inc</v>
      </c>
      <c r="K542" s="6" t="str">
        <v>Flyby Media Inc</v>
      </c>
      <c r="L542" s="7">
        <f>=DATE(2016,1,29)</f>
        <v>42397.99949074074</v>
      </c>
      <c r="M542" s="7">
        <f>=DATE(2016,1,29)</f>
        <v>42397.99949074074</v>
      </c>
      <c r="S542" s="8">
        <v>1</v>
      </c>
      <c r="W542" s="6" t="str">
        <v>Monitors/Terminals;Disk Drives;Other Peripherals;Micro-Computers (PCs);Portable Computers;Other Software (inq. Games);Mainframes &amp; Super Computers;Printers</v>
      </c>
      <c r="X542" s="6" t="str">
        <v>Applications Software(Home);Communication/Network Software;Applications Software(Business</v>
      </c>
      <c r="Y542" s="6" t="str">
        <v>Applications Software(Business;Communication/Network Software;Applications Software(Home)</v>
      </c>
      <c r="Z542" s="6" t="str">
        <v>Applications Software(Business;Communication/Network Software;Applications Software(Home)</v>
      </c>
      <c r="AA542" s="6" t="str">
        <v>Other Software (inq. Games);Monitors/Terminals;Micro-Computers (PCs);Other Peripherals;Disk Drives;Portable Computers;Printers;Mainframes &amp; Super Computers</v>
      </c>
      <c r="AB542" s="6" t="str">
        <v>Printers;Mainframes &amp; Super Computers;Disk Drives;Monitors/Terminals;Micro-Computers (PCs);Other Peripherals;Portable Computers;Other Software (inq. Games)</v>
      </c>
    </row>
    <row r="543">
      <c r="A543" s="6" t="str">
        <v>037833</v>
      </c>
      <c r="B543" s="6" t="str">
        <v>United States</v>
      </c>
      <c r="C543" s="6" t="str">
        <v>Apple Inc</v>
      </c>
      <c r="D543" s="6" t="str">
        <v>Apple Inc</v>
      </c>
      <c r="F543" s="6" t="str">
        <v>United States</v>
      </c>
      <c r="G543" s="6" t="str">
        <v>Legbacore LLC</v>
      </c>
      <c r="H543" s="6" t="str">
        <v>Prepackaged Software</v>
      </c>
      <c r="I543" s="6" t="str">
        <v>0L2648</v>
      </c>
      <c r="J543" s="6" t="str">
        <v>Legbacore LLC</v>
      </c>
      <c r="K543" s="6" t="str">
        <v>Legbacore LLC</v>
      </c>
      <c r="L543" s="7">
        <f>=DATE(2016,2,3)</f>
        <v>42402.99949074074</v>
      </c>
      <c r="M543" s="7">
        <f>=DATE(2016,2,3)</f>
        <v>42402.99949074074</v>
      </c>
      <c r="W543" s="6" t="str">
        <v>Micro-Computers (PCs);Other Software (inq. Games);Mainframes &amp; Super Computers;Printers;Disk Drives;Monitors/Terminals;Other Peripherals;Portable Computers</v>
      </c>
      <c r="X543" s="6" t="str">
        <v>Applications Software(Home);Desktop Publishing;Applications Software(Business;Internet Services &amp; Software;Communication/Network Software;Utilities/File Mgmt Software;Other Software (inq. Games)</v>
      </c>
      <c r="Y543" s="6" t="str">
        <v>Other Software (inq. Games);Internet Services &amp; Software;Communication/Network Software;Desktop Publishing;Applications Software(Business;Applications Software(Home);Utilities/File Mgmt Software</v>
      </c>
      <c r="Z543" s="6" t="str">
        <v>Other Software (inq. Games);Utilities/File Mgmt Software;Internet Services &amp; Software;Communication/Network Software;Applications Software(Business;Desktop Publishing;Applications Software(Home)</v>
      </c>
      <c r="AA543" s="6" t="str">
        <v>Printers;Portable Computers;Disk Drives;Monitors/Terminals;Other Software (inq. Games);Micro-Computers (PCs);Other Peripherals;Mainframes &amp; Super Computers</v>
      </c>
      <c r="AB543" s="6" t="str">
        <v>Disk Drives;Printers;Monitors/Terminals;Mainframes &amp; Super Computers;Other Peripherals;Portable Computers;Micro-Computers (PCs);Other Software (inq. Games)</v>
      </c>
    </row>
    <row r="544">
      <c r="A544" s="6" t="str">
        <v>73959W</v>
      </c>
      <c r="B544" s="6" t="str">
        <v>United States</v>
      </c>
      <c r="C544" s="6" t="str">
        <v>PowerSchool Group LLC</v>
      </c>
      <c r="D544" s="6" t="str">
        <v>PowerSchool Holdings Inc</v>
      </c>
      <c r="F544" s="6" t="str">
        <v>United States</v>
      </c>
      <c r="G544" s="6" t="str">
        <v>Interactive Achievement LLC</v>
      </c>
      <c r="H544" s="6" t="str">
        <v>Prepackaged Software</v>
      </c>
      <c r="I544" s="6" t="str">
        <v>3E4084</v>
      </c>
      <c r="J544" s="6" t="str">
        <v>Interactive Achievement LLC</v>
      </c>
      <c r="K544" s="6" t="str">
        <v>Interactive Achievement LLC</v>
      </c>
      <c r="L544" s="7">
        <f>=DATE(2016,2,3)</f>
        <v>42402.99949074074</v>
      </c>
      <c r="M544" s="7">
        <f>=DATE(2016,2,3)</f>
        <v>42402.99949074074</v>
      </c>
      <c r="W544" s="6" t="str">
        <v>Other Software (inq. Games)</v>
      </c>
      <c r="X544" s="6" t="str">
        <v>Communication/Network Software;Internet Services &amp; Software</v>
      </c>
      <c r="Y544" s="6" t="str">
        <v>Internet Services &amp; Software;Communication/Network Software</v>
      </c>
      <c r="Z544" s="6" t="str">
        <v>Internet Services &amp; Software;Communication/Network Software</v>
      </c>
      <c r="AA544" s="6" t="str">
        <v>Communication/Network Software;Applications Software(Home);Utilities/File Mgmt Software;Other Software (inq. Games);Internet Services &amp; Software;Applications Software(Business;Primary Business not Hi-Tech;Desktop Publishing</v>
      </c>
      <c r="AB544" s="6" t="str">
        <v>Internet Services &amp; Software;Utilities/File Mgmt Software;Primary Business not Hi-Tech;Desktop Publishing;Applications Software(Business;Communication/Network Software;Applications Software(Home);Other Software (inq. Games)</v>
      </c>
    </row>
    <row r="545">
      <c r="A545" s="6" t="str">
        <v>98787H</v>
      </c>
      <c r="B545" s="6" t="str">
        <v>United States</v>
      </c>
      <c r="C545" s="6" t="str">
        <v>YouTube Inc</v>
      </c>
      <c r="D545" s="6" t="str">
        <v>Alphabet Inc</v>
      </c>
      <c r="F545" s="6" t="str">
        <v>United States</v>
      </c>
      <c r="G545" s="6" t="str">
        <v>BandPage Inc</v>
      </c>
      <c r="H545" s="6" t="str">
        <v>Business Services</v>
      </c>
      <c r="I545" s="6" t="str">
        <v>3E7598</v>
      </c>
      <c r="J545" s="6" t="str">
        <v>BandPage Inc</v>
      </c>
      <c r="K545" s="6" t="str">
        <v>BandPage Inc</v>
      </c>
      <c r="L545" s="7">
        <f>=DATE(2016,2,12)</f>
        <v>42411.99949074074</v>
      </c>
      <c r="M545" s="7">
        <f>=DATE(2016,2,12)</f>
        <v>42411.99949074074</v>
      </c>
      <c r="S545" s="8">
        <v>4.383</v>
      </c>
      <c r="W545" s="6" t="str">
        <v>Internet Services &amp; Software</v>
      </c>
      <c r="X545" s="6" t="str">
        <v>Internet Services &amp; Software</v>
      </c>
      <c r="Y545" s="6" t="str">
        <v>Internet Services &amp; Software</v>
      </c>
      <c r="Z545" s="6" t="str">
        <v>Internet Services &amp; Software</v>
      </c>
      <c r="AA545" s="6" t="str">
        <v>Programming Services;Internet Services &amp; Software</v>
      </c>
      <c r="AB545" s="6" t="str">
        <v>Primary Business not Hi-Tech;Programming Services;Telecommunications Equipment;Computer Consulting Services;Internet Services &amp; Software</v>
      </c>
    </row>
    <row r="546">
      <c r="A546" s="6" t="str">
        <v>5E5574</v>
      </c>
      <c r="B546" s="6" t="str">
        <v>United States</v>
      </c>
      <c r="C546" s="6" t="str">
        <v>Wickr Inc</v>
      </c>
      <c r="D546" s="6" t="str">
        <v>Wickr Inc</v>
      </c>
      <c r="F546" s="6" t="str">
        <v>United States</v>
      </c>
      <c r="G546" s="6" t="str">
        <v>Net Power &amp; Light Inc</v>
      </c>
      <c r="H546" s="6" t="str">
        <v>Prepackaged Software</v>
      </c>
      <c r="I546" s="6" t="str">
        <v>5E5576</v>
      </c>
      <c r="J546" s="6" t="str">
        <v>Net Power &amp; Light Inc</v>
      </c>
      <c r="K546" s="6" t="str">
        <v>Net Power &amp; Light Inc</v>
      </c>
      <c r="L546" s="7">
        <f>=DATE(2016,4,28)</f>
        <v>42487.99949074074</v>
      </c>
      <c r="M546" s="7">
        <f>=DATE(2016,4,28)</f>
        <v>42487.99949074074</v>
      </c>
      <c r="W546" s="6" t="str">
        <v>Applications Software(Home);Communication/Network Software;Applications Software(Business</v>
      </c>
      <c r="X546" s="6" t="str">
        <v>Communication/Network Software;Applications Software(Home);Applications Software(Business</v>
      </c>
      <c r="Y546" s="6" t="str">
        <v>Applications Software(Business;Applications Software(Home);Communication/Network Software</v>
      </c>
      <c r="Z546" s="6" t="str">
        <v>Applications Software(Home);Applications Software(Business;Communication/Network Software</v>
      </c>
      <c r="AA546" s="6" t="str">
        <v>Communication/Network Software;Applications Software(Business;Applications Software(Home)</v>
      </c>
      <c r="AB546" s="6" t="str">
        <v>Applications Software(Business;Applications Software(Home);Communication/Network Software</v>
      </c>
    </row>
    <row r="547">
      <c r="A547" s="6" t="str">
        <v>73959W</v>
      </c>
      <c r="B547" s="6" t="str">
        <v>United States</v>
      </c>
      <c r="C547" s="6" t="str">
        <v>PowerSchool Group LLC</v>
      </c>
      <c r="D547" s="6" t="str">
        <v>PowerSchool Holdings Inc</v>
      </c>
      <c r="F547" s="6" t="str">
        <v>United States</v>
      </c>
      <c r="G547" s="6" t="str">
        <v>TIENET LLC</v>
      </c>
      <c r="H547" s="6" t="str">
        <v>Prepackaged Software</v>
      </c>
      <c r="I547" s="6" t="str">
        <v>8E4622</v>
      </c>
      <c r="J547" s="6" t="str">
        <v>TIENET LLC</v>
      </c>
      <c r="K547" s="6" t="str">
        <v>TIENET LLC</v>
      </c>
      <c r="L547" s="7">
        <f>=DATE(2016,5,10)</f>
        <v>42499.99949074074</v>
      </c>
      <c r="M547" s="7">
        <f>=DATE(2016,5,10)</f>
        <v>42499.99949074074</v>
      </c>
      <c r="W547" s="6" t="str">
        <v>Other Software (inq. Games)</v>
      </c>
      <c r="X547" s="6" t="str">
        <v>Applications Software(Business</v>
      </c>
      <c r="Y547" s="6" t="str">
        <v>Applications Software(Business</v>
      </c>
      <c r="Z547" s="6" t="str">
        <v>Applications Software(Business</v>
      </c>
      <c r="AA547" s="6" t="str">
        <v>Internet Services &amp; Software;Primary Business not Hi-Tech;Communication/Network Software;Other Software (inq. Games);Utilities/File Mgmt Software;Applications Software(Business;Desktop Publishing;Applications Software(Home)</v>
      </c>
      <c r="AB547" s="6" t="str">
        <v>Communication/Network Software;Primary Business not Hi-Tech;Utilities/File Mgmt Software;Desktop Publishing;Other Software (inq. Games);Internet Services &amp; Software;Applications Software(Home);Applications Software(Business</v>
      </c>
    </row>
    <row r="548">
      <c r="A548" s="6" t="str">
        <v>037833</v>
      </c>
      <c r="B548" s="6" t="str">
        <v>United States</v>
      </c>
      <c r="C548" s="6" t="str">
        <v>Apple Inc</v>
      </c>
      <c r="D548" s="6" t="str">
        <v>Apple Inc</v>
      </c>
      <c r="F548" s="6" t="str">
        <v>United States</v>
      </c>
      <c r="G548" s="6" t="str">
        <v>Apple Inc</v>
      </c>
      <c r="H548" s="6" t="str">
        <v>Computer and Office Equipment</v>
      </c>
      <c r="I548" s="6" t="str">
        <v>037833</v>
      </c>
      <c r="J548" s="6" t="str">
        <v>Apple Inc</v>
      </c>
      <c r="K548" s="6" t="str">
        <v>Apple Inc</v>
      </c>
      <c r="L548" s="7">
        <f>=DATE(2016,5,31)</f>
        <v>42520.99949074074</v>
      </c>
      <c r="M548" s="7">
        <f>=DATE(2016,5,31)</f>
        <v>42520.99949074074</v>
      </c>
      <c r="N548" s="8">
        <v>6000</v>
      </c>
      <c r="O548" s="8">
        <v>6000</v>
      </c>
      <c r="P548" s="8" t="str">
        <v>559,404.36</v>
      </c>
      <c r="R548" s="8">
        <v>50678</v>
      </c>
      <c r="S548" s="8">
        <v>227535</v>
      </c>
      <c r="T548" s="8">
        <v>-13614</v>
      </c>
      <c r="U548" s="8">
        <v>-46888</v>
      </c>
      <c r="V548" s="8">
        <v>67527</v>
      </c>
      <c r="W548" s="6" t="str">
        <v>Mainframes &amp; Super Computers;Other Peripherals;Monitors/Terminals;Disk Drives;Other Software (inq. Games);Printers;Micro-Computers (PCs);Portable Computers</v>
      </c>
      <c r="X548" s="6" t="str">
        <v>Monitors/Terminals;Disk Drives;Micro-Computers (PCs);Other Software (inq. Games);Portable Computers;Mainframes &amp; Super Computers;Printers;Other Peripherals</v>
      </c>
      <c r="Y548" s="6" t="str">
        <v>Disk Drives;Mainframes &amp; Super Computers;Other Software (inq. Games);Printers;Other Peripherals;Micro-Computers (PCs);Portable Computers;Monitors/Terminals</v>
      </c>
      <c r="Z548" s="6" t="str">
        <v>Micro-Computers (PCs);Other Software (inq. Games);Portable Computers;Mainframes &amp; Super Computers;Disk Drives;Printers;Monitors/Terminals;Other Peripherals</v>
      </c>
      <c r="AA548" s="6" t="str">
        <v>Disk Drives;Micro-Computers (PCs);Other Peripherals;Portable Computers;Mainframes &amp; Super Computers;Printers;Monitors/Terminals;Other Software (inq. Games)</v>
      </c>
      <c r="AB548" s="6" t="str">
        <v>Mainframes &amp; Super Computers;Other Peripherals;Portable Computers;Printers;Micro-Computers (PCs);Monitors/Terminals;Other Software (inq. Games);Disk Drives</v>
      </c>
      <c r="AC548" s="8">
        <v>6000</v>
      </c>
      <c r="AD548" s="7">
        <f>=DATE(2016,5,31)</f>
        <v>42520.99949074074</v>
      </c>
      <c r="AF548" s="8" t="str">
        <v>559,404.36</v>
      </c>
      <c r="AG548" s="8" t="str">
        <v>559,404.36</v>
      </c>
    </row>
    <row r="549">
      <c r="A549" s="6" t="str">
        <v>73959W</v>
      </c>
      <c r="B549" s="6" t="str">
        <v>United States</v>
      </c>
      <c r="C549" s="6" t="str">
        <v>PowerSchool Group LLC</v>
      </c>
      <c r="D549" s="6" t="str">
        <v>PowerSchool Holdings Inc</v>
      </c>
      <c r="F549" s="6" t="str">
        <v>United States</v>
      </c>
      <c r="G549" s="6" t="str">
        <v>Haiku Learning Systems Inc</v>
      </c>
      <c r="H549" s="6" t="str">
        <v>Prepackaged Software</v>
      </c>
      <c r="I549" s="6" t="str">
        <v>6E8421</v>
      </c>
      <c r="J549" s="6" t="str">
        <v>Haiku Learning Systems Inc</v>
      </c>
      <c r="K549" s="6" t="str">
        <v>Haiku Learning Systems Inc</v>
      </c>
      <c r="L549" s="7">
        <f>=DATE(2016,6,6)</f>
        <v>42526.99949074074</v>
      </c>
      <c r="M549" s="7">
        <f>=DATE(2016,6,6)</f>
        <v>42526.99949074074</v>
      </c>
      <c r="W549" s="6" t="str">
        <v>Other Software (inq. Games)</v>
      </c>
      <c r="X549" s="6" t="str">
        <v>Communication/Network Software</v>
      </c>
      <c r="Y549" s="6" t="str">
        <v>Communication/Network Software</v>
      </c>
      <c r="Z549" s="6" t="str">
        <v>Communication/Network Software</v>
      </c>
      <c r="AA549" s="6" t="str">
        <v>Applications Software(Home);Other Software (inq. Games);Communication/Network Software;Utilities/File Mgmt Software;Primary Business not Hi-Tech;Internet Services &amp; Software;Applications Software(Business;Desktop Publishing</v>
      </c>
      <c r="AB549" s="6" t="str">
        <v>Internet Services &amp; Software;Communication/Network Software;Applications Software(Home);Applications Software(Business;Other Software (inq. Games);Desktop Publishing;Primary Business not Hi-Tech;Utilities/File Mgmt Software</v>
      </c>
    </row>
    <row r="550">
      <c r="A550" s="6" t="str">
        <v>594918</v>
      </c>
      <c r="B550" s="6" t="str">
        <v>United States</v>
      </c>
      <c r="C550" s="6" t="str">
        <v>Microsoft Corp</v>
      </c>
      <c r="D550" s="6" t="str">
        <v>Microsoft Corp</v>
      </c>
      <c r="F550" s="6" t="str">
        <v>United States</v>
      </c>
      <c r="G550" s="6" t="str">
        <v>LinkedIn Corp</v>
      </c>
      <c r="H550" s="6" t="str">
        <v>Business Services</v>
      </c>
      <c r="I550" s="6" t="str">
        <v>53578A</v>
      </c>
      <c r="J550" s="6" t="str">
        <v>LinkedIn Corp</v>
      </c>
      <c r="K550" s="6" t="str">
        <v>LinkedIn Corp</v>
      </c>
      <c r="L550" s="7">
        <f>=DATE(2016,6,13)</f>
        <v>42533.99949074074</v>
      </c>
      <c r="M550" s="7">
        <f>=DATE(2016,12,8)</f>
        <v>42711.99949074074</v>
      </c>
      <c r="N550" s="8">
        <v>26638.847</v>
      </c>
      <c r="O550" s="8">
        <v>26638.847</v>
      </c>
      <c r="P550" s="8" t="str">
        <v>24,420.47</v>
      </c>
      <c r="R550" s="8">
        <v>-167.638</v>
      </c>
      <c r="S550" s="8">
        <v>3213.874</v>
      </c>
      <c r="T550" s="8">
        <v>51.2</v>
      </c>
      <c r="U550" s="8">
        <v>-1204.8</v>
      </c>
      <c r="V550" s="8">
        <v>894.03</v>
      </c>
      <c r="W550" s="6" t="str">
        <v>Operating Systems;Other Peripherals;Monitors/Terminals;Applications Software(Business;Computer Consulting Services;Internet Services &amp; Software</v>
      </c>
      <c r="X550" s="6" t="str">
        <v>Internet Services &amp; Software</v>
      </c>
      <c r="Y550" s="6" t="str">
        <v>Internet Services &amp; Software</v>
      </c>
      <c r="Z550" s="6" t="str">
        <v>Internet Services &amp; Software</v>
      </c>
      <c r="AA550" s="6" t="str">
        <v>Internet Services &amp; Software;Other Peripherals;Operating Systems;Applications Software(Business;Computer Consulting Services;Monitors/Terminals</v>
      </c>
      <c r="AB550" s="6" t="str">
        <v>Computer Consulting Services;Monitors/Terminals;Other Peripherals;Applications Software(Business;Internet Services &amp; Software;Operating Systems</v>
      </c>
      <c r="AC550" s="8">
        <v>26638.847</v>
      </c>
      <c r="AD550" s="7">
        <f>=DATE(2016,6,13)</f>
        <v>42533.99949074074</v>
      </c>
      <c r="AE550" s="8">
        <v>26895.878912</v>
      </c>
      <c r="AF550" s="8" t="str">
        <v>24,617.47</v>
      </c>
      <c r="AG550" s="8" t="str">
        <v>24,393.15</v>
      </c>
    </row>
    <row r="551">
      <c r="A551" s="6" t="str">
        <v>6E8666</v>
      </c>
      <c r="B551" s="6" t="str">
        <v>United States</v>
      </c>
      <c r="C551" s="6" t="str">
        <v>Google Fiber Inc</v>
      </c>
      <c r="D551" s="6" t="str">
        <v>Alphabet Inc</v>
      </c>
      <c r="F551" s="6" t="str">
        <v>United States</v>
      </c>
      <c r="G551" s="6" t="str">
        <v>Webpass Inc</v>
      </c>
      <c r="H551" s="6" t="str">
        <v>Telecommunications</v>
      </c>
      <c r="I551" s="6" t="str">
        <v>6E8669</v>
      </c>
      <c r="J551" s="6" t="str">
        <v>Webpass Inc</v>
      </c>
      <c r="K551" s="6" t="str">
        <v>Webpass Inc</v>
      </c>
      <c r="L551" s="7">
        <f>=DATE(2016,6,22)</f>
        <v>42542.99949074074</v>
      </c>
      <c r="M551" s="7">
        <f>=DATE(2016,10,3)</f>
        <v>42645.99949074074</v>
      </c>
      <c r="W551" s="6" t="str">
        <v>Telecommunications Equipment</v>
      </c>
      <c r="X551" s="6" t="str">
        <v>Telecommunications Equipment</v>
      </c>
      <c r="Y551" s="6" t="str">
        <v>Telecommunications Equipment</v>
      </c>
      <c r="Z551" s="6" t="str">
        <v>Telecommunications Equipment</v>
      </c>
      <c r="AA551" s="6" t="str">
        <v>Programming Services;Internet Services &amp; Software</v>
      </c>
      <c r="AB551" s="6" t="str">
        <v>Telecommunications Equipment;Internet Services &amp; Software;Computer Consulting Services;Programming Services;Primary Business not Hi-Tech</v>
      </c>
    </row>
    <row r="552">
      <c r="A552" s="6" t="str">
        <v>38259P</v>
      </c>
      <c r="B552" s="6" t="str">
        <v>United States</v>
      </c>
      <c r="C552" s="6" t="str">
        <v>Google Inc</v>
      </c>
      <c r="D552" s="6" t="str">
        <v>Alphabet Inc</v>
      </c>
      <c r="F552" s="6" t="str">
        <v>United States</v>
      </c>
      <c r="G552" s="6" t="str">
        <v>Anvato Inc</v>
      </c>
      <c r="H552" s="6" t="str">
        <v>Prepackaged Software</v>
      </c>
      <c r="I552" s="6" t="str">
        <v>7E3034</v>
      </c>
      <c r="J552" s="6" t="str">
        <v>Anvato Inc</v>
      </c>
      <c r="K552" s="6" t="str">
        <v>Anvato Inc</v>
      </c>
      <c r="L552" s="7">
        <f>=DATE(2016,7,8)</f>
        <v>42558.99949074074</v>
      </c>
      <c r="M552" s="7">
        <f>=DATE(2016,7,8)</f>
        <v>42558.99949074074</v>
      </c>
      <c r="W552" s="6" t="str">
        <v>Internet Services &amp; Software;Programming Services</v>
      </c>
      <c r="X552" s="6" t="str">
        <v>Primary Business not Hi-Tech;Communication/Network Software</v>
      </c>
      <c r="Y552" s="6" t="str">
        <v>Communication/Network Software;Primary Business not Hi-Tech</v>
      </c>
      <c r="Z552" s="6" t="str">
        <v>Communication/Network Software;Primary Business not Hi-Tech</v>
      </c>
      <c r="AA552" s="6" t="str">
        <v>Primary Business not Hi-Tech;Programming Services;Telecommunications Equipment;Internet Services &amp; Software;Computer Consulting Services</v>
      </c>
      <c r="AB552" s="6" t="str">
        <v>Telecommunications Equipment;Programming Services;Computer Consulting Services;Primary Business not Hi-Tech;Internet Services &amp; Software</v>
      </c>
    </row>
    <row r="553">
      <c r="A553" s="6" t="str">
        <v>38259P</v>
      </c>
      <c r="B553" s="6" t="str">
        <v>United States</v>
      </c>
      <c r="C553" s="6" t="str">
        <v>Google Inc</v>
      </c>
      <c r="D553" s="6" t="str">
        <v>Alphabet Inc</v>
      </c>
      <c r="F553" s="6" t="str">
        <v>United States</v>
      </c>
      <c r="G553" s="6" t="str">
        <v>FortyTwo Inc</v>
      </c>
      <c r="H553" s="6" t="str">
        <v>Prepackaged Software</v>
      </c>
      <c r="I553" s="6" t="str">
        <v>9E1083</v>
      </c>
      <c r="J553" s="6" t="str">
        <v>FortyTwo Inc</v>
      </c>
      <c r="K553" s="6" t="str">
        <v>FortyTwo Inc</v>
      </c>
      <c r="L553" s="7">
        <f>=DATE(2016,7,12)</f>
        <v>42562.99949074074</v>
      </c>
      <c r="M553" s="7">
        <f>=DATE(2016,7,12)</f>
        <v>42562.99949074074</v>
      </c>
      <c r="W553" s="6" t="str">
        <v>Programming Services;Internet Services &amp; Software</v>
      </c>
      <c r="X553" s="6" t="str">
        <v>Communication/Network Software;Programming Services</v>
      </c>
      <c r="Y553" s="6" t="str">
        <v>Programming Services;Communication/Network Software</v>
      </c>
      <c r="Z553" s="6" t="str">
        <v>Communication/Network Software;Programming Services</v>
      </c>
      <c r="AA553" s="6" t="str">
        <v>Programming Services;Primary Business not Hi-Tech;Internet Services &amp; Software;Telecommunications Equipment;Computer Consulting Services</v>
      </c>
      <c r="AB553" s="6" t="str">
        <v>Internet Services &amp; Software;Primary Business not Hi-Tech;Telecommunications Equipment;Computer Consulting Services;Programming Services</v>
      </c>
    </row>
    <row r="554">
      <c r="A554" s="6" t="str">
        <v>023135</v>
      </c>
      <c r="B554" s="6" t="str">
        <v>United States</v>
      </c>
      <c r="C554" s="6" t="str">
        <v>Amazon.com Inc</v>
      </c>
      <c r="D554" s="6" t="str">
        <v>Amazon.com Inc</v>
      </c>
      <c r="F554" s="6" t="str">
        <v>United States</v>
      </c>
      <c r="G554" s="6" t="str">
        <v>Cloud9 IDE Inc</v>
      </c>
      <c r="H554" s="6" t="str">
        <v>Prepackaged Software</v>
      </c>
      <c r="I554" s="6" t="str">
        <v>9E0142</v>
      </c>
      <c r="J554" s="6" t="str">
        <v>Cloud9 IDE Inc</v>
      </c>
      <c r="K554" s="6" t="str">
        <v>Cloud9 IDE Inc</v>
      </c>
      <c r="L554" s="7">
        <f>=DATE(2016,7,14)</f>
        <v>42564.99949074074</v>
      </c>
      <c r="M554" s="7">
        <f>=DATE(2016,7,14)</f>
        <v>42564.99949074074</v>
      </c>
      <c r="W554" s="6" t="str">
        <v>Primary Business not Hi-Tech</v>
      </c>
      <c r="X554" s="6" t="str">
        <v>Programming Services;Communication/Network Software</v>
      </c>
      <c r="Y554" s="6" t="str">
        <v>Communication/Network Software;Programming Services</v>
      </c>
      <c r="Z554" s="6" t="str">
        <v>Programming Services;Communication/Network Software</v>
      </c>
      <c r="AA554" s="6" t="str">
        <v>Primary Business not Hi-Tech</v>
      </c>
      <c r="AB554" s="6" t="str">
        <v>Primary Business not Hi-Tech</v>
      </c>
    </row>
    <row r="555">
      <c r="A555" s="6" t="str">
        <v>67020Y</v>
      </c>
      <c r="B555" s="6" t="str">
        <v>United States</v>
      </c>
      <c r="C555" s="6" t="str">
        <v>Nuance Communications Inc</v>
      </c>
      <c r="D555" s="6" t="str">
        <v>Nuance Communications Inc</v>
      </c>
      <c r="F555" s="6" t="str">
        <v>United States</v>
      </c>
      <c r="G555" s="6" t="str">
        <v>TouchCommerce Inc</v>
      </c>
      <c r="H555" s="6" t="str">
        <v>Prepackaged Software</v>
      </c>
      <c r="I555" s="6" t="str">
        <v>7E5310</v>
      </c>
      <c r="J555" s="6" t="str">
        <v>TouchCommerce Inc</v>
      </c>
      <c r="K555" s="6" t="str">
        <v>TouchCommerce Inc</v>
      </c>
      <c r="L555" s="7">
        <f>=DATE(2016,7,20)</f>
        <v>42570.99949074074</v>
      </c>
      <c r="M555" s="7">
        <f>=DATE(2016,8,16)</f>
        <v>42597.99949074074</v>
      </c>
      <c r="N555" s="8">
        <v>215</v>
      </c>
      <c r="O555" s="8">
        <v>215</v>
      </c>
      <c r="S555" s="8">
        <v>12.138</v>
      </c>
      <c r="W555" s="6" t="str">
        <v>Applications Software(Home);Other Computer Related Svcs;Utilities/File Mgmt Software;Internet Services &amp; Software;Desktop Publishing;Computer Consulting Services;Communication/Network Software;Programming Services;Networking Systems (LAN,WAN);Applications Software(Business;Primary Business not Hi-Tech;Other Software (inq. Games);Database Software/Programming</v>
      </c>
      <c r="X555" s="6" t="str">
        <v>Communication/Network Software;Internet Services &amp; Software</v>
      </c>
      <c r="Y555" s="6" t="str">
        <v>Internet Services &amp; Software;Communication/Network Software</v>
      </c>
      <c r="Z555" s="6" t="str">
        <v>Communication/Network Software;Internet Services &amp; Software</v>
      </c>
      <c r="AA555" s="6" t="str">
        <v>Networking Systems (LAN,WAN);Database Software/Programming;Computer Consulting Services;Other Computer Related Svcs;Desktop Publishing;Applications Software(Home);Primary Business not Hi-Tech;Applications Software(Business;Communication/Network Software;Other Software (inq. Games);Utilities/File Mgmt Software;Programming Services;Internet Services &amp; Software</v>
      </c>
      <c r="AB555" s="6" t="str">
        <v>Other Computer Related Svcs;Applications Software(Business;Applications Software(Home);Programming Services;Desktop Publishing;Database Software/Programming;Computer Consulting Services;Primary Business not Hi-Tech;Utilities/File Mgmt Software;Communication/Network Software;Networking Systems (LAN,WAN);Internet Services &amp; Software;Other Software (inq. Games)</v>
      </c>
      <c r="AC555" s="8">
        <v>215</v>
      </c>
      <c r="AD555" s="7">
        <f>=DATE(2016,7,20)</f>
        <v>42570.99949074074</v>
      </c>
    </row>
    <row r="556">
      <c r="A556" s="6" t="str">
        <v>53578A</v>
      </c>
      <c r="B556" s="6" t="str">
        <v>United States</v>
      </c>
      <c r="C556" s="6" t="str">
        <v>LinkedIn Corp</v>
      </c>
      <c r="D556" s="6" t="str">
        <v>LinkedIn Corp</v>
      </c>
      <c r="F556" s="6" t="str">
        <v>United States</v>
      </c>
      <c r="G556" s="6" t="str">
        <v>PointDrive Holdings LLC</v>
      </c>
      <c r="H556" s="6" t="str">
        <v>Prepackaged Software</v>
      </c>
      <c r="I556" s="6" t="str">
        <v>8E2769</v>
      </c>
      <c r="J556" s="6" t="str">
        <v>PointDrive Holdings LLC</v>
      </c>
      <c r="K556" s="6" t="str">
        <v>PointDrive Holdings LLC</v>
      </c>
      <c r="L556" s="7">
        <f>=DATE(2016,7,22)</f>
        <v>42572.99949074074</v>
      </c>
      <c r="M556" s="7">
        <f>=DATE(2016,7,22)</f>
        <v>42572.99949074074</v>
      </c>
      <c r="W556" s="6" t="str">
        <v>Internet Services &amp; Software</v>
      </c>
      <c r="X556" s="6" t="str">
        <v>Other Software (inq. Games)</v>
      </c>
      <c r="Y556" s="6" t="str">
        <v>Other Software (inq. Games)</v>
      </c>
      <c r="Z556" s="6" t="str">
        <v>Other Software (inq. Games)</v>
      </c>
      <c r="AA556" s="6" t="str">
        <v>Internet Services &amp; Software</v>
      </c>
      <c r="AB556" s="6" t="str">
        <v>Internet Services &amp; Software</v>
      </c>
    </row>
    <row r="557">
      <c r="A557" s="6" t="str">
        <v>037833</v>
      </c>
      <c r="B557" s="6" t="str">
        <v>United States</v>
      </c>
      <c r="C557" s="6" t="str">
        <v>Apple Inc</v>
      </c>
      <c r="D557" s="6" t="str">
        <v>Apple Inc</v>
      </c>
      <c r="F557" s="6" t="str">
        <v>United States</v>
      </c>
      <c r="G557" s="6" t="str">
        <v>Booklamp</v>
      </c>
      <c r="H557" s="6" t="str">
        <v>Prepackaged Software</v>
      </c>
      <c r="I557" s="6" t="str">
        <v>0L2663</v>
      </c>
      <c r="J557" s="6" t="str">
        <v>Booklamp</v>
      </c>
      <c r="K557" s="6" t="str">
        <v>Booklamp</v>
      </c>
      <c r="L557" s="7">
        <f>=DATE(2016,7,26)</f>
        <v>42576.99949074074</v>
      </c>
      <c r="M557" s="7">
        <f>=DATE(2016,7,26)</f>
        <v>42576.99949074074</v>
      </c>
      <c r="W557" s="6" t="str">
        <v>Other Peripherals;Disk Drives;Portable Computers;Monitors/Terminals;Mainframes &amp; Super Computers;Other Software (inq. Games);Micro-Computers (PCs);Printers</v>
      </c>
      <c r="X557" s="6" t="str">
        <v>Communication/Network Software;Applications Software(Home);Desktop Publishing;Internet Services &amp; Software;Other Software (inq. Games);Utilities/File Mgmt Software;Applications Software(Business</v>
      </c>
      <c r="Y557" s="6" t="str">
        <v>Applications Software(Home);Other Software (inq. Games);Applications Software(Business;Communication/Network Software;Desktop Publishing;Internet Services &amp; Software;Utilities/File Mgmt Software</v>
      </c>
      <c r="Z557" s="6" t="str">
        <v>Communication/Network Software;Internet Services &amp; Software;Utilities/File Mgmt Software;Desktop Publishing;Applications Software(Home);Other Software (inq. Games);Applications Software(Business</v>
      </c>
      <c r="AA557" s="6" t="str">
        <v>Printers;Other Peripherals;Portable Computers;Disk Drives;Other Software (inq. Games);Mainframes &amp; Super Computers;Monitors/Terminals;Micro-Computers (PCs)</v>
      </c>
      <c r="AB557" s="6" t="str">
        <v>Printers;Mainframes &amp; Super Computers;Other Software (inq. Games);Monitors/Terminals;Other Peripherals;Micro-Computers (PCs);Disk Drives;Portable Computers</v>
      </c>
    </row>
    <row r="558">
      <c r="A558" s="6" t="str">
        <v>037833</v>
      </c>
      <c r="B558" s="6" t="str">
        <v>United States</v>
      </c>
      <c r="C558" s="6" t="str">
        <v>Apple Inc</v>
      </c>
      <c r="D558" s="6" t="str">
        <v>Apple Inc</v>
      </c>
      <c r="F558" s="6" t="str">
        <v>United States</v>
      </c>
      <c r="G558" s="6" t="str">
        <v>Apple Inc</v>
      </c>
      <c r="H558" s="6" t="str">
        <v>Computer and Office Equipment</v>
      </c>
      <c r="I558" s="6" t="str">
        <v>037833</v>
      </c>
      <c r="J558" s="6" t="str">
        <v>Apple Inc</v>
      </c>
      <c r="K558" s="6" t="str">
        <v>Apple Inc</v>
      </c>
      <c r="L558" s="7">
        <f>=DATE(2016,8,1)</f>
        <v>42582.99949074074</v>
      </c>
      <c r="M558" s="7">
        <f>=DATE(2016,11,1)</f>
        <v>42674.99949074074</v>
      </c>
      <c r="N558" s="8">
        <v>3000</v>
      </c>
      <c r="O558" s="8">
        <v>3000</v>
      </c>
      <c r="P558" s="8" t="str">
        <v>625,239.67</v>
      </c>
      <c r="R558" s="8">
        <v>47797</v>
      </c>
      <c r="S558" s="8">
        <v>220288</v>
      </c>
      <c r="T558" s="8">
        <v>-20300</v>
      </c>
      <c r="U558" s="8">
        <v>-39955</v>
      </c>
      <c r="V558" s="8">
        <v>63173</v>
      </c>
      <c r="W558" s="6" t="str">
        <v>Monitors/Terminals;Printers;Other Software (inq. Games);Mainframes &amp; Super Computers;Micro-Computers (PCs);Portable Computers;Disk Drives;Other Peripherals</v>
      </c>
      <c r="X558" s="6" t="str">
        <v>Printers;Mainframes &amp; Super Computers;Other Software (inq. Games);Monitors/Terminals;Micro-Computers (PCs);Portable Computers;Other Peripherals;Disk Drives</v>
      </c>
      <c r="Y558" s="6" t="str">
        <v>Monitors/Terminals;Portable Computers;Disk Drives;Micro-Computers (PCs);Mainframes &amp; Super Computers;Other Peripherals;Printers;Other Software (inq. Games)</v>
      </c>
      <c r="Z558" s="6" t="str">
        <v>Micro-Computers (PCs);Other Peripherals;Printers;Mainframes &amp; Super Computers;Portable Computers;Other Software (inq. Games);Disk Drives;Monitors/Terminals</v>
      </c>
      <c r="AA558" s="6" t="str">
        <v>Other Software (inq. Games);Other Peripherals;Portable Computers;Mainframes &amp; Super Computers;Micro-Computers (PCs);Monitors/Terminals;Printers;Disk Drives</v>
      </c>
      <c r="AB558" s="6" t="str">
        <v>Printers;Portable Computers;Micro-Computers (PCs);Other Peripherals;Other Software (inq. Games);Mainframes &amp; Super Computers;Monitors/Terminals;Disk Drives</v>
      </c>
      <c r="AC558" s="8">
        <v>3000</v>
      </c>
      <c r="AD558" s="7">
        <f>=DATE(2016,8,1)</f>
        <v>42582.99949074074</v>
      </c>
      <c r="AF558" s="8" t="str">
        <v>625,239.67</v>
      </c>
      <c r="AG558" s="8" t="str">
        <v>625,239.67</v>
      </c>
    </row>
    <row r="559">
      <c r="A559" s="6" t="str">
        <v>67020Y</v>
      </c>
      <c r="B559" s="6" t="str">
        <v>United States</v>
      </c>
      <c r="C559" s="6" t="str">
        <v>Nuance Communications Inc</v>
      </c>
      <c r="D559" s="6" t="str">
        <v>Nuance Communications Inc</v>
      </c>
      <c r="F559" s="6" t="str">
        <v>United States</v>
      </c>
      <c r="G559" s="6" t="str">
        <v>Montage Healthcare Solutions Inc</v>
      </c>
      <c r="H559" s="6" t="str">
        <v>Prepackaged Software</v>
      </c>
      <c r="I559" s="6" t="str">
        <v>60616V</v>
      </c>
      <c r="J559" s="6" t="str">
        <v>Montage Healthcare Solutions Inc</v>
      </c>
      <c r="K559" s="6" t="str">
        <v>Montage Healthcare Solutions Inc</v>
      </c>
      <c r="L559" s="7">
        <f>=DATE(2016,8,3)</f>
        <v>42584.99949074074</v>
      </c>
      <c r="M559" s="7">
        <f>=DATE(2016,8,3)</f>
        <v>42584.99949074074</v>
      </c>
      <c r="W559" s="6" t="str">
        <v>Database Software/Programming;Other Computer Related Svcs;Internet Services &amp; Software;Primary Business not Hi-Tech;Other Software (inq. Games);Applications Software(Business;Desktop Publishing;Computer Consulting Services;Networking Systems (LAN,WAN);Applications Software(Home);Utilities/File Mgmt Software;Programming Services;Communication/Network Software</v>
      </c>
      <c r="X559" s="6" t="str">
        <v>Internet Services &amp; Software</v>
      </c>
      <c r="Y559" s="6" t="str">
        <v>Internet Services &amp; Software</v>
      </c>
      <c r="Z559" s="6" t="str">
        <v>Internet Services &amp; Software</v>
      </c>
      <c r="AA559" s="6" t="str">
        <v>Computer Consulting Services;Primary Business not Hi-Tech;Other Computer Related Svcs;Desktop Publishing;Applications Software(Business;Other Software (inq. Games);Internet Services &amp; Software;Programming Services;Communication/Network Software;Applications Software(Home);Database Software/Programming;Utilities/File Mgmt Software;Networking Systems (LAN,WAN)</v>
      </c>
      <c r="AB559" s="6" t="str">
        <v>Communication/Network Software;Programming Services;Networking Systems (LAN,WAN);Utilities/File Mgmt Software;Desktop Publishing;Applications Software(Business;Database Software/Programming;Other Software (inq. Games);Internet Services &amp; Software;Applications Software(Home);Computer Consulting Services;Primary Business not Hi-Tech;Other Computer Related Svcs</v>
      </c>
    </row>
    <row r="560">
      <c r="A560" s="6" t="str">
        <v>037833</v>
      </c>
      <c r="B560" s="6" t="str">
        <v>United States</v>
      </c>
      <c r="C560" s="6" t="str">
        <v>Apple Inc</v>
      </c>
      <c r="D560" s="6" t="str">
        <v>Apple Inc</v>
      </c>
      <c r="F560" s="6" t="str">
        <v>United States</v>
      </c>
      <c r="G560" s="6" t="str">
        <v>Turi</v>
      </c>
      <c r="H560" s="6" t="str">
        <v>Prepackaged Software</v>
      </c>
      <c r="I560" s="6" t="str">
        <v>7E9472</v>
      </c>
      <c r="J560" s="6" t="str">
        <v>Turi</v>
      </c>
      <c r="K560" s="6" t="str">
        <v>Turi</v>
      </c>
      <c r="L560" s="7">
        <f>=DATE(2016,8,8)</f>
        <v>42589.99949074074</v>
      </c>
      <c r="M560" s="7">
        <f>=DATE(2016,8,8)</f>
        <v>42589.99949074074</v>
      </c>
      <c r="W560" s="6" t="str">
        <v>Printers;Other Software (inq. Games);Monitors/Terminals;Other Peripherals;Micro-Computers (PCs);Portable Computers;Disk Drives;Mainframes &amp; Super Computers</v>
      </c>
      <c r="X560" s="6" t="str">
        <v>Other Software (inq. Games)</v>
      </c>
      <c r="Y560" s="6" t="str">
        <v>Other Software (inq. Games)</v>
      </c>
      <c r="Z560" s="6" t="str">
        <v>Other Software (inq. Games)</v>
      </c>
      <c r="AA560" s="6" t="str">
        <v>Disk Drives;Mainframes &amp; Super Computers;Monitors/Terminals;Portable Computers;Other Software (inq. Games);Printers;Other Peripherals;Micro-Computers (PCs)</v>
      </c>
      <c r="AB560" s="6" t="str">
        <v>Printers;Micro-Computers (PCs);Other Peripherals;Mainframes &amp; Super Computers;Disk Drives;Portable Computers;Other Software (inq. Games);Monitors/Terminals</v>
      </c>
    </row>
    <row r="561">
      <c r="A561" s="6" t="str">
        <v>38259P</v>
      </c>
      <c r="B561" s="6" t="str">
        <v>United States</v>
      </c>
      <c r="C561" s="6" t="str">
        <v>Google Inc</v>
      </c>
      <c r="D561" s="6" t="str">
        <v>Alphabet Inc</v>
      </c>
      <c r="F561" s="6" t="str">
        <v>United States</v>
      </c>
      <c r="G561" s="6" t="str">
        <v>Orbitera Inc</v>
      </c>
      <c r="H561" s="6" t="str">
        <v>Business Services</v>
      </c>
      <c r="I561" s="6" t="str">
        <v>8E2750</v>
      </c>
      <c r="J561" s="6" t="str">
        <v>Orbitera Inc</v>
      </c>
      <c r="K561" s="6" t="str">
        <v>Orbitera Inc</v>
      </c>
      <c r="L561" s="7">
        <f>=DATE(2016,8,8)</f>
        <v>42589.99949074074</v>
      </c>
      <c r="M561" s="7">
        <f>=DATE(2016,8,8)</f>
        <v>42589.99949074074</v>
      </c>
      <c r="W561" s="6" t="str">
        <v>Internet Services &amp; Software;Programming Services</v>
      </c>
      <c r="X561" s="6" t="str">
        <v>Internet Services &amp; Software</v>
      </c>
      <c r="Y561" s="6" t="str">
        <v>Internet Services &amp; Software</v>
      </c>
      <c r="Z561" s="6" t="str">
        <v>Internet Services &amp; Software</v>
      </c>
      <c r="AA561" s="6" t="str">
        <v>Internet Services &amp; Software;Computer Consulting Services;Programming Services;Primary Business not Hi-Tech;Telecommunications Equipment</v>
      </c>
      <c r="AB561" s="6" t="str">
        <v>Telecommunications Equipment;Computer Consulting Services;Primary Business not Hi-Tech;Programming Services;Internet Services &amp; Software</v>
      </c>
    </row>
    <row r="562">
      <c r="A562" s="6" t="str">
        <v>594918</v>
      </c>
      <c r="B562" s="6" t="str">
        <v>United States</v>
      </c>
      <c r="C562" s="6" t="str">
        <v>Microsoft Corp</v>
      </c>
      <c r="D562" s="6" t="str">
        <v>Microsoft Corp</v>
      </c>
      <c r="F562" s="6" t="str">
        <v>United States</v>
      </c>
      <c r="G562" s="6" t="str">
        <v>Beam</v>
      </c>
      <c r="H562" s="6" t="str">
        <v>Business Services</v>
      </c>
      <c r="I562" s="6" t="str">
        <v>7E9836</v>
      </c>
      <c r="J562" s="6" t="str">
        <v>Beam</v>
      </c>
      <c r="K562" s="6" t="str">
        <v>Beam</v>
      </c>
      <c r="L562" s="7">
        <f>=DATE(2016,8,12)</f>
        <v>42593.99949074074</v>
      </c>
      <c r="M562" s="7">
        <f>=DATE(2016,8,12)</f>
        <v>42593.99949074074</v>
      </c>
      <c r="W562" s="6" t="str">
        <v>Applications Software(Business;Computer Consulting Services;Operating Systems;Other Peripherals;Internet Services &amp; Software;Monitors/Terminals</v>
      </c>
      <c r="X562" s="6" t="str">
        <v>Internet Services &amp; Software;Applications Software(Home);Programming Services;Applications Software(Business</v>
      </c>
      <c r="Y562" s="6" t="str">
        <v>Applications Software(Home);Applications Software(Business;Internet Services &amp; Software;Programming Services</v>
      </c>
      <c r="Z562" s="6" t="str">
        <v>Internet Services &amp; Software;Applications Software(Business;Programming Services;Applications Software(Home)</v>
      </c>
      <c r="AA562" s="6" t="str">
        <v>Monitors/Terminals;Applications Software(Business;Other Peripherals;Computer Consulting Services;Internet Services &amp; Software;Operating Systems</v>
      </c>
      <c r="AB562" s="6" t="str">
        <v>Computer Consulting Services;Monitors/Terminals;Internet Services &amp; Software;Other Peripherals;Applications Software(Business;Operating Systems</v>
      </c>
    </row>
    <row r="563">
      <c r="A563" s="6" t="str">
        <v>0C6551</v>
      </c>
      <c r="B563" s="6" t="str">
        <v>United States</v>
      </c>
      <c r="C563" s="6" t="str">
        <v>Twitch Interactive Inc</v>
      </c>
      <c r="D563" s="6" t="str">
        <v>Amazon.com Inc</v>
      </c>
      <c r="F563" s="6" t="str">
        <v>United States</v>
      </c>
      <c r="G563" s="6" t="str">
        <v>Curse Inc</v>
      </c>
      <c r="H563" s="6" t="str">
        <v>Prepackaged Software</v>
      </c>
      <c r="I563" s="6" t="str">
        <v>8E0356</v>
      </c>
      <c r="J563" s="6" t="str">
        <v>Curse Inc</v>
      </c>
      <c r="K563" s="6" t="str">
        <v>Curse Inc</v>
      </c>
      <c r="L563" s="7">
        <f>=DATE(2016,8,16)</f>
        <v>42597.99949074074</v>
      </c>
      <c r="M563" s="7">
        <f>=DATE(2016,8,16)</f>
        <v>42597.99949074074</v>
      </c>
      <c r="S563" s="8">
        <v>19.859</v>
      </c>
      <c r="W563" s="6" t="str">
        <v>Internet Services &amp; Software</v>
      </c>
      <c r="X563" s="6" t="str">
        <v>Communication/Network Software;Primary Business not Hi-Tech</v>
      </c>
      <c r="Y563" s="6" t="str">
        <v>Primary Business not Hi-Tech;Communication/Network Software</v>
      </c>
      <c r="Z563" s="6" t="str">
        <v>Primary Business not Hi-Tech;Communication/Network Software</v>
      </c>
      <c r="AA563" s="6" t="str">
        <v>Primary Business not Hi-Tech</v>
      </c>
      <c r="AB563" s="6" t="str">
        <v>Primary Business not Hi-Tech</v>
      </c>
    </row>
    <row r="564">
      <c r="A564" s="6" t="str">
        <v>037833</v>
      </c>
      <c r="B564" s="6" t="str">
        <v>United States</v>
      </c>
      <c r="C564" s="6" t="str">
        <v>Apple Inc</v>
      </c>
      <c r="D564" s="6" t="str">
        <v>Apple Inc</v>
      </c>
      <c r="F564" s="6" t="str">
        <v>United States</v>
      </c>
      <c r="G564" s="6" t="str">
        <v>Gliimpse</v>
      </c>
      <c r="H564" s="6" t="str">
        <v>Prepackaged Software</v>
      </c>
      <c r="I564" s="6" t="str">
        <v>0L2629</v>
      </c>
      <c r="J564" s="6" t="str">
        <v>Gliimpse</v>
      </c>
      <c r="K564" s="6" t="str">
        <v>Gliimpse</v>
      </c>
      <c r="L564" s="7">
        <f>=DATE(2016,8,22)</f>
        <v>42603.99949074074</v>
      </c>
      <c r="M564" s="7">
        <f>=DATE(2016,8,22)</f>
        <v>42603.99949074074</v>
      </c>
      <c r="W564" s="6" t="str">
        <v>Other Peripherals;Printers;Disk Drives;Monitors/Terminals;Micro-Computers (PCs);Portable Computers;Mainframes &amp; Super Computers;Other Software (inq. Games)</v>
      </c>
      <c r="X564" s="6" t="str">
        <v>Applications Software(Home);Other Software (inq. Games);Desktop Publishing;Internet Services &amp; Software;Communication/Network Software;Applications Software(Business;Utilities/File Mgmt Software</v>
      </c>
      <c r="Y564" s="6" t="str">
        <v>Internet Services &amp; Software;Desktop Publishing;Utilities/File Mgmt Software;Communication/Network Software;Applications Software(Business;Applications Software(Home);Other Software (inq. Games)</v>
      </c>
      <c r="Z564" s="6" t="str">
        <v>Utilities/File Mgmt Software;Applications Software(Home);Applications Software(Business;Communication/Network Software;Other Software (inq. Games);Desktop Publishing;Internet Services &amp; Software</v>
      </c>
      <c r="AA564" s="6" t="str">
        <v>Other Software (inq. Games);Micro-Computers (PCs);Printers;Mainframes &amp; Super Computers;Portable Computers;Disk Drives;Other Peripherals;Monitors/Terminals</v>
      </c>
      <c r="AB564" s="6" t="str">
        <v>Other Peripherals;Disk Drives;Micro-Computers (PCs);Monitors/Terminals;Portable Computers;Other Software (inq. Games);Mainframes &amp; Super Computers;Printers</v>
      </c>
    </row>
    <row r="565">
      <c r="A565" s="6" t="str">
        <v>38259P</v>
      </c>
      <c r="B565" s="6" t="str">
        <v>United States</v>
      </c>
      <c r="C565" s="6" t="str">
        <v>Google Inc</v>
      </c>
      <c r="D565" s="6" t="str">
        <v>Alphabet Inc</v>
      </c>
      <c r="F565" s="6" t="str">
        <v>United States</v>
      </c>
      <c r="G565" s="6" t="str">
        <v>Apigee Corp</v>
      </c>
      <c r="H565" s="6" t="str">
        <v>Prepackaged Software</v>
      </c>
      <c r="I565" s="6" t="str">
        <v>03765N</v>
      </c>
      <c r="J565" s="6" t="str">
        <v>Apigee Corp</v>
      </c>
      <c r="K565" s="6" t="str">
        <v>Apigee Corp</v>
      </c>
      <c r="L565" s="7">
        <f>=DATE(2016,9,8)</f>
        <v>42620.99949074074</v>
      </c>
      <c r="M565" s="7">
        <f>=DATE(2016,11,10)</f>
        <v>42683.99949074074</v>
      </c>
      <c r="N565" s="8">
        <v>624.326</v>
      </c>
      <c r="O565" s="8">
        <v>624.326</v>
      </c>
      <c r="P565" s="8" t="str">
        <v>513.47</v>
      </c>
      <c r="R565" s="8">
        <v>-41.512</v>
      </c>
      <c r="S565" s="8">
        <v>92.027</v>
      </c>
      <c r="T565" s="8">
        <v>0.677</v>
      </c>
      <c r="U565" s="8">
        <v>-0.241</v>
      </c>
      <c r="V565" s="8">
        <v>-21.695</v>
      </c>
      <c r="W565" s="6" t="str">
        <v>Programming Services;Internet Services &amp; Software</v>
      </c>
      <c r="X565" s="6" t="str">
        <v>Programming Services;Internet Services &amp; Software;Applications Software(Business</v>
      </c>
      <c r="Y565" s="6" t="str">
        <v>Internet Services &amp; Software;Applications Software(Business;Programming Services</v>
      </c>
      <c r="Z565" s="6" t="str">
        <v>Internet Services &amp; Software;Programming Services;Applications Software(Business</v>
      </c>
      <c r="AA565" s="6" t="str">
        <v>Internet Services &amp; Software;Computer Consulting Services;Primary Business not Hi-Tech;Programming Services;Telecommunications Equipment</v>
      </c>
      <c r="AB565" s="6" t="str">
        <v>Computer Consulting Services;Primary Business not Hi-Tech;Internet Services &amp; Software;Programming Services;Telecommunications Equipment</v>
      </c>
      <c r="AC565" s="8">
        <v>624.326</v>
      </c>
      <c r="AD565" s="7">
        <f>=DATE(2016,9,8)</f>
        <v>42620.99949074074</v>
      </c>
      <c r="AE565" s="8">
        <v>653.2884636</v>
      </c>
      <c r="AF565" s="8" t="str">
        <v>513.88</v>
      </c>
      <c r="AG565" s="8" t="str">
        <v>513.47</v>
      </c>
    </row>
    <row r="566">
      <c r="A566" s="6" t="str">
        <v>38259P</v>
      </c>
      <c r="B566" s="6" t="str">
        <v>United States</v>
      </c>
      <c r="C566" s="6" t="str">
        <v>Google Inc</v>
      </c>
      <c r="D566" s="6" t="str">
        <v>Alphabet Inc</v>
      </c>
      <c r="F566" s="6" t="str">
        <v>United States</v>
      </c>
      <c r="G566" s="6" t="str">
        <v>Urban Engines Inc</v>
      </c>
      <c r="H566" s="6" t="str">
        <v>Prepackaged Software</v>
      </c>
      <c r="I566" s="6" t="str">
        <v>9E1906</v>
      </c>
      <c r="J566" s="6" t="str">
        <v>Urban Engines Inc</v>
      </c>
      <c r="K566" s="6" t="str">
        <v>Urban Engines Inc</v>
      </c>
      <c r="L566" s="7">
        <f>=DATE(2016,9,16)</f>
        <v>42628.99949074074</v>
      </c>
      <c r="M566" s="7">
        <f>=DATE(2016,9,16)</f>
        <v>42628.99949074074</v>
      </c>
      <c r="W566" s="6" t="str">
        <v>Programming Services;Internet Services &amp; Software</v>
      </c>
      <c r="X566" s="6" t="str">
        <v>Applications Software(Business</v>
      </c>
      <c r="Y566" s="6" t="str">
        <v>Applications Software(Business</v>
      </c>
      <c r="Z566" s="6" t="str">
        <v>Applications Software(Business</v>
      </c>
      <c r="AA566" s="6" t="str">
        <v>Programming Services;Primary Business not Hi-Tech;Internet Services &amp; Software;Telecommunications Equipment;Computer Consulting Services</v>
      </c>
      <c r="AB566" s="6" t="str">
        <v>Computer Consulting Services;Programming Services;Primary Business not Hi-Tech;Internet Services &amp; Software;Telecommunications Equipment</v>
      </c>
    </row>
    <row r="567">
      <c r="A567" s="6" t="str">
        <v>30303M</v>
      </c>
      <c r="B567" s="6" t="str">
        <v>United States</v>
      </c>
      <c r="C567" s="6" t="str">
        <v>Facebook Inc</v>
      </c>
      <c r="D567" s="6" t="str">
        <v>Facebook Inc</v>
      </c>
      <c r="F567" s="6" t="str">
        <v>United States</v>
      </c>
      <c r="G567" s="6" t="str">
        <v>Nascent Objects Inc</v>
      </c>
      <c r="H567" s="6" t="str">
        <v>Electronic and Electrical Equipment</v>
      </c>
      <c r="I567" s="6" t="str">
        <v>9E2028</v>
      </c>
      <c r="J567" s="6" t="str">
        <v>Nascent Objects Inc</v>
      </c>
      <c r="K567" s="6" t="str">
        <v>Nascent Objects Inc</v>
      </c>
      <c r="L567" s="7">
        <f>=DATE(2016,9,19)</f>
        <v>42631.99949074074</v>
      </c>
      <c r="M567" s="7">
        <f>=DATE(2016,9,20)</f>
        <v>42632.99949074074</v>
      </c>
      <c r="W567" s="6" t="str">
        <v>Internet Services &amp; Software</v>
      </c>
      <c r="X567" s="6" t="str">
        <v>Lasers(Excluding Medical);Primary Business not Hi-Tech;Robotics</v>
      </c>
      <c r="Y567" s="6" t="str">
        <v>Primary Business not Hi-Tech;Lasers(Excluding Medical);Robotics</v>
      </c>
      <c r="Z567" s="6" t="str">
        <v>Robotics;Lasers(Excluding Medical);Primary Business not Hi-Tech</v>
      </c>
      <c r="AA567" s="6" t="str">
        <v>Internet Services &amp; Software</v>
      </c>
      <c r="AB567" s="6" t="str">
        <v>Internet Services &amp; Software</v>
      </c>
    </row>
    <row r="568">
      <c r="A568" s="6" t="str">
        <v>594918</v>
      </c>
      <c r="B568" s="6" t="str">
        <v>United States</v>
      </c>
      <c r="C568" s="6" t="str">
        <v>Microsoft Corp</v>
      </c>
      <c r="D568" s="6" t="str">
        <v>Microsoft Corp</v>
      </c>
      <c r="F568" s="6" t="str">
        <v>United States</v>
      </c>
      <c r="G568" s="6" t="str">
        <v>Microsoft Corp</v>
      </c>
      <c r="H568" s="6" t="str">
        <v>Prepackaged Software</v>
      </c>
      <c r="I568" s="6" t="str">
        <v>594918</v>
      </c>
      <c r="J568" s="6" t="str">
        <v>Microsoft Corp</v>
      </c>
      <c r="K568" s="6" t="str">
        <v>Microsoft Corp</v>
      </c>
      <c r="L568" s="7">
        <f>=DATE(2016,9,20)</f>
        <v>42632.99949074074</v>
      </c>
      <c r="M568" s="7">
        <f>=DATE(2020,2,1)</f>
        <v>43861.99949074074</v>
      </c>
      <c r="N568" s="8">
        <v>40000</v>
      </c>
      <c r="O568" s="8">
        <v>40000</v>
      </c>
      <c r="P568" s="8" t="str">
        <v>770,532.98</v>
      </c>
      <c r="R568" s="8">
        <v>16798</v>
      </c>
      <c r="S568" s="8">
        <v>85320</v>
      </c>
      <c r="T568" s="8">
        <v>-8393</v>
      </c>
      <c r="U568" s="8">
        <v>-23950</v>
      </c>
      <c r="V568" s="8">
        <v>33325</v>
      </c>
      <c r="W568" s="6" t="str">
        <v>Operating Systems;Monitors/Terminals;Internet Services &amp; Software;Applications Software(Business;Computer Consulting Services;Other Peripherals</v>
      </c>
      <c r="X568" s="6" t="str">
        <v>Operating Systems;Internet Services &amp; Software;Monitors/Terminals;Other Peripherals;Applications Software(Business;Computer Consulting Services</v>
      </c>
      <c r="Y568" s="6" t="str">
        <v>Other Peripherals;Internet Services &amp; Software;Monitors/Terminals;Operating Systems;Computer Consulting Services;Applications Software(Business</v>
      </c>
      <c r="Z568" s="6" t="str">
        <v>Operating Systems;Applications Software(Business;Monitors/Terminals;Other Peripherals;Computer Consulting Services;Internet Services &amp; Software</v>
      </c>
      <c r="AA568" s="6" t="str">
        <v>Operating Systems;Computer Consulting Services;Monitors/Terminals;Internet Services &amp; Software;Applications Software(Business;Other Peripherals</v>
      </c>
      <c r="AB568" s="6" t="str">
        <v>Monitors/Terminals;Operating Systems;Applications Software(Business;Internet Services &amp; Software;Computer Consulting Services;Other Peripherals</v>
      </c>
      <c r="AC568" s="8">
        <v>40000</v>
      </c>
      <c r="AD568" s="7">
        <f>=DATE(2016,9,20)</f>
        <v>42632.99949074074</v>
      </c>
      <c r="AF568" s="8" t="str">
        <v>770,532.98</v>
      </c>
      <c r="AG568" s="8" t="str">
        <v>770,532.98</v>
      </c>
    </row>
    <row r="569">
      <c r="A569" s="6" t="str">
        <v>6E8666</v>
      </c>
      <c r="B569" s="6" t="str">
        <v>United States</v>
      </c>
      <c r="C569" s="6" t="str">
        <v>Google Fiber Inc</v>
      </c>
      <c r="D569" s="6" t="str">
        <v>Alphabet Inc</v>
      </c>
      <c r="F569" s="6" t="str">
        <v>United States</v>
      </c>
      <c r="G569" s="6" t="str">
        <v>Webpass Telecommunications LLC</v>
      </c>
      <c r="H569" s="6" t="str">
        <v>Telecommunications</v>
      </c>
      <c r="I569" s="6" t="str">
        <v>3F8406</v>
      </c>
      <c r="J569" s="6" t="str">
        <v>Webpass Telecommunications LLC</v>
      </c>
      <c r="K569" s="6" t="str">
        <v>Webpass Telecommunications LLC</v>
      </c>
      <c r="L569" s="7">
        <f>=DATE(2016,10,3)</f>
        <v>42645.99949074074</v>
      </c>
      <c r="M569" s="7">
        <f>=DATE(2017,3,23)</f>
        <v>42816.99949074074</v>
      </c>
      <c r="W569" s="6" t="str">
        <v>Telecommunications Equipment</v>
      </c>
      <c r="X569" s="6" t="str">
        <v>Telecommunications Equipment;Satellite Communications</v>
      </c>
      <c r="Y569" s="6" t="str">
        <v>Telecommunications Equipment;Satellite Communications</v>
      </c>
      <c r="Z569" s="6" t="str">
        <v>Satellite Communications;Telecommunications Equipment</v>
      </c>
      <c r="AA569" s="6" t="str">
        <v>Internet Services &amp; Software;Programming Services</v>
      </c>
      <c r="AB569" s="6" t="str">
        <v>Telecommunications Equipment;Computer Consulting Services;Primary Business not Hi-Tech;Programming Services;Internet Services &amp; Software</v>
      </c>
    </row>
    <row r="570">
      <c r="A570" s="6" t="str">
        <v>73959W</v>
      </c>
      <c r="B570" s="6" t="str">
        <v>United States</v>
      </c>
      <c r="C570" s="6" t="str">
        <v>PowerSchool Group LLC</v>
      </c>
      <c r="D570" s="6" t="str">
        <v>PowerSchool Holdings Inc</v>
      </c>
      <c r="F570" s="6" t="str">
        <v>United States</v>
      </c>
      <c r="G570" s="6" t="str">
        <v>Chalkable Inc</v>
      </c>
      <c r="H570" s="6" t="str">
        <v>Prepackaged Software</v>
      </c>
      <c r="I570" s="6" t="str">
        <v>7A6736</v>
      </c>
      <c r="J570" s="6" t="str">
        <v>STI</v>
      </c>
      <c r="K570" s="6" t="str">
        <v>STI</v>
      </c>
      <c r="L570" s="7">
        <f>=DATE(2016,10,12)</f>
        <v>42654.99949074074</v>
      </c>
      <c r="M570" s="7">
        <f>=DATE(2016,10,12)</f>
        <v>42654.99949074074</v>
      </c>
      <c r="W570" s="6" t="str">
        <v>Other Software (inq. Games)</v>
      </c>
      <c r="X570" s="6" t="str">
        <v>Primary Business not Hi-Tech;Communication/Network Software;Other Software (inq. Games)</v>
      </c>
      <c r="Y570" s="6" t="str">
        <v>Other Software (inq. Games)</v>
      </c>
      <c r="Z570" s="6" t="str">
        <v>Other Software (inq. Games)</v>
      </c>
      <c r="AA570" s="6" t="str">
        <v>Communication/Network Software;Other Software (inq. Games);Primary Business not Hi-Tech;Utilities/File Mgmt Software;Applications Software(Business;Desktop Publishing;Applications Software(Home);Internet Services &amp; Software</v>
      </c>
      <c r="AB570" s="6" t="str">
        <v>Communication/Network Software;Primary Business not Hi-Tech;Internet Services &amp; Software;Other Software (inq. Games);Desktop Publishing;Applications Software(Business;Utilities/File Mgmt Software;Applications Software(Home)</v>
      </c>
    </row>
    <row r="571">
      <c r="A571" s="6" t="str">
        <v>38259P</v>
      </c>
      <c r="B571" s="6" t="str">
        <v>United States</v>
      </c>
      <c r="C571" s="6" t="str">
        <v>Google Inc</v>
      </c>
      <c r="D571" s="6" t="str">
        <v>Alphabet Inc</v>
      </c>
      <c r="F571" s="6" t="str">
        <v>United States</v>
      </c>
      <c r="G571" s="6" t="str">
        <v>Eyefluence Inc</v>
      </c>
      <c r="H571" s="6" t="str">
        <v>Retail Trade-Home Furnishings</v>
      </c>
      <c r="I571" s="6" t="str">
        <v>9E7746</v>
      </c>
      <c r="J571" s="6" t="str">
        <v>Eyefluence Inc</v>
      </c>
      <c r="K571" s="6" t="str">
        <v>Eyefluence Inc</v>
      </c>
      <c r="L571" s="7">
        <f>=DATE(2016,10,24)</f>
        <v>42666.99949074074</v>
      </c>
      <c r="M571" s="7">
        <f>=DATE(2016,10,24)</f>
        <v>42666.99949074074</v>
      </c>
      <c r="W571" s="6" t="str">
        <v>Programming Services;Internet Services &amp; Software</v>
      </c>
      <c r="X571" s="6" t="str">
        <v>Primary Business not Hi-Tech;Programming Services;Communication/Network Software</v>
      </c>
      <c r="Y571" s="6" t="str">
        <v>Primary Business not Hi-Tech;Communication/Network Software;Programming Services</v>
      </c>
      <c r="Z571" s="6" t="str">
        <v>Communication/Network Software;Primary Business not Hi-Tech;Programming Services</v>
      </c>
      <c r="AA571" s="6" t="str">
        <v>Telecommunications Equipment;Computer Consulting Services;Primary Business not Hi-Tech;Internet Services &amp; Software;Programming Services</v>
      </c>
      <c r="AB571" s="6" t="str">
        <v>Primary Business not Hi-Tech;Telecommunications Equipment;Computer Consulting Services;Programming Services;Internet Services &amp; Software</v>
      </c>
    </row>
    <row r="572">
      <c r="A572" s="6" t="str">
        <v>037833</v>
      </c>
      <c r="B572" s="6" t="str">
        <v>United States</v>
      </c>
      <c r="C572" s="6" t="str">
        <v>Apple Inc</v>
      </c>
      <c r="D572" s="6" t="str">
        <v>Apple Inc</v>
      </c>
      <c r="F572" s="6" t="str">
        <v>United States</v>
      </c>
      <c r="G572" s="6" t="str">
        <v>Apple Inc</v>
      </c>
      <c r="H572" s="6" t="str">
        <v>Computer and Office Equipment</v>
      </c>
      <c r="I572" s="6" t="str">
        <v>037833</v>
      </c>
      <c r="J572" s="6" t="str">
        <v>Apple Inc</v>
      </c>
      <c r="K572" s="6" t="str">
        <v>Apple Inc</v>
      </c>
      <c r="L572" s="7">
        <f>=DATE(2016,11,1)</f>
        <v>42674.99949074074</v>
      </c>
      <c r="M572" s="7">
        <f>=DATE(2017,2,28)</f>
        <v>42793.99949074074</v>
      </c>
      <c r="N572" s="8">
        <v>6000</v>
      </c>
      <c r="O572" s="8">
        <v>6000</v>
      </c>
      <c r="P572" s="8" t="str">
        <v>645,282.67</v>
      </c>
      <c r="R572" s="8">
        <v>45687</v>
      </c>
      <c r="S572" s="8">
        <v>215639</v>
      </c>
      <c r="T572" s="8">
        <v>-20483</v>
      </c>
      <c r="U572" s="8">
        <v>-45977</v>
      </c>
      <c r="V572" s="8">
        <v>65824</v>
      </c>
      <c r="W572" s="6" t="str">
        <v>Mainframes &amp; Super Computers;Printers;Disk Drives;Monitors/Terminals;Portable Computers;Micro-Computers (PCs);Other Software (inq. Games);Other Peripherals</v>
      </c>
      <c r="X572" s="6" t="str">
        <v>Other Peripherals;Mainframes &amp; Super Computers;Other Software (inq. Games);Monitors/Terminals;Micro-Computers (PCs);Printers;Disk Drives;Portable Computers</v>
      </c>
      <c r="Y572" s="6" t="str">
        <v>Portable Computers;Printers;Other Software (inq. Games);Mainframes &amp; Super Computers;Monitors/Terminals;Micro-Computers (PCs);Other Peripherals;Disk Drives</v>
      </c>
      <c r="Z572" s="6" t="str">
        <v>Printers;Other Peripherals;Disk Drives;Mainframes &amp; Super Computers;Micro-Computers (PCs);Monitors/Terminals;Other Software (inq. Games);Portable Computers</v>
      </c>
      <c r="AA572" s="6" t="str">
        <v>Portable Computers;Mainframes &amp; Super Computers;Other Peripherals;Micro-Computers (PCs);Monitors/Terminals;Disk Drives;Other Software (inq. Games);Printers</v>
      </c>
      <c r="AB572" s="6" t="str">
        <v>Other Software (inq. Games);Monitors/Terminals;Mainframes &amp; Super Computers;Micro-Computers (PCs);Portable Computers;Printers;Other Peripherals;Disk Drives</v>
      </c>
      <c r="AC572" s="8">
        <v>6000</v>
      </c>
      <c r="AD572" s="7">
        <f>=DATE(2016,11,1)</f>
        <v>42674.99949074074</v>
      </c>
      <c r="AF572" s="8" t="str">
        <v>645,282.67</v>
      </c>
      <c r="AG572" s="8" t="str">
        <v>645,282.67</v>
      </c>
    </row>
    <row r="573">
      <c r="A573" s="6" t="str">
        <v>30303M</v>
      </c>
      <c r="B573" s="6" t="str">
        <v>United States</v>
      </c>
      <c r="C573" s="6" t="str">
        <v>Facebook Inc</v>
      </c>
      <c r="D573" s="6" t="str">
        <v>Facebook Inc</v>
      </c>
      <c r="F573" s="6" t="str">
        <v>United States</v>
      </c>
      <c r="G573" s="6" t="str">
        <v>CrowdTangle Inc</v>
      </c>
      <c r="H573" s="6" t="str">
        <v>Business Services</v>
      </c>
      <c r="I573" s="6" t="str">
        <v>0F3675</v>
      </c>
      <c r="J573" s="6" t="str">
        <v>CrowdTangle Inc</v>
      </c>
      <c r="K573" s="6" t="str">
        <v>CrowdTangle Inc</v>
      </c>
      <c r="L573" s="7">
        <f>=DATE(2016,11,11)</f>
        <v>42684.99949074074</v>
      </c>
      <c r="M573" s="7">
        <f>=DATE(2016,11,11)</f>
        <v>42684.99949074074</v>
      </c>
      <c r="W573" s="6" t="str">
        <v>Internet Services &amp; Software</v>
      </c>
      <c r="X573" s="6" t="str">
        <v>Networking Systems (LAN,WAN);Data Processing Services</v>
      </c>
      <c r="Y573" s="6" t="str">
        <v>Networking Systems (LAN,WAN);Data Processing Services</v>
      </c>
      <c r="Z573" s="6" t="str">
        <v>Networking Systems (LAN,WAN);Data Processing Services</v>
      </c>
      <c r="AA573" s="6" t="str">
        <v>Internet Services &amp; Software</v>
      </c>
      <c r="AB573" s="6" t="str">
        <v>Internet Services &amp; Software</v>
      </c>
    </row>
    <row r="574">
      <c r="A574" s="6" t="str">
        <v>30303M</v>
      </c>
      <c r="B574" s="6" t="str">
        <v>United States</v>
      </c>
      <c r="C574" s="6" t="str">
        <v>Facebook Inc</v>
      </c>
      <c r="D574" s="6" t="str">
        <v>Facebook Inc</v>
      </c>
      <c r="F574" s="6" t="str">
        <v>United States</v>
      </c>
      <c r="G574" s="6" t="str">
        <v>FacioMetrics LLC</v>
      </c>
      <c r="H574" s="6" t="str">
        <v>Prepackaged Software</v>
      </c>
      <c r="I574" s="6" t="str">
        <v>0F7072</v>
      </c>
      <c r="J574" s="6" t="str">
        <v>FacioMetrics LLC</v>
      </c>
      <c r="K574" s="6" t="str">
        <v>FacioMetrics LLC</v>
      </c>
      <c r="L574" s="7">
        <f>=DATE(2016,11,16)</f>
        <v>42689.99949074074</v>
      </c>
      <c r="M574" s="7">
        <f>=DATE(2016,11,16)</f>
        <v>42689.99949074074</v>
      </c>
      <c r="W574" s="6" t="str">
        <v>Internet Services &amp; Software</v>
      </c>
      <c r="X574" s="6" t="str">
        <v>Communication/Network Software</v>
      </c>
      <c r="Y574" s="6" t="str">
        <v>Communication/Network Software</v>
      </c>
      <c r="Z574" s="6" t="str">
        <v>Communication/Network Software</v>
      </c>
      <c r="AA574" s="6" t="str">
        <v>Internet Services &amp; Software</v>
      </c>
      <c r="AB574" s="6" t="str">
        <v>Internet Services &amp; Software</v>
      </c>
    </row>
    <row r="575">
      <c r="A575" s="6" t="str">
        <v>38259P</v>
      </c>
      <c r="B575" s="6" t="str">
        <v>United States</v>
      </c>
      <c r="C575" s="6" t="str">
        <v>Google Inc</v>
      </c>
      <c r="D575" s="6" t="str">
        <v>Alphabet Inc</v>
      </c>
      <c r="F575" s="6" t="str">
        <v>United States</v>
      </c>
      <c r="G575" s="6" t="str">
        <v>Qwiklabs Inc</v>
      </c>
      <c r="H575" s="6" t="str">
        <v>Business Services</v>
      </c>
      <c r="I575" s="6" t="str">
        <v>0F6708</v>
      </c>
      <c r="J575" s="6" t="str">
        <v>Qwiklabs Inc</v>
      </c>
      <c r="K575" s="6" t="str">
        <v>Qwiklabs Inc</v>
      </c>
      <c r="L575" s="7">
        <f>=DATE(2016,11,21)</f>
        <v>42694.99949074074</v>
      </c>
      <c r="M575" s="7">
        <f>=DATE(2016,11,21)</f>
        <v>42694.99949074074</v>
      </c>
      <c r="W575" s="6" t="str">
        <v>Internet Services &amp; Software;Programming Services</v>
      </c>
      <c r="X575" s="6" t="str">
        <v>Computer Consulting Services;Data Processing Services;Other Software (inq. Games);Other Computer Related Svcs</v>
      </c>
      <c r="Y575" s="6" t="str">
        <v>Other Computer Related Svcs;Data Processing Services;Computer Consulting Services;Other Software (inq. Games)</v>
      </c>
      <c r="Z575" s="6" t="str">
        <v>Other Software (inq. Games);Computer Consulting Services;Other Computer Related Svcs;Data Processing Services</v>
      </c>
      <c r="AA575" s="6" t="str">
        <v>Telecommunications Equipment;Internet Services &amp; Software;Computer Consulting Services;Primary Business not Hi-Tech;Programming Services</v>
      </c>
      <c r="AB575" s="6" t="str">
        <v>Primary Business not Hi-Tech;Programming Services;Computer Consulting Services;Telecommunications Equipment;Internet Services &amp; Software</v>
      </c>
    </row>
    <row r="576">
      <c r="A576" s="6" t="str">
        <v>38259P</v>
      </c>
      <c r="B576" s="6" t="str">
        <v>United States</v>
      </c>
      <c r="C576" s="6" t="str">
        <v>Google Inc</v>
      </c>
      <c r="D576" s="6" t="str">
        <v>Alphabet Inc</v>
      </c>
      <c r="F576" s="6" t="str">
        <v>United States</v>
      </c>
      <c r="G576" s="6" t="str">
        <v>Twitter Inc-Fabric Software</v>
      </c>
      <c r="H576" s="6" t="str">
        <v>Prepackaged Software</v>
      </c>
      <c r="I576" s="6" t="str">
        <v>2F2495</v>
      </c>
      <c r="J576" s="6" t="str">
        <v>Twitter Inc</v>
      </c>
      <c r="K576" s="6" t="str">
        <v>Twitter Inc</v>
      </c>
      <c r="L576" s="7">
        <f>=DATE(2017,1,18)</f>
        <v>42752.99949074074</v>
      </c>
      <c r="M576" s="7">
        <f>=DATE(2017,1,18)</f>
        <v>42752.99949074074</v>
      </c>
      <c r="W576" s="6" t="str">
        <v>Internet Services &amp; Software;Programming Services</v>
      </c>
      <c r="X576" s="6" t="str">
        <v>Communication/Network Software</v>
      </c>
      <c r="Y576" s="6" t="str">
        <v>Internet Services &amp; Software</v>
      </c>
      <c r="Z576" s="6" t="str">
        <v>Internet Services &amp; Software</v>
      </c>
      <c r="AA576" s="6" t="str">
        <v>Telecommunications Equipment;Computer Consulting Services;Programming Services;Internet Services &amp; Software;Primary Business not Hi-Tech</v>
      </c>
      <c r="AB576" s="6" t="str">
        <v>Programming Services;Telecommunications Equipment;Internet Services &amp; Software;Computer Consulting Services;Primary Business not Hi-Tech</v>
      </c>
    </row>
    <row r="577">
      <c r="A577" s="6" t="str">
        <v>00507V</v>
      </c>
      <c r="B577" s="6" t="str">
        <v>United States</v>
      </c>
      <c r="C577" s="6" t="str">
        <v>Activision Blizzard Inc</v>
      </c>
      <c r="D577" s="6" t="str">
        <v>Activision Blizzard Inc</v>
      </c>
      <c r="F577" s="6" t="str">
        <v>United States</v>
      </c>
      <c r="G577" s="6" t="str">
        <v>Omniata Inc</v>
      </c>
      <c r="H577" s="6" t="str">
        <v>Business Services</v>
      </c>
      <c r="I577" s="6" t="str">
        <v>6N6336</v>
      </c>
      <c r="J577" s="6" t="str">
        <v>Omniata Inc</v>
      </c>
      <c r="K577" s="6" t="str">
        <v>Omniata Inc</v>
      </c>
      <c r="L577" s="7">
        <f>=DATE(2017,1,25)</f>
        <v>42759.99949074074</v>
      </c>
      <c r="M577" s="7">
        <f>=DATE(2017,1,25)</f>
        <v>42759.99949074074</v>
      </c>
      <c r="W577" s="6" t="str">
        <v>Operating Systems;Other Computer Systems;Other Software (inq. Games)</v>
      </c>
      <c r="X577" s="6" t="str">
        <v>Applications Software(Business;Primary Business not Hi-Tech;Networking Systems (LAN,WAN);Internet Services &amp; Software;Utilities/File Mgmt Software;Communication/Network Software;Data Processing Services;Other Software (inq. Games);Desktop Publishing;Computer Consulting Services;Applications Software(Home);Other Computer Related Svcs</v>
      </c>
      <c r="Y577" s="6" t="str">
        <v>Applications Software(Business;Utilities/File Mgmt Software;Applications Software(Home);Other Computer Related Svcs;Communication/Network Software;Internet Services &amp; Software;Data Processing Services;Computer Consulting Services;Desktop Publishing;Primary Business not Hi-Tech;Networking Systems (LAN,WAN);Other Software (inq. Games)</v>
      </c>
      <c r="Z577" s="6" t="str">
        <v>Data Processing Services;Networking Systems (LAN,WAN);Internet Services &amp; Software;Primary Business not Hi-Tech;Applications Software(Home);Communication/Network Software;Desktop Publishing;Computer Consulting Services;Utilities/File Mgmt Software;Other Software (inq. Games);Other Computer Related Svcs;Applications Software(Business</v>
      </c>
      <c r="AA577" s="6" t="str">
        <v>Other Software (inq. Games);Other Computer Systems;Operating Systems</v>
      </c>
      <c r="AB577" s="6" t="str">
        <v>Other Computer Systems;Operating Systems;Other Software (inq. Games)</v>
      </c>
    </row>
    <row r="578">
      <c r="A578" s="6" t="str">
        <v>98967F</v>
      </c>
      <c r="B578" s="6" t="str">
        <v>United States</v>
      </c>
      <c r="C578" s="6" t="str">
        <v>ZeniMax Media Inc</v>
      </c>
      <c r="D578" s="6" t="str">
        <v>ZeniMax Media Inc</v>
      </c>
      <c r="F578" s="6" t="str">
        <v>United States</v>
      </c>
      <c r="G578" s="6" t="str">
        <v>Escalation Studios</v>
      </c>
      <c r="H578" s="6" t="str">
        <v>Prepackaged Software</v>
      </c>
      <c r="I578" s="6" t="str">
        <v>30680R</v>
      </c>
      <c r="J578" s="6" t="str">
        <v>6Waves Lolapps Inc</v>
      </c>
      <c r="K578" s="6" t="str">
        <v>6Waves Lolapps Inc</v>
      </c>
      <c r="L578" s="7">
        <f>=DATE(2017,2,1)</f>
        <v>42766.99949074074</v>
      </c>
      <c r="M578" s="7">
        <f>=DATE(2017,2,1)</f>
        <v>42766.99949074074</v>
      </c>
      <c r="S578" s="8">
        <v>3.047</v>
      </c>
      <c r="W578" s="6" t="str">
        <v>Other Software (inq. Games)</v>
      </c>
      <c r="X578" s="6" t="str">
        <v>Communication/Network Software;Primary Business not Hi-Tech;Applications Software(Business;Other Software (inq. Games)</v>
      </c>
      <c r="Y578" s="6" t="str">
        <v>Other Software (inq. Games)</v>
      </c>
      <c r="Z578" s="6" t="str">
        <v>Other Software (inq. Games)</v>
      </c>
      <c r="AA578" s="6" t="str">
        <v>Other Software (inq. Games)</v>
      </c>
      <c r="AB578" s="6" t="str">
        <v>Other Software (inq. Games)</v>
      </c>
    </row>
    <row r="579">
      <c r="A579" s="6" t="str">
        <v>037833</v>
      </c>
      <c r="B579" s="6" t="str">
        <v>United States</v>
      </c>
      <c r="C579" s="6" t="str">
        <v>Apple Inc</v>
      </c>
      <c r="D579" s="6" t="str">
        <v>Apple Inc</v>
      </c>
      <c r="F579" s="6" t="str">
        <v>United States</v>
      </c>
      <c r="G579" s="6" t="str">
        <v>Icloud.Net</v>
      </c>
      <c r="H579" s="6" t="str">
        <v>Prepackaged Software</v>
      </c>
      <c r="I579" s="6" t="str">
        <v>0L2641</v>
      </c>
      <c r="J579" s="6" t="str">
        <v>Icloud.Net</v>
      </c>
      <c r="K579" s="6" t="str">
        <v>Icloud.Net</v>
      </c>
      <c r="L579" s="7">
        <f>=DATE(2017,2,22)</f>
        <v>42787.99949074074</v>
      </c>
      <c r="M579" s="7">
        <f>=DATE(2017,2,22)</f>
        <v>42787.99949074074</v>
      </c>
      <c r="W579" s="6" t="str">
        <v>Micro-Computers (PCs);Other Software (inq. Games);Other Peripherals;Disk Drives;Printers;Mainframes &amp; Super Computers;Monitors/Terminals;Portable Computers</v>
      </c>
      <c r="X579" s="6" t="str">
        <v>Utilities/File Mgmt Software;Communication/Network Software;Desktop Publishing;Applications Software(Business;Applications Software(Home);Other Software (inq. Games);Internet Services &amp; Software</v>
      </c>
      <c r="Y579" s="6" t="str">
        <v>Internet Services &amp; Software;Other Software (inq. Games);Communication/Network Software;Applications Software(Business;Applications Software(Home);Utilities/File Mgmt Software;Desktop Publishing</v>
      </c>
      <c r="Z579" s="6" t="str">
        <v>Applications Software(Business;Communication/Network Software;Applications Software(Home);Utilities/File Mgmt Software;Other Software (inq. Games);Internet Services &amp; Software;Desktop Publishing</v>
      </c>
      <c r="AA579" s="6" t="str">
        <v>Printers;Portable Computers;Micro-Computers (PCs);Disk Drives;Other Peripherals;Other Software (inq. Games);Monitors/Terminals;Mainframes &amp; Super Computers</v>
      </c>
      <c r="AB579" s="6" t="str">
        <v>Printers;Mainframes &amp; Super Computers;Portable Computers;Micro-Computers (PCs);Disk Drives;Monitors/Terminals;Other Software (inq. Games);Other Peripherals</v>
      </c>
    </row>
    <row r="580">
      <c r="A580" s="6" t="str">
        <v>037833</v>
      </c>
      <c r="B580" s="6" t="str">
        <v>United States</v>
      </c>
      <c r="C580" s="6" t="str">
        <v>Apple Inc</v>
      </c>
      <c r="D580" s="6" t="str">
        <v>Apple Inc</v>
      </c>
      <c r="F580" s="6" t="str">
        <v>United States</v>
      </c>
      <c r="G580" s="6" t="str">
        <v>Apple Inc</v>
      </c>
      <c r="H580" s="6" t="str">
        <v>Computer and Office Equipment</v>
      </c>
      <c r="I580" s="6" t="str">
        <v>037833</v>
      </c>
      <c r="J580" s="6" t="str">
        <v>Apple Inc</v>
      </c>
      <c r="K580" s="6" t="str">
        <v>Apple Inc</v>
      </c>
      <c r="L580" s="7">
        <f>=DATE(2017,2,28)</f>
        <v>42793.99949074074</v>
      </c>
      <c r="M580" s="7">
        <f>=DATE(2017,5,31)</f>
        <v>42885.99949074074</v>
      </c>
      <c r="N580" s="8">
        <v>3000</v>
      </c>
      <c r="O580" s="8">
        <v>3000</v>
      </c>
      <c r="W580" s="6" t="str">
        <v>Portable Computers;Monitors/Terminals;Micro-Computers (PCs);Other Software (inq. Games);Printers;Other Peripherals;Disk Drives;Mainframes &amp; Super Computers</v>
      </c>
      <c r="X580" s="6" t="str">
        <v>Mainframes &amp; Super Computers;Micro-Computers (PCs);Portable Computers;Printers;Other Peripherals;Other Software (inq. Games);Monitors/Terminals;Disk Drives</v>
      </c>
      <c r="Y580" s="6" t="str">
        <v>Mainframes &amp; Super Computers;Portable Computers;Other Software (inq. Games);Other Peripherals;Disk Drives;Printers;Monitors/Terminals;Micro-Computers (PCs)</v>
      </c>
      <c r="Z580" s="6" t="str">
        <v>Portable Computers;Printers;Other Peripherals;Monitors/Terminals;Disk Drives;Micro-Computers (PCs);Mainframes &amp; Super Computers;Other Software (inq. Games)</v>
      </c>
      <c r="AA580" s="6" t="str">
        <v>Micro-Computers (PCs);Mainframes &amp; Super Computers;Printers;Other Software (inq. Games);Disk Drives;Monitors/Terminals;Other Peripherals;Portable Computers</v>
      </c>
      <c r="AB580" s="6" t="str">
        <v>Mainframes &amp; Super Computers;Disk Drives;Monitors/Terminals;Other Software (inq. Games);Micro-Computers (PCs);Other Peripherals;Portable Computers;Printers</v>
      </c>
      <c r="AC580" s="8">
        <v>3000</v>
      </c>
      <c r="AD580" s="7">
        <f>=DATE(2017,2,28)</f>
        <v>42793.99949074074</v>
      </c>
      <c r="AF580" s="8" t="str">
        <v>746,647.57</v>
      </c>
      <c r="AG580" s="8" t="str">
        <v>746,647.57</v>
      </c>
    </row>
    <row r="581">
      <c r="A581" s="6" t="str">
        <v>01864J</v>
      </c>
      <c r="B581" s="6" t="str">
        <v>United States</v>
      </c>
      <c r="C581" s="6" t="str">
        <v>Avanade Inc</v>
      </c>
      <c r="D581" s="6" t="str">
        <v>Accenture PLC</v>
      </c>
      <c r="F581" s="6" t="str">
        <v>United States</v>
      </c>
      <c r="G581" s="6" t="str">
        <v>Infusion Inc</v>
      </c>
      <c r="H581" s="6" t="str">
        <v>Prepackaged Software</v>
      </c>
      <c r="I581" s="6" t="str">
        <v>3F1802</v>
      </c>
      <c r="J581" s="6" t="str">
        <v>Infusion Inc</v>
      </c>
      <c r="K581" s="6" t="str">
        <v>Infusion Inc</v>
      </c>
      <c r="L581" s="7">
        <f>=DATE(2017,2,28)</f>
        <v>42793.99949074074</v>
      </c>
      <c r="M581" s="7">
        <f>=DATE(2017,2,28)</f>
        <v>42793.99949074074</v>
      </c>
      <c r="W581" s="6" t="str">
        <v>Computer Consulting Services;Other Computer Related Svcs;Other Software (inq. Games)</v>
      </c>
      <c r="X581" s="6" t="str">
        <v>CAD/CAM/CAE/Graphics Systems;Computer Consulting Services;Other Software (inq. Games)</v>
      </c>
      <c r="Y581" s="6" t="str">
        <v>CAD/CAM/CAE/Graphics Systems;Other Software (inq. Games);Computer Consulting Services</v>
      </c>
      <c r="Z581" s="6" t="str">
        <v>Computer Consulting Services;CAD/CAM/CAE/Graphics Systems;Other Software (inq. Games)</v>
      </c>
      <c r="AA581" s="6" t="str">
        <v>Internet Services &amp; Software;Other Computer Related Svcs;Workstations;Primary Business not Hi-Tech;Communication/Network Software;Other Software (inq. Games);Turnkey Systems;Other Computer Systems;CAD/CAM/CAE/Graphics Systems;Applications Software(Home);Desktop Publishing;Applications Software(Business;Computer Consulting Services;Data Processing Services;Data Commun(Exclude networking;Utilities/File Mgmt Software;Networking Systems (LAN,WAN);Operating Systems</v>
      </c>
      <c r="AB581" s="6" t="str">
        <v>Internet Services &amp; Software;Primary Business not Hi-Tech;CAD/CAM/CAE/Graphics Systems;Applications Software(Home);Turnkey Systems;Workstations;Operating Systems;Computer Consulting Services;Desktop Publishing;Other Software (inq. Games);Utilities/File Mgmt Software;Networking Systems (LAN,WAN);Other Computer Systems;Data Processing Services;Communication/Network Software;Applications Software(Business;Data Commun(Exclude networking;Other Computer Related Svcs</v>
      </c>
    </row>
    <row r="582">
      <c r="A582" s="6" t="str">
        <v>38259P</v>
      </c>
      <c r="B582" s="6" t="str">
        <v>United States</v>
      </c>
      <c r="C582" s="6" t="str">
        <v>Google Inc</v>
      </c>
      <c r="D582" s="6" t="str">
        <v>Alphabet Inc</v>
      </c>
      <c r="F582" s="6" t="str">
        <v>United States</v>
      </c>
      <c r="G582" s="6" t="str">
        <v>Kaggle Inc</v>
      </c>
      <c r="H582" s="6" t="str">
        <v>Business Services</v>
      </c>
      <c r="I582" s="6" t="str">
        <v>3F4095</v>
      </c>
      <c r="J582" s="6" t="str">
        <v>Alphabet Inc</v>
      </c>
      <c r="K582" s="6" t="str">
        <v>Google Inc</v>
      </c>
      <c r="L582" s="7">
        <f>=DATE(2017,3,8)</f>
        <v>42801.99949074074</v>
      </c>
      <c r="M582" s="7">
        <f>=DATE(2017,3,8)</f>
        <v>42801.99949074074</v>
      </c>
      <c r="W582" s="6" t="str">
        <v>Internet Services &amp; Software;Programming Services</v>
      </c>
      <c r="X582" s="6" t="str">
        <v>Data Processing Services</v>
      </c>
      <c r="Y582" s="6" t="str">
        <v>Internet Services &amp; Software;Programming Services</v>
      </c>
      <c r="Z582" s="6" t="str">
        <v>Computer Consulting Services;Programming Services;Primary Business not Hi-Tech;Telecommunications Equipment;Internet Services &amp; Software</v>
      </c>
      <c r="AA582" s="6" t="str">
        <v>Programming Services;Primary Business not Hi-Tech;Computer Consulting Services;Telecommunications Equipment;Internet Services &amp; Software</v>
      </c>
      <c r="AB582" s="6" t="str">
        <v>Computer Consulting Services;Telecommunications Equipment;Internet Services &amp; Software;Primary Business not Hi-Tech;Programming Services</v>
      </c>
    </row>
    <row r="583">
      <c r="A583" s="6" t="str">
        <v>3F2082</v>
      </c>
      <c r="B583" s="6" t="str">
        <v>United States</v>
      </c>
      <c r="C583" s="6" t="str">
        <v>Microsoft Ventures Inc</v>
      </c>
      <c r="D583" s="6" t="str">
        <v>Microsoft Corp</v>
      </c>
      <c r="F583" s="6" t="str">
        <v>United States</v>
      </c>
      <c r="G583" s="6" t="str">
        <v>CNEX Labs Inc</v>
      </c>
      <c r="H583" s="6" t="str">
        <v>Electronic and Electrical Equipment</v>
      </c>
      <c r="I583" s="6" t="str">
        <v>3F8098</v>
      </c>
      <c r="J583" s="6" t="str">
        <v>CNEX Labs Inc</v>
      </c>
      <c r="K583" s="6" t="str">
        <v>CNEX Labs Inc</v>
      </c>
      <c r="L583" s="7">
        <f>=DATE(2017,3,15)</f>
        <v>42808.99949074074</v>
      </c>
      <c r="M583" s="7">
        <f>=DATE(2017,3,15)</f>
        <v>42808.99949074074</v>
      </c>
      <c r="N583" s="8">
        <v>60</v>
      </c>
      <c r="O583" s="8">
        <v>60</v>
      </c>
      <c r="W583" s="6" t="str">
        <v>Primary Business not Hi-Tech</v>
      </c>
      <c r="X583" s="6" t="str">
        <v>Programming Services;Lasers(Excluding Medical)</v>
      </c>
      <c r="Y583" s="6" t="str">
        <v>Programming Services;Lasers(Excluding Medical)</v>
      </c>
      <c r="Z583" s="6" t="str">
        <v>Programming Services;Lasers(Excluding Medical)</v>
      </c>
      <c r="AA583" s="6" t="str">
        <v>Internet Services &amp; Software;Monitors/Terminals;Other Peripherals;Operating Systems;Applications Software(Business;Computer Consulting Services</v>
      </c>
      <c r="AB583" s="6" t="str">
        <v>Applications Software(Business;Monitors/Terminals;Other Peripherals;Internet Services &amp; Software;Computer Consulting Services;Operating Systems</v>
      </c>
      <c r="AC583" s="8">
        <v>60</v>
      </c>
      <c r="AD583" s="7">
        <f>=DATE(2017,3,15)</f>
        <v>42808.99949074074</v>
      </c>
    </row>
    <row r="584">
      <c r="A584" s="6" t="str">
        <v>037833</v>
      </c>
      <c r="B584" s="6" t="str">
        <v>United States</v>
      </c>
      <c r="C584" s="6" t="str">
        <v>Apple Inc</v>
      </c>
      <c r="D584" s="6" t="str">
        <v>Apple Inc</v>
      </c>
      <c r="F584" s="6" t="str">
        <v>United States</v>
      </c>
      <c r="G584" s="6" t="str">
        <v>DeskConnect LLC</v>
      </c>
      <c r="H584" s="6" t="str">
        <v>Prepackaged Software</v>
      </c>
      <c r="I584" s="6" t="str">
        <v>2H2569</v>
      </c>
      <c r="J584" s="6" t="str">
        <v>DeskConnect LLC</v>
      </c>
      <c r="K584" s="6" t="str">
        <v>DeskConnect LLC</v>
      </c>
      <c r="L584" s="7">
        <f>=DATE(2017,3,22)</f>
        <v>42815.99949074074</v>
      </c>
      <c r="M584" s="7">
        <f>=DATE(2017,3,22)</f>
        <v>42815.99949074074</v>
      </c>
      <c r="W584" s="6" t="str">
        <v>Other Peripherals;Other Software (inq. Games);Disk Drives;Monitors/Terminals;Portable Computers;Printers;Mainframes &amp; Super Computers;Micro-Computers (PCs)</v>
      </c>
      <c r="X584" s="6" t="str">
        <v>Other Software (inq. Games);Utilities/File Mgmt Software;Communication/Network Software;Internet Services &amp; Software;Applications Software(Home);Applications Software(Business;Desktop Publishing</v>
      </c>
      <c r="Y584" s="6" t="str">
        <v>Applications Software(Business;Communication/Network Software;Other Software (inq. Games);Desktop Publishing;Utilities/File Mgmt Software;Internet Services &amp; Software;Applications Software(Home)</v>
      </c>
      <c r="Z584" s="6" t="str">
        <v>Internet Services &amp; Software;Other Software (inq. Games);Communication/Network Software;Desktop Publishing;Applications Software(Home);Applications Software(Business;Utilities/File Mgmt Software</v>
      </c>
      <c r="AA584" s="6" t="str">
        <v>Printers;Micro-Computers (PCs);Other Software (inq. Games);Other Peripherals;Mainframes &amp; Super Computers;Monitors/Terminals;Portable Computers;Disk Drives</v>
      </c>
      <c r="AB584" s="6" t="str">
        <v>Printers;Monitors/Terminals;Portable Computers;Mainframes &amp; Super Computers;Micro-Computers (PCs);Other Software (inq. Games);Disk Drives;Other Peripherals</v>
      </c>
    </row>
    <row r="585">
      <c r="A585" s="6" t="str">
        <v>594918</v>
      </c>
      <c r="B585" s="6" t="str">
        <v>United States</v>
      </c>
      <c r="C585" s="6" t="str">
        <v>Microsoft Corp</v>
      </c>
      <c r="D585" s="6" t="str">
        <v>Microsoft Corp</v>
      </c>
      <c r="F585" s="6" t="str">
        <v>United States</v>
      </c>
      <c r="G585" s="6" t="str">
        <v>Intentional Software Corp</v>
      </c>
      <c r="H585" s="6" t="str">
        <v>Prepackaged Software</v>
      </c>
      <c r="I585" s="6" t="str">
        <v>4F5671</v>
      </c>
      <c r="J585" s="6" t="str">
        <v>Intentional Software Corp</v>
      </c>
      <c r="K585" s="6" t="str">
        <v>Intentional Software Corp</v>
      </c>
      <c r="L585" s="7">
        <f>=DATE(2017,4,18)</f>
        <v>42842.99949074074</v>
      </c>
      <c r="M585" s="7">
        <f>=DATE(2017,5,5)</f>
        <v>42859.99949074074</v>
      </c>
      <c r="S585" s="8">
        <v>6.722</v>
      </c>
      <c r="W585" s="6" t="str">
        <v>Internet Services &amp; Software;Other Peripherals;Computer Consulting Services;Monitors/Terminals;Applications Software(Business;Operating Systems</v>
      </c>
      <c r="X585" s="6" t="str">
        <v>Other Software (inq. Games)</v>
      </c>
      <c r="Y585" s="6" t="str">
        <v>Other Software (inq. Games)</v>
      </c>
      <c r="Z585" s="6" t="str">
        <v>Other Software (inq. Games)</v>
      </c>
      <c r="AA585" s="6" t="str">
        <v>Other Peripherals;Operating Systems;Applications Software(Business;Internet Services &amp; Software;Computer Consulting Services;Monitors/Terminals</v>
      </c>
      <c r="AB585" s="6" t="str">
        <v>Computer Consulting Services;Monitors/Terminals;Applications Software(Business;Operating Systems;Other Peripherals;Internet Services &amp; Software</v>
      </c>
    </row>
    <row r="586">
      <c r="A586" s="6" t="str">
        <v>38259P</v>
      </c>
      <c r="B586" s="6" t="str">
        <v>United States</v>
      </c>
      <c r="C586" s="6" t="str">
        <v>Google Inc</v>
      </c>
      <c r="D586" s="6" t="str">
        <v>Alphabet Inc</v>
      </c>
      <c r="F586" s="6" t="str">
        <v>United States</v>
      </c>
      <c r="G586" s="6" t="str">
        <v>Owlchemy Labs</v>
      </c>
      <c r="H586" s="6" t="str">
        <v>Prepackaged Software</v>
      </c>
      <c r="I586" s="6" t="str">
        <v>5F0957</v>
      </c>
      <c r="J586" s="6" t="str">
        <v>Alphabet Inc</v>
      </c>
      <c r="K586" s="6" t="str">
        <v>Google Inc</v>
      </c>
      <c r="L586" s="7">
        <f>=DATE(2017,5,10)</f>
        <v>42864.99949074074</v>
      </c>
      <c r="M586" s="7">
        <f>=DATE(2017,5,10)</f>
        <v>42864.99949074074</v>
      </c>
      <c r="W586" s="6" t="str">
        <v>Programming Services;Internet Services &amp; Software</v>
      </c>
      <c r="X586" s="6" t="str">
        <v>Other Software (inq. Games)</v>
      </c>
      <c r="Y586" s="6" t="str">
        <v>Internet Services &amp; Software;Programming Services</v>
      </c>
      <c r="Z586" s="6" t="str">
        <v>Telecommunications Equipment;Programming Services;Computer Consulting Services;Primary Business not Hi-Tech;Internet Services &amp; Software</v>
      </c>
      <c r="AA586" s="6" t="str">
        <v>Programming Services;Primary Business not Hi-Tech;Internet Services &amp; Software;Telecommunications Equipment;Computer Consulting Services</v>
      </c>
      <c r="AB586" s="6" t="str">
        <v>Computer Consulting Services;Programming Services;Primary Business not Hi-Tech;Internet Services &amp; Software;Telecommunications Equipment</v>
      </c>
    </row>
    <row r="587">
      <c r="A587" s="6" t="str">
        <v>037833</v>
      </c>
      <c r="B587" s="6" t="str">
        <v>United States</v>
      </c>
      <c r="C587" s="6" t="str">
        <v>Apple Inc</v>
      </c>
      <c r="D587" s="6" t="str">
        <v>Apple Inc</v>
      </c>
      <c r="F587" s="6" t="str">
        <v>United States</v>
      </c>
      <c r="G587" s="6" t="str">
        <v>Lattice Data Inc</v>
      </c>
      <c r="H587" s="6" t="str">
        <v>Prepackaged Software</v>
      </c>
      <c r="I587" s="6" t="str">
        <v>5F1787</v>
      </c>
      <c r="J587" s="6" t="str">
        <v>Lattice Data Inc</v>
      </c>
      <c r="K587" s="6" t="str">
        <v>Lattice Data Inc</v>
      </c>
      <c r="L587" s="7">
        <f>=DATE(2017,5,13)</f>
        <v>42867.99949074074</v>
      </c>
      <c r="M587" s="7">
        <f>=DATE(2017,5,13)</f>
        <v>42867.99949074074</v>
      </c>
      <c r="W587" s="6" t="str">
        <v>Disk Drives;Other Software (inq. Games);Monitors/Terminals;Mainframes &amp; Super Computers;Portable Computers;Micro-Computers (PCs);Other Peripherals;Printers</v>
      </c>
      <c r="X587" s="6" t="str">
        <v>Communication/Network Software</v>
      </c>
      <c r="Y587" s="6" t="str">
        <v>Communication/Network Software</v>
      </c>
      <c r="Z587" s="6" t="str">
        <v>Communication/Network Software</v>
      </c>
      <c r="AA587" s="6" t="str">
        <v>Mainframes &amp; Super Computers;Printers;Monitors/Terminals;Portable Computers;Micro-Computers (PCs);Other Peripherals;Disk Drives;Other Software (inq. Games)</v>
      </c>
      <c r="AB587" s="6" t="str">
        <v>Disk Drives;Mainframes &amp; Super Computers;Printers;Portable Computers;Other Peripherals;Micro-Computers (PCs);Monitors/Terminals;Other Software (inq. Games)</v>
      </c>
      <c r="AD587" s="7">
        <f>=DATE(2017,5,13)</f>
        <v>42867.99949074074</v>
      </c>
    </row>
    <row r="588">
      <c r="A588" s="6" t="str">
        <v>53578A</v>
      </c>
      <c r="B588" s="6" t="str">
        <v>United States</v>
      </c>
      <c r="C588" s="6" t="str">
        <v>LinkedIn Corp</v>
      </c>
      <c r="D588" s="6" t="str">
        <v>Microsoft Corp</v>
      </c>
      <c r="F588" s="6" t="str">
        <v>United States</v>
      </c>
      <c r="G588" s="6" t="str">
        <v>Heighten Software Inc</v>
      </c>
      <c r="H588" s="6" t="str">
        <v>Business Services</v>
      </c>
      <c r="I588" s="6" t="str">
        <v>9F0904</v>
      </c>
      <c r="J588" s="6" t="str">
        <v>Heighten Software Inc</v>
      </c>
      <c r="K588" s="6" t="str">
        <v>Heighten Software Inc</v>
      </c>
      <c r="L588" s="7">
        <f>=DATE(2017,5,30)</f>
        <v>42884.99949074074</v>
      </c>
      <c r="M588" s="7">
        <f>=DATE(2017,5,30)</f>
        <v>42884.99949074074</v>
      </c>
      <c r="W588" s="6" t="str">
        <v>Internet Services &amp; Software</v>
      </c>
      <c r="X588" s="6" t="str">
        <v>Data Processing Services</v>
      </c>
      <c r="Y588" s="6" t="str">
        <v>Data Processing Services</v>
      </c>
      <c r="Z588" s="6" t="str">
        <v>Data Processing Services</v>
      </c>
      <c r="AA588" s="6" t="str">
        <v>Internet Services &amp; Software;Monitors/Terminals;Computer Consulting Services;Other Peripherals;Operating Systems;Applications Software(Business</v>
      </c>
      <c r="AB588" s="6" t="str">
        <v>Operating Systems;Applications Software(Business;Computer Consulting Services;Other Peripherals;Monitors/Terminals;Internet Services &amp; Software</v>
      </c>
    </row>
    <row r="589">
      <c r="A589" s="6" t="str">
        <v>037833</v>
      </c>
      <c r="B589" s="6" t="str">
        <v>United States</v>
      </c>
      <c r="C589" s="6" t="str">
        <v>Apple Inc</v>
      </c>
      <c r="D589" s="6" t="str">
        <v>Apple Inc</v>
      </c>
      <c r="F589" s="6" t="str">
        <v>United States</v>
      </c>
      <c r="G589" s="6" t="str">
        <v>Apple Inc</v>
      </c>
      <c r="H589" s="6" t="str">
        <v>Computer and Office Equipment</v>
      </c>
      <c r="I589" s="6" t="str">
        <v>037833</v>
      </c>
      <c r="J589" s="6" t="str">
        <v>Apple Inc</v>
      </c>
      <c r="K589" s="6" t="str">
        <v>Apple Inc</v>
      </c>
      <c r="L589" s="7">
        <f>=DATE(2017,5,31)</f>
        <v>42885.99949074074</v>
      </c>
      <c r="M589" s="7">
        <f>=DATE(2017,8,31)</f>
        <v>42977.99949074074</v>
      </c>
      <c r="N589" s="8">
        <v>3000</v>
      </c>
      <c r="O589" s="8">
        <v>3000</v>
      </c>
      <c r="P589" s="8" t="str">
        <v>797,752.47</v>
      </c>
      <c r="R589" s="8">
        <v>45687</v>
      </c>
      <c r="S589" s="8">
        <v>215639</v>
      </c>
      <c r="T589" s="8">
        <v>-20483</v>
      </c>
      <c r="U589" s="8">
        <v>-45977</v>
      </c>
      <c r="V589" s="8">
        <v>65824</v>
      </c>
      <c r="W589" s="6" t="str">
        <v>Mainframes &amp; Super Computers;Monitors/Terminals;Micro-Computers (PCs);Other Peripherals;Printers;Disk Drives;Portable Computers;Other Software (inq. Games)</v>
      </c>
      <c r="X589" s="6" t="str">
        <v>Monitors/Terminals;Micro-Computers (PCs);Other Peripherals;Mainframes &amp; Super Computers;Other Software (inq. Games);Disk Drives;Portable Computers;Printers</v>
      </c>
      <c r="Y589" s="6" t="str">
        <v>Mainframes &amp; Super Computers;Portable Computers;Other Software (inq. Games);Micro-Computers (PCs);Other Peripherals;Monitors/Terminals;Disk Drives;Printers</v>
      </c>
      <c r="Z589" s="6" t="str">
        <v>Other Peripherals;Disk Drives;Monitors/Terminals;Printers;Micro-Computers (PCs);Mainframes &amp; Super Computers;Other Software (inq. Games);Portable Computers</v>
      </c>
      <c r="AA589" s="6" t="str">
        <v>Disk Drives;Portable Computers;Monitors/Terminals;Printers;Mainframes &amp; Super Computers;Micro-Computers (PCs);Other Peripherals;Other Software (inq. Games)</v>
      </c>
      <c r="AB589" s="6" t="str">
        <v>Mainframes &amp; Super Computers;Disk Drives;Printers;Other Software (inq. Games);Portable Computers;Other Peripherals;Monitors/Terminals;Micro-Computers (PCs)</v>
      </c>
      <c r="AC589" s="8">
        <v>3000</v>
      </c>
      <c r="AD589" s="7">
        <f>=DATE(2017,5,31)</f>
        <v>42885.99949074074</v>
      </c>
      <c r="AF589" s="8" t="str">
        <v>797,752.47</v>
      </c>
      <c r="AG589" s="8" t="str">
        <v>797,752.47</v>
      </c>
    </row>
    <row r="590">
      <c r="A590" s="6" t="str">
        <v>67020Y</v>
      </c>
      <c r="B590" s="6" t="str">
        <v>United States</v>
      </c>
      <c r="C590" s="6" t="str">
        <v>Nuance Communications Inc</v>
      </c>
      <c r="D590" s="6" t="str">
        <v>Nuance Communications Inc</v>
      </c>
      <c r="F590" s="6" t="str">
        <v>United States</v>
      </c>
      <c r="G590" s="6" t="str">
        <v>Primordial Design Inc</v>
      </c>
      <c r="H590" s="6" t="str">
        <v>Business Services</v>
      </c>
      <c r="I590" s="6" t="str">
        <v>6F5975</v>
      </c>
      <c r="J590" s="6" t="str">
        <v>Primordial Design Inc</v>
      </c>
      <c r="K590" s="6" t="str">
        <v>Primordial Design Inc</v>
      </c>
      <c r="L590" s="7">
        <f>=DATE(2017,7,5)</f>
        <v>42920.99949074074</v>
      </c>
      <c r="M590" s="7">
        <f>=DATE(2017,7,5)</f>
        <v>42920.99949074074</v>
      </c>
      <c r="W590" s="6" t="str">
        <v>Applications Software(Business;Primary Business not Hi-Tech;Other Computer Related Svcs;Programming Services;Communication/Network Software;Desktop Publishing;Applications Software(Home);Computer Consulting Services;Networking Systems (LAN,WAN);Other Software (inq. Games);Internet Services &amp; Software;Utilities/File Mgmt Software;Database Software/Programming</v>
      </c>
      <c r="X590" s="6" t="str">
        <v>Communication/Network Software;Computer Consulting Services</v>
      </c>
      <c r="Y590" s="6" t="str">
        <v>Computer Consulting Services;Communication/Network Software</v>
      </c>
      <c r="Z590" s="6" t="str">
        <v>Communication/Network Software;Computer Consulting Services</v>
      </c>
      <c r="AA590" s="6" t="str">
        <v>Computer Consulting Services;Internet Services &amp; Software;Database Software/Programming;Networking Systems (LAN,WAN);Desktop Publishing;Applications Software(Business;Utilities/File Mgmt Software;Applications Software(Home);Programming Services;Other Computer Related Svcs;Other Software (inq. Games);Primary Business not Hi-Tech;Communication/Network Software</v>
      </c>
      <c r="AB590" s="6" t="str">
        <v>Networking Systems (LAN,WAN);Communication/Network Software;Applications Software(Home);Computer Consulting Services;Utilities/File Mgmt Software;Desktop Publishing;Programming Services;Database Software/Programming;Applications Software(Business;Internet Services &amp; Software;Other Computer Related Svcs;Primary Business not Hi-Tech;Other Software (inq. Games)</v>
      </c>
    </row>
    <row r="591">
      <c r="A591" s="6" t="str">
        <v>3F8100</v>
      </c>
      <c r="B591" s="6" t="str">
        <v>United States</v>
      </c>
      <c r="C591" s="6" t="str">
        <v>GV Management Co LLC</v>
      </c>
      <c r="D591" s="6" t="str">
        <v>Alphabet Inc</v>
      </c>
      <c r="F591" s="6" t="str">
        <v>United States</v>
      </c>
      <c r="G591" s="6" t="str">
        <v>Decibel Therapeutics Inc</v>
      </c>
      <c r="H591" s="6" t="str">
        <v>Business Services</v>
      </c>
      <c r="I591" s="6" t="str">
        <v>24343R</v>
      </c>
      <c r="J591" s="6" t="str">
        <v>Decibel Therapeutics Inc</v>
      </c>
      <c r="K591" s="6" t="str">
        <v>Decibel Therapeutics Inc</v>
      </c>
      <c r="L591" s="7">
        <f>=DATE(2017,7,6)</f>
        <v>42921.99949074074</v>
      </c>
      <c r="M591" s="7">
        <f>=DATE(2017,7,6)</f>
        <v>42921.99949074074</v>
      </c>
      <c r="W591" s="6" t="str">
        <v>Primary Business not Hi-Tech</v>
      </c>
      <c r="X591" s="6" t="str">
        <v>Research &amp; Development Firm</v>
      </c>
      <c r="Y591" s="6" t="str">
        <v>Research &amp; Development Firm</v>
      </c>
      <c r="Z591" s="6" t="str">
        <v>Research &amp; Development Firm</v>
      </c>
      <c r="AA591" s="6" t="str">
        <v>Internet Services &amp; Software;Programming Services</v>
      </c>
      <c r="AB591" s="6" t="str">
        <v>Telecommunications Equipment;Programming Services;Primary Business not Hi-Tech;Computer Consulting Services;Internet Services &amp; Software</v>
      </c>
    </row>
    <row r="592">
      <c r="A592" s="6" t="str">
        <v>30303M</v>
      </c>
      <c r="B592" s="6" t="str">
        <v>United States</v>
      </c>
      <c r="C592" s="6" t="str">
        <v>Facebook Inc</v>
      </c>
      <c r="D592" s="6" t="str">
        <v>Facebook Inc</v>
      </c>
      <c r="F592" s="6" t="str">
        <v>United States</v>
      </c>
      <c r="G592" s="6" t="str">
        <v>Source3 Inc</v>
      </c>
      <c r="H592" s="6" t="str">
        <v>Prepackaged Software</v>
      </c>
      <c r="I592" s="6" t="str">
        <v>8F1852</v>
      </c>
      <c r="J592" s="6" t="str">
        <v>Source3 Inc</v>
      </c>
      <c r="K592" s="6" t="str">
        <v>Source3 Inc</v>
      </c>
      <c r="L592" s="7">
        <f>=DATE(2017,7,24)</f>
        <v>42939.99949074074</v>
      </c>
      <c r="M592" s="7">
        <f>=DATE(2017,7,24)</f>
        <v>42939.99949074074</v>
      </c>
      <c r="W592" s="6" t="str">
        <v>Internet Services &amp; Software</v>
      </c>
      <c r="X592" s="6" t="str">
        <v>Applications Software(Home);Desktop Publishing;Applications Software(Business;Internet Services &amp; Software;Primary Business not Hi-Tech;Utilities/File Mgmt Software;Communication/Network Software;Other Software (inq. Games)</v>
      </c>
      <c r="Y592" s="6" t="str">
        <v>Internet Services &amp; Software;Primary Business not Hi-Tech;Applications Software(Home);Applications Software(Business;Other Software (inq. Games);Utilities/File Mgmt Software;Communication/Network Software;Desktop Publishing</v>
      </c>
      <c r="Z592" s="6" t="str">
        <v>Communication/Network Software;Desktop Publishing;Primary Business not Hi-Tech;Other Software (inq. Games);Utilities/File Mgmt Software;Internet Services &amp; Software;Applications Software(Business;Applications Software(Home)</v>
      </c>
      <c r="AA592" s="6" t="str">
        <v>Internet Services &amp; Software</v>
      </c>
      <c r="AB592" s="6" t="str">
        <v>Internet Services &amp; Software</v>
      </c>
    </row>
    <row r="593">
      <c r="A593" s="6" t="str">
        <v>30303M</v>
      </c>
      <c r="B593" s="6" t="str">
        <v>United States</v>
      </c>
      <c r="C593" s="6" t="str">
        <v>Facebook Inc</v>
      </c>
      <c r="D593" s="6" t="str">
        <v>Facebook Inc</v>
      </c>
      <c r="F593" s="6" t="str">
        <v>United States</v>
      </c>
      <c r="G593" s="6" t="str">
        <v>Ozlo Inc</v>
      </c>
      <c r="H593" s="6" t="str">
        <v>Prepackaged Software</v>
      </c>
      <c r="I593" s="6" t="str">
        <v>7F2487</v>
      </c>
      <c r="J593" s="6" t="str">
        <v>Ozlo Inc</v>
      </c>
      <c r="K593" s="6" t="str">
        <v>Ozlo Inc</v>
      </c>
      <c r="L593" s="7">
        <f>=DATE(2017,7,31)</f>
        <v>42946.99949074074</v>
      </c>
      <c r="M593" s="7">
        <f>=DATE(2017,7,31)</f>
        <v>42946.99949074074</v>
      </c>
      <c r="W593" s="6" t="str">
        <v>Internet Services &amp; Software</v>
      </c>
      <c r="X593" s="6" t="str">
        <v>Communication/Network Software</v>
      </c>
      <c r="Y593" s="6" t="str">
        <v>Communication/Network Software</v>
      </c>
      <c r="Z593" s="6" t="str">
        <v>Communication/Network Software</v>
      </c>
      <c r="AA593" s="6" t="str">
        <v>Internet Services &amp; Software</v>
      </c>
      <c r="AB593" s="6" t="str">
        <v>Internet Services &amp; Software</v>
      </c>
    </row>
    <row r="594">
      <c r="A594" s="6" t="str">
        <v>594918</v>
      </c>
      <c r="B594" s="6" t="str">
        <v>United States</v>
      </c>
      <c r="C594" s="6" t="str">
        <v>Microsoft Corp</v>
      </c>
      <c r="D594" s="6" t="str">
        <v>Microsoft Corp</v>
      </c>
      <c r="F594" s="6" t="str">
        <v>United States</v>
      </c>
      <c r="G594" s="6" t="str">
        <v>Cycle Computing LLC</v>
      </c>
      <c r="H594" s="6" t="str">
        <v>Prepackaged Software</v>
      </c>
      <c r="I594" s="6" t="str">
        <v>7F5608</v>
      </c>
      <c r="J594" s="6" t="str">
        <v>Cycle Computing LLC</v>
      </c>
      <c r="K594" s="6" t="str">
        <v>Cycle Computing LLC</v>
      </c>
      <c r="L594" s="7">
        <f>=DATE(2017,8,15)</f>
        <v>42961.99949074074</v>
      </c>
      <c r="M594" s="7">
        <f>=DATE(2017,8,15)</f>
        <v>42961.99949074074</v>
      </c>
      <c r="W594" s="6" t="str">
        <v>Computer Consulting Services;Internet Services &amp; Software;Monitors/Terminals;Operating Systems;Applications Software(Business;Other Peripherals</v>
      </c>
      <c r="X594" s="6" t="str">
        <v>Communication/Network Software</v>
      </c>
      <c r="Y594" s="6" t="str">
        <v>Communication/Network Software</v>
      </c>
      <c r="Z594" s="6" t="str">
        <v>Communication/Network Software</v>
      </c>
      <c r="AA594" s="6" t="str">
        <v>Operating Systems;Other Peripherals;Computer Consulting Services;Internet Services &amp; Software;Applications Software(Business;Monitors/Terminals</v>
      </c>
      <c r="AB594" s="6" t="str">
        <v>Monitors/Terminals;Operating Systems;Applications Software(Business;Internet Services &amp; Software;Computer Consulting Services;Other Peripherals</v>
      </c>
    </row>
    <row r="595">
      <c r="A595" s="6" t="str">
        <v>0C6551</v>
      </c>
      <c r="B595" s="6" t="str">
        <v>United States</v>
      </c>
      <c r="C595" s="6" t="str">
        <v>Twitch Interactive Inc</v>
      </c>
      <c r="D595" s="6" t="str">
        <v>Amazon.com Inc</v>
      </c>
      <c r="F595" s="6" t="str">
        <v>United States</v>
      </c>
      <c r="G595" s="6" t="str">
        <v>ClipMine Inc</v>
      </c>
      <c r="H595" s="6" t="str">
        <v>Business Services</v>
      </c>
      <c r="I595" s="6" t="str">
        <v>7F6620</v>
      </c>
      <c r="J595" s="6" t="str">
        <v>ClipMine Inc</v>
      </c>
      <c r="K595" s="6" t="str">
        <v>ClipMine Inc</v>
      </c>
      <c r="L595" s="7">
        <f>=DATE(2017,8,18)</f>
        <v>42964.99949074074</v>
      </c>
      <c r="M595" s="7">
        <f>=DATE(2017,8,18)</f>
        <v>42964.99949074074</v>
      </c>
      <c r="W595" s="6" t="str">
        <v>Internet Services &amp; Software</v>
      </c>
      <c r="X595" s="6" t="str">
        <v>Computer Consulting Services</v>
      </c>
      <c r="Y595" s="6" t="str">
        <v>Computer Consulting Services</v>
      </c>
      <c r="Z595" s="6" t="str">
        <v>Computer Consulting Services</v>
      </c>
      <c r="AA595" s="6" t="str">
        <v>Primary Business not Hi-Tech</v>
      </c>
      <c r="AB595" s="6" t="str">
        <v>Primary Business not Hi-Tech</v>
      </c>
      <c r="AD595" s="7">
        <f>=DATE(2017,8,18)</f>
        <v>42964.99949074074</v>
      </c>
    </row>
    <row r="596">
      <c r="A596" s="6" t="str">
        <v>037833</v>
      </c>
      <c r="B596" s="6" t="str">
        <v>United States</v>
      </c>
      <c r="C596" s="6" t="str">
        <v>Apple Inc</v>
      </c>
      <c r="D596" s="6" t="str">
        <v>Apple Inc</v>
      </c>
      <c r="F596" s="6" t="str">
        <v>United States</v>
      </c>
      <c r="G596" s="6" t="str">
        <v>Apple Inc</v>
      </c>
      <c r="H596" s="6" t="str">
        <v>Computer and Office Equipment</v>
      </c>
      <c r="I596" s="6" t="str">
        <v>037833</v>
      </c>
      <c r="J596" s="6" t="str">
        <v>Apple Inc</v>
      </c>
      <c r="K596" s="6" t="str">
        <v>Apple Inc</v>
      </c>
      <c r="L596" s="7">
        <f>=DATE(2017,8,31)</f>
        <v>42977.99949074074</v>
      </c>
      <c r="M596" s="7">
        <f>=DATE(2017,11,30)</f>
        <v>43068.99949074074</v>
      </c>
      <c r="N596" s="8">
        <v>3000</v>
      </c>
      <c r="O596" s="8">
        <v>3000</v>
      </c>
      <c r="P596" s="8" t="str">
        <v>835,408.11</v>
      </c>
      <c r="R596" s="8">
        <v>45687</v>
      </c>
      <c r="S596" s="8">
        <v>215639</v>
      </c>
      <c r="T596" s="8">
        <v>-20483</v>
      </c>
      <c r="U596" s="8">
        <v>-45977</v>
      </c>
      <c r="V596" s="8">
        <v>65824</v>
      </c>
      <c r="W596" s="6" t="str">
        <v>Micro-Computers (PCs);Printers;Monitors/Terminals;Other Software (inq. Games);Mainframes &amp; Super Computers;Portable Computers;Other Peripherals;Disk Drives</v>
      </c>
      <c r="X596" s="6" t="str">
        <v>Printers;Other Software (inq. Games);Other Peripherals;Monitors/Terminals;Micro-Computers (PCs);Disk Drives;Portable Computers;Mainframes &amp; Super Computers</v>
      </c>
      <c r="Y596" s="6" t="str">
        <v>Mainframes &amp; Super Computers;Micro-Computers (PCs);Printers;Other Software (inq. Games);Portable Computers;Other Peripherals;Disk Drives;Monitors/Terminals</v>
      </c>
      <c r="Z596" s="6" t="str">
        <v>Disk Drives;Printers;Micro-Computers (PCs);Other Software (inq. Games);Mainframes &amp; Super Computers;Monitors/Terminals;Other Peripherals;Portable Computers</v>
      </c>
      <c r="AA596" s="6" t="str">
        <v>Monitors/Terminals;Mainframes &amp; Super Computers;Other Software (inq. Games);Printers;Other Peripherals;Disk Drives;Portable Computers;Micro-Computers (PCs)</v>
      </c>
      <c r="AB596" s="6" t="str">
        <v>Disk Drives;Monitors/Terminals;Mainframes &amp; Super Computers;Micro-Computers (PCs);Other Software (inq. Games);Other Peripherals;Portable Computers;Printers</v>
      </c>
      <c r="AC596" s="8">
        <v>3000</v>
      </c>
      <c r="AD596" s="7">
        <f>=DATE(2017,8,31)</f>
        <v>42977.99949074074</v>
      </c>
      <c r="AF596" s="8" t="str">
        <v>835,408.11</v>
      </c>
      <c r="AG596" s="8" t="str">
        <v>835,408.11</v>
      </c>
    </row>
    <row r="597">
      <c r="A597" s="6" t="str">
        <v>38259P</v>
      </c>
      <c r="B597" s="6" t="str">
        <v>United States</v>
      </c>
      <c r="C597" s="6" t="str">
        <v>Google Inc</v>
      </c>
      <c r="D597" s="6" t="str">
        <v>Alphabet Inc</v>
      </c>
      <c r="F597" s="6" t="str">
        <v>United States</v>
      </c>
      <c r="G597" s="6" t="str">
        <v>Bitium Inc</v>
      </c>
      <c r="H597" s="6" t="str">
        <v>Prepackaged Software</v>
      </c>
      <c r="I597" s="6" t="str">
        <v>8F7239</v>
      </c>
      <c r="J597" s="6" t="str">
        <v>Bitium Inc</v>
      </c>
      <c r="K597" s="6" t="str">
        <v>Bitium Inc</v>
      </c>
      <c r="L597" s="7">
        <f>=DATE(2017,9,26)</f>
        <v>43003.99949074074</v>
      </c>
      <c r="M597" s="7">
        <f>=DATE(2017,9,26)</f>
        <v>43003.99949074074</v>
      </c>
      <c r="W597" s="6" t="str">
        <v>Internet Services &amp; Software;Programming Services</v>
      </c>
      <c r="X597" s="6" t="str">
        <v>Internet Services &amp; Software;Applications Software(Business</v>
      </c>
      <c r="Y597" s="6" t="str">
        <v>Internet Services &amp; Software;Applications Software(Business</v>
      </c>
      <c r="Z597" s="6" t="str">
        <v>Applications Software(Business;Internet Services &amp; Software</v>
      </c>
      <c r="AA597" s="6" t="str">
        <v>Telecommunications Equipment;Internet Services &amp; Software;Computer Consulting Services;Programming Services;Primary Business not Hi-Tech</v>
      </c>
      <c r="AB597" s="6" t="str">
        <v>Programming Services;Primary Business not Hi-Tech;Computer Consulting Services;Internet Services &amp; Software;Telecommunications Equipment</v>
      </c>
    </row>
    <row r="598">
      <c r="A598" s="6" t="str">
        <v>594918</v>
      </c>
      <c r="B598" s="6" t="str">
        <v>United States</v>
      </c>
      <c r="C598" s="6" t="str">
        <v>Microsoft Corp</v>
      </c>
      <c r="D598" s="6" t="str">
        <v>Microsoft Corp</v>
      </c>
      <c r="F598" s="6" t="str">
        <v>United States</v>
      </c>
      <c r="G598" s="6" t="str">
        <v>Altspace VR</v>
      </c>
      <c r="H598" s="6" t="str">
        <v>Prepackaged Software</v>
      </c>
      <c r="I598" s="6" t="str">
        <v>1H0687</v>
      </c>
      <c r="J598" s="6" t="str">
        <v>Altspace VR</v>
      </c>
      <c r="K598" s="6" t="str">
        <v>Altspace VR</v>
      </c>
      <c r="L598" s="7">
        <f>=DATE(2017,10,3)</f>
        <v>43010.99949074074</v>
      </c>
      <c r="M598" s="7">
        <f>=DATE(2017,10,3)</f>
        <v>43010.99949074074</v>
      </c>
      <c r="W598" s="6" t="str">
        <v>Computer Consulting Services;Other Peripherals;Monitors/Terminals;Internet Services &amp; Software;Applications Software(Business;Operating Systems</v>
      </c>
      <c r="X598" s="6" t="str">
        <v>Other Software (inq. Games)</v>
      </c>
      <c r="Y598" s="6" t="str">
        <v>Other Software (inq. Games)</v>
      </c>
      <c r="Z598" s="6" t="str">
        <v>Other Software (inq. Games)</v>
      </c>
      <c r="AA598" s="6" t="str">
        <v>Applications Software(Business;Other Peripherals;Computer Consulting Services;Monitors/Terminals;Internet Services &amp; Software;Operating Systems</v>
      </c>
      <c r="AB598" s="6" t="str">
        <v>Monitors/Terminals;Applications Software(Business;Other Peripherals;Internet Services &amp; Software;Operating Systems;Computer Consulting Services</v>
      </c>
    </row>
    <row r="599">
      <c r="A599" s="6" t="str">
        <v>023135</v>
      </c>
      <c r="B599" s="6" t="str">
        <v>United States</v>
      </c>
      <c r="C599" s="6" t="str">
        <v>Amazon.com Inc</v>
      </c>
      <c r="D599" s="6" t="str">
        <v>Amazon.com Inc</v>
      </c>
      <c r="F599" s="6" t="str">
        <v>United States</v>
      </c>
      <c r="G599" s="6" t="str">
        <v>Body Labs Inc</v>
      </c>
      <c r="H599" s="6" t="str">
        <v>Prepackaged Software</v>
      </c>
      <c r="I599" s="6" t="str">
        <v>9F0567</v>
      </c>
      <c r="J599" s="6" t="str">
        <v>Body Labs Inc</v>
      </c>
      <c r="K599" s="6" t="str">
        <v>Body Labs Inc</v>
      </c>
      <c r="L599" s="7">
        <f>=DATE(2017,10,3)</f>
        <v>43010.99949074074</v>
      </c>
      <c r="M599" s="7">
        <f>=DATE(2017,10,3)</f>
        <v>43010.99949074074</v>
      </c>
      <c r="W599" s="6" t="str">
        <v>Primary Business not Hi-Tech</v>
      </c>
      <c r="X599" s="6" t="str">
        <v>Internet Services &amp; Software;Other Software (inq. Games);Utilities/File Mgmt Software;Communication/Network Software;Desktop Publishing;Applications Software(Home);Applications Software(Business</v>
      </c>
      <c r="Y599" s="6" t="str">
        <v>Desktop Publishing;Applications Software(Business;Communication/Network Software;Applications Software(Home);Other Software (inq. Games);Utilities/File Mgmt Software;Internet Services &amp; Software</v>
      </c>
      <c r="Z599" s="6" t="str">
        <v>Utilities/File Mgmt Software;Internet Services &amp; Software;Desktop Publishing;Communication/Network Software;Applications Software(Home);Applications Software(Business;Other Software (inq. Games)</v>
      </c>
      <c r="AA599" s="6" t="str">
        <v>Primary Business not Hi-Tech</v>
      </c>
      <c r="AB599" s="6" t="str">
        <v>Primary Business not Hi-Tech</v>
      </c>
      <c r="AD599" s="7">
        <f>=DATE(2017,10,3)</f>
        <v>43010.99949074074</v>
      </c>
    </row>
    <row r="600">
      <c r="A600" s="6" t="str">
        <v>7J8440</v>
      </c>
      <c r="B600" s="6" t="str">
        <v>United States</v>
      </c>
      <c r="C600" s="6" t="str">
        <v>Google LLC</v>
      </c>
      <c r="D600" s="6" t="str">
        <v>Alphabet Inc</v>
      </c>
      <c r="F600" s="6" t="str">
        <v>United States</v>
      </c>
      <c r="G600" s="6" t="str">
        <v>Relay Media Inc</v>
      </c>
      <c r="H600" s="6" t="str">
        <v>Business Services</v>
      </c>
      <c r="I600" s="6" t="str">
        <v>9F0383</v>
      </c>
      <c r="J600" s="6" t="str">
        <v>Relay Media Inc</v>
      </c>
      <c r="K600" s="6" t="str">
        <v>Relay Media Inc</v>
      </c>
      <c r="L600" s="7">
        <f>=DATE(2017,10,9)</f>
        <v>43016.99949074074</v>
      </c>
      <c r="M600" s="7">
        <f>=DATE(2017,10,9)</f>
        <v>43016.99949074074</v>
      </c>
      <c r="W600" s="6" t="str">
        <v>Programming Services;Internet Services &amp; Software</v>
      </c>
      <c r="X600" s="6" t="str">
        <v>Other Computer Related Svcs;Internet Services &amp; Software</v>
      </c>
      <c r="Y600" s="6" t="str">
        <v>Internet Services &amp; Software;Other Computer Related Svcs</v>
      </c>
      <c r="Z600" s="6" t="str">
        <v>Other Computer Related Svcs;Internet Services &amp; Software</v>
      </c>
      <c r="AA600" s="6" t="str">
        <v>Computer Consulting Services;Internet Services &amp; Software;Telecommunications Equipment;Primary Business not Hi-Tech;Programming Services</v>
      </c>
      <c r="AB600" s="6" t="str">
        <v>Telecommunications Equipment;Internet Services &amp; Software;Computer Consulting Services;Primary Business not Hi-Tech;Programming Services</v>
      </c>
    </row>
    <row r="601">
      <c r="A601" s="6" t="str">
        <v>2F3138</v>
      </c>
      <c r="B601" s="6" t="str">
        <v>United States</v>
      </c>
      <c r="C601" s="6" t="str">
        <v>CapitalG Management Co LLC</v>
      </c>
      <c r="D601" s="6" t="str">
        <v>Alphabet Inc</v>
      </c>
      <c r="F601" s="6" t="str">
        <v>United States</v>
      </c>
      <c r="G601" s="6" t="str">
        <v>Lyft Inc</v>
      </c>
      <c r="H601" s="6" t="str">
        <v>Prepackaged Software</v>
      </c>
      <c r="I601" s="6" t="str">
        <v>6C5805</v>
      </c>
      <c r="J601" s="6" t="str">
        <v>Lyft Inc</v>
      </c>
      <c r="K601" s="6" t="str">
        <v>Lyft Inc</v>
      </c>
      <c r="L601" s="7">
        <f>=DATE(2017,10,19)</f>
        <v>43026.99949074074</v>
      </c>
      <c r="M601" s="7">
        <f>=DATE(2017,10,19)</f>
        <v>43026.99949074074</v>
      </c>
      <c r="N601" s="8">
        <v>1000</v>
      </c>
      <c r="O601" s="8">
        <v>1000</v>
      </c>
      <c r="R601" s="8">
        <v>-1136.833</v>
      </c>
      <c r="S601" s="8">
        <v>1775.118</v>
      </c>
      <c r="T601" s="8">
        <v>2048.951</v>
      </c>
      <c r="U601" s="8">
        <v>-991.426</v>
      </c>
      <c r="V601" s="8">
        <v>-393.526</v>
      </c>
      <c r="W601" s="6" t="str">
        <v>Primary Business not Hi-Tech</v>
      </c>
      <c r="X601" s="6" t="str">
        <v>Internet Services &amp; Software;Other Software (inq. Games);Primary Business not Hi-Tech;Networking Systems (LAN,WAN);Applications Software(Home);Utilities/File Mgmt Software;Satellite Communications;Applications Software(Business;Communication/Network Software;Desktop Publishing</v>
      </c>
      <c r="Y601" s="6" t="str">
        <v>Other Software (inq. Games);Networking Systems (LAN,WAN);Satellite Communications;Internet Services &amp; Software;Communication/Network Software;Desktop Publishing;Primary Business not Hi-Tech;Applications Software(Business;Applications Software(Home);Utilities/File Mgmt Software</v>
      </c>
      <c r="Z601" s="6" t="str">
        <v>Internet Services &amp; Software;Satellite Communications;Networking Systems (LAN,WAN);Applications Software(Home);Other Software (inq. Games);Communication/Network Software;Primary Business not Hi-Tech;Desktop Publishing;Utilities/File Mgmt Software;Applications Software(Business</v>
      </c>
      <c r="AA601" s="6" t="str">
        <v>Programming Services;Internet Services &amp; Software</v>
      </c>
      <c r="AB601" s="6" t="str">
        <v>Primary Business not Hi-Tech;Telecommunications Equipment;Programming Services;Computer Consulting Services;Internet Services &amp; Software</v>
      </c>
      <c r="AC601" s="8">
        <v>1000</v>
      </c>
      <c r="AD601" s="7">
        <f>=DATE(2017,10,19)</f>
        <v>43026.99949074074</v>
      </c>
    </row>
    <row r="602">
      <c r="A602" s="6" t="str">
        <v>037833</v>
      </c>
      <c r="B602" s="6" t="str">
        <v>United States</v>
      </c>
      <c r="C602" s="6" t="str">
        <v>Apple Inc</v>
      </c>
      <c r="D602" s="6" t="str">
        <v>Apple Inc</v>
      </c>
      <c r="F602" s="6" t="str">
        <v>United States</v>
      </c>
      <c r="G602" s="6" t="str">
        <v>Apple Inc</v>
      </c>
      <c r="H602" s="6" t="str">
        <v>Computer and Office Equipment</v>
      </c>
      <c r="I602" s="6" t="str">
        <v>037833</v>
      </c>
      <c r="J602" s="6" t="str">
        <v>Apple Inc</v>
      </c>
      <c r="K602" s="6" t="str">
        <v>Apple Inc</v>
      </c>
      <c r="L602" s="7">
        <f>=DATE(2017,11,1)</f>
        <v>43039.99949074074</v>
      </c>
      <c r="M602" s="7">
        <f>=DATE(2018,2,28)</f>
        <v>43158.99949074074</v>
      </c>
      <c r="N602" s="8">
        <v>5000</v>
      </c>
      <c r="O602" s="8">
        <v>5000</v>
      </c>
      <c r="P602" s="8" t="str">
        <v>923,870.79</v>
      </c>
      <c r="R602" s="8">
        <v>48351</v>
      </c>
      <c r="S602" s="8">
        <v>229234</v>
      </c>
      <c r="T602" s="8">
        <v>-17347</v>
      </c>
      <c r="U602" s="8">
        <v>-46446</v>
      </c>
      <c r="V602" s="8">
        <v>63598</v>
      </c>
      <c r="W602" s="6" t="str">
        <v>Other Peripherals;Monitors/Terminals;Other Software (inq. Games);Micro-Computers (PCs);Mainframes &amp; Super Computers;Disk Drives;Portable Computers;Printers</v>
      </c>
      <c r="X602" s="6" t="str">
        <v>Mainframes &amp; Super Computers;Portable Computers;Other Peripherals;Other Software (inq. Games);Monitors/Terminals;Micro-Computers (PCs);Printers;Disk Drives</v>
      </c>
      <c r="Y602" s="6" t="str">
        <v>Portable Computers;Other Peripherals;Micro-Computers (PCs);Monitors/Terminals;Disk Drives;Other Software (inq. Games);Mainframes &amp; Super Computers;Printers</v>
      </c>
      <c r="Z602" s="6" t="str">
        <v>Monitors/Terminals;Printers;Portable Computers;Other Software (inq. Games);Mainframes &amp; Super Computers;Disk Drives;Micro-Computers (PCs);Other Peripherals</v>
      </c>
      <c r="AA602" s="6" t="str">
        <v>Monitors/Terminals;Micro-Computers (PCs);Printers;Other Software (inq. Games);Other Peripherals;Mainframes &amp; Super Computers;Disk Drives;Portable Computers</v>
      </c>
      <c r="AB602" s="6" t="str">
        <v>Other Software (inq. Games);Monitors/Terminals;Other Peripherals;Disk Drives;Mainframes &amp; Super Computers;Micro-Computers (PCs);Portable Computers;Printers</v>
      </c>
      <c r="AC602" s="8">
        <v>5000</v>
      </c>
      <c r="AD602" s="7">
        <f>=DATE(2017,11,1)</f>
        <v>43039.99949074074</v>
      </c>
      <c r="AF602" s="8" t="str">
        <v>923,870.79</v>
      </c>
      <c r="AG602" s="8" t="str">
        <v>923,870.79</v>
      </c>
    </row>
    <row r="603">
      <c r="A603" s="6" t="str">
        <v>7J8440</v>
      </c>
      <c r="B603" s="6" t="str">
        <v>United States</v>
      </c>
      <c r="C603" s="6" t="str">
        <v>Google LLC</v>
      </c>
      <c r="D603" s="6" t="str">
        <v>Alphabet Inc</v>
      </c>
      <c r="F603" s="6" t="str">
        <v>United States</v>
      </c>
      <c r="G603" s="6" t="str">
        <v>XtalPi Inc</v>
      </c>
      <c r="H603" s="6" t="str">
        <v>Drugs</v>
      </c>
      <c r="I603" s="6" t="str">
        <v>0H4268</v>
      </c>
      <c r="J603" s="6" t="str">
        <v>XtalPi Inc</v>
      </c>
      <c r="K603" s="6" t="str">
        <v>XtalPi Inc</v>
      </c>
      <c r="L603" s="7">
        <f>=DATE(2017,11,17)</f>
        <v>43055.99949074074</v>
      </c>
      <c r="M603" s="7">
        <f>=DATE(2017,11,17)</f>
        <v>43055.99949074074</v>
      </c>
      <c r="N603" s="8">
        <v>2</v>
      </c>
      <c r="O603" s="8">
        <v>2</v>
      </c>
      <c r="W603" s="6" t="str">
        <v>Programming Services;Internet Services &amp; Software</v>
      </c>
      <c r="X603" s="6" t="str">
        <v>General Pharmaceuticals</v>
      </c>
      <c r="Y603" s="6" t="str">
        <v>General Pharmaceuticals</v>
      </c>
      <c r="Z603" s="6" t="str">
        <v>General Pharmaceuticals</v>
      </c>
      <c r="AA603" s="6" t="str">
        <v>Internet Services &amp; Software;Programming Services;Telecommunications Equipment;Computer Consulting Services;Primary Business not Hi-Tech</v>
      </c>
      <c r="AB603" s="6" t="str">
        <v>Telecommunications Equipment;Programming Services;Primary Business not Hi-Tech;Internet Services &amp; Software;Computer Consulting Services</v>
      </c>
      <c r="AC603" s="8">
        <v>2</v>
      </c>
      <c r="AD603" s="7">
        <f>=DATE(2017,11,17)</f>
        <v>43055.99949074074</v>
      </c>
    </row>
    <row r="604">
      <c r="A604" s="6" t="str">
        <v>4C7902</v>
      </c>
      <c r="B604" s="6" t="str">
        <v>United States</v>
      </c>
      <c r="C604" s="6" t="str">
        <v>Amazon Web Services Inc</v>
      </c>
      <c r="D604" s="6" t="str">
        <v>Amazon.com Inc</v>
      </c>
      <c r="F604" s="6" t="str">
        <v>United States</v>
      </c>
      <c r="G604" s="6" t="str">
        <v>Sqrrl Data Inc</v>
      </c>
      <c r="H604" s="6" t="str">
        <v>Business Services</v>
      </c>
      <c r="I604" s="6" t="str">
        <v>6F1167</v>
      </c>
      <c r="J604" s="6" t="str">
        <v>Sqrrl Data Inc</v>
      </c>
      <c r="K604" s="6" t="str">
        <v>Sqrrl Data Inc</v>
      </c>
      <c r="L604" s="7">
        <f>=DATE(2018,1,23)</f>
        <v>43122.99949074074</v>
      </c>
      <c r="M604" s="7">
        <f>=DATE(2018,1,23)</f>
        <v>43122.99949074074</v>
      </c>
      <c r="W604" s="6" t="str">
        <v>Other Computer Related Svcs;Internet Services &amp; Software;Data Processing Services;Computer Consulting Services;Primary Business not Hi-Tech</v>
      </c>
      <c r="X604" s="6" t="str">
        <v>Other Computer Related Svcs;Computer Consulting Services;Data Processing Services;Other Software (inq. Games)</v>
      </c>
      <c r="Y604" s="6" t="str">
        <v>Other Computer Related Svcs;Other Software (inq. Games);Computer Consulting Services;Data Processing Services</v>
      </c>
      <c r="Z604" s="6" t="str">
        <v>Other Computer Related Svcs;Computer Consulting Services;Other Software (inq. Games);Data Processing Services</v>
      </c>
      <c r="AA604" s="6" t="str">
        <v>Primary Business not Hi-Tech</v>
      </c>
      <c r="AB604" s="6" t="str">
        <v>Primary Business not Hi-Tech</v>
      </c>
      <c r="AD604" s="7">
        <f>=DATE(2017,12,18)</f>
        <v>43086.99949074074</v>
      </c>
    </row>
    <row r="605">
      <c r="A605" s="6" t="str">
        <v>30303M</v>
      </c>
      <c r="B605" s="6" t="str">
        <v>United States</v>
      </c>
      <c r="C605" s="6" t="str">
        <v>Facebook Inc</v>
      </c>
      <c r="D605" s="6" t="str">
        <v>Facebook Inc</v>
      </c>
      <c r="F605" s="6" t="str">
        <v>United States</v>
      </c>
      <c r="G605" s="6" t="str">
        <v>Confirm Inc</v>
      </c>
      <c r="H605" s="6" t="str">
        <v>Business Services</v>
      </c>
      <c r="I605" s="6" t="str">
        <v>1H8111</v>
      </c>
      <c r="J605" s="6" t="str">
        <v>Confirm Inc</v>
      </c>
      <c r="K605" s="6" t="str">
        <v>Confirm Inc</v>
      </c>
      <c r="L605" s="7">
        <f>=DATE(2018,1,24)</f>
        <v>43123.99949074074</v>
      </c>
      <c r="M605" s="7">
        <f>=DATE(2018,3,1)</f>
        <v>43159.99949074074</v>
      </c>
      <c r="W605" s="6" t="str">
        <v>Internet Services &amp; Software</v>
      </c>
      <c r="X605" s="6" t="str">
        <v>Other Software (inq. Games);Applications Software(Business;Applications Software(Home);Desktop Publishing;Communication/Network Software;Primary Business not Hi-Tech;Utilities/File Mgmt Software;Internet Services &amp; Software</v>
      </c>
      <c r="Y605" s="6" t="str">
        <v>Desktop Publishing;Applications Software(Business;Applications Software(Home);Communication/Network Software;Other Software (inq. Games);Primary Business not Hi-Tech;Utilities/File Mgmt Software;Internet Services &amp; Software</v>
      </c>
      <c r="Z605" s="6" t="str">
        <v>Other Software (inq. Games);Utilities/File Mgmt Software;Internet Services &amp; Software;Communication/Network Software;Applications Software(Business;Desktop Publishing;Applications Software(Home);Primary Business not Hi-Tech</v>
      </c>
      <c r="AA605" s="6" t="str">
        <v>Internet Services &amp; Software</v>
      </c>
      <c r="AB605" s="6" t="str">
        <v>Internet Services &amp; Software</v>
      </c>
    </row>
    <row r="606">
      <c r="A606" s="6" t="str">
        <v>594918</v>
      </c>
      <c r="B606" s="6" t="str">
        <v>United States</v>
      </c>
      <c r="C606" s="6" t="str">
        <v>Microsoft Corp</v>
      </c>
      <c r="D606" s="6" t="str">
        <v>Microsoft Corp</v>
      </c>
      <c r="F606" s="6" t="str">
        <v>United States</v>
      </c>
      <c r="G606" s="6" t="str">
        <v>PlayFab Inc</v>
      </c>
      <c r="H606" s="6" t="str">
        <v>Prepackaged Software</v>
      </c>
      <c r="I606" s="6" t="str">
        <v>1H9714</v>
      </c>
      <c r="J606" s="6" t="str">
        <v>PlayFab Inc</v>
      </c>
      <c r="K606" s="6" t="str">
        <v>PlayFab Inc</v>
      </c>
      <c r="L606" s="7">
        <f>=DATE(2018,1,29)</f>
        <v>43128.99949074074</v>
      </c>
      <c r="M606" s="7">
        <f>=DATE(2018,1,29)</f>
        <v>43128.99949074074</v>
      </c>
      <c r="W606" s="6" t="str">
        <v>Internet Services &amp; Software;Other Peripherals;Computer Consulting Services;Operating Systems;Applications Software(Business;Monitors/Terminals</v>
      </c>
      <c r="X606" s="6" t="str">
        <v>Applications Software(Business;Other Software (inq. Games);Internet Services &amp; Software;Applications Software(Home);Utilities/File Mgmt Software;Desktop Publishing;Communication/Network Software</v>
      </c>
      <c r="Y606" s="6" t="str">
        <v>Applications Software(Business;Communication/Network Software;Desktop Publishing;Applications Software(Home);Other Software (inq. Games);Utilities/File Mgmt Software;Internet Services &amp; Software</v>
      </c>
      <c r="Z606" s="6" t="str">
        <v>Communication/Network Software;Desktop Publishing;Applications Software(Home);Internet Services &amp; Software;Applications Software(Business;Other Software (inq. Games);Utilities/File Mgmt Software</v>
      </c>
      <c r="AA606" s="6" t="str">
        <v>Applications Software(Business;Internet Services &amp; Software;Computer Consulting Services;Operating Systems;Monitors/Terminals;Other Peripherals</v>
      </c>
      <c r="AB606" s="6" t="str">
        <v>Monitors/Terminals;Computer Consulting Services;Internet Services &amp; Software;Applications Software(Business;Other Peripherals;Operating Systems</v>
      </c>
      <c r="AD606" s="7">
        <f>=DATE(2018,1,30)</f>
        <v>43129.99949074074</v>
      </c>
    </row>
    <row r="607">
      <c r="A607" s="6" t="str">
        <v>023135</v>
      </c>
      <c r="B607" s="6" t="str">
        <v>United States</v>
      </c>
      <c r="C607" s="6" t="str">
        <v>Amazon.com Inc</v>
      </c>
      <c r="D607" s="6" t="str">
        <v>Amazon.com Inc</v>
      </c>
      <c r="F607" s="6" t="str">
        <v>United States</v>
      </c>
      <c r="G607" s="6" t="str">
        <v>Ring Inc</v>
      </c>
      <c r="H607" s="6" t="str">
        <v>Communications Equipment</v>
      </c>
      <c r="I607" s="6" t="str">
        <v>1H4557</v>
      </c>
      <c r="J607" s="6" t="str">
        <v>Ring Inc</v>
      </c>
      <c r="K607" s="6" t="str">
        <v>Ring Inc</v>
      </c>
      <c r="L607" s="7">
        <f>=DATE(2018,2,27)</f>
        <v>43157.99949074074</v>
      </c>
      <c r="M607" s="7">
        <f>=DATE(2018,4,12)</f>
        <v>43201.99949074074</v>
      </c>
      <c r="N607" s="8">
        <v>839</v>
      </c>
      <c r="O607" s="8">
        <v>839</v>
      </c>
      <c r="W607" s="6" t="str">
        <v>Primary Business not Hi-Tech</v>
      </c>
      <c r="X607" s="6" t="str">
        <v>Data Commun(Exclude networking;Messaging Systems;Alarm Systems;Telephone Interconnect Equip;Microwave Communications;Other Telecommunications Equip</v>
      </c>
      <c r="Y607" s="6" t="str">
        <v>Data Commun(Exclude networking;Other Telecommunications Equip;Alarm Systems;Telephone Interconnect Equip;Microwave Communications;Messaging Systems</v>
      </c>
      <c r="Z607" s="6" t="str">
        <v>Messaging Systems;Telephone Interconnect Equip;Other Telecommunications Equip;Data Commun(Exclude networking;Alarm Systems;Microwave Communications</v>
      </c>
      <c r="AA607" s="6" t="str">
        <v>Primary Business not Hi-Tech</v>
      </c>
      <c r="AB607" s="6" t="str">
        <v>Primary Business not Hi-Tech</v>
      </c>
      <c r="AC607" s="8">
        <v>839</v>
      </c>
      <c r="AD607" s="7">
        <f>=DATE(2018,2,28)</f>
        <v>43158.99949074074</v>
      </c>
    </row>
    <row r="608">
      <c r="A608" s="6" t="str">
        <v>7J8440</v>
      </c>
      <c r="B608" s="6" t="str">
        <v>United States</v>
      </c>
      <c r="C608" s="6" t="str">
        <v>Google LLC</v>
      </c>
      <c r="D608" s="6" t="str">
        <v>Alphabet Inc</v>
      </c>
      <c r="F608" s="6" t="str">
        <v>United States</v>
      </c>
      <c r="G608" s="6" t="str">
        <v>Socratic Inc</v>
      </c>
      <c r="H608" s="6" t="str">
        <v>Prepackaged Software</v>
      </c>
      <c r="I608" s="6" t="str">
        <v>4H9736</v>
      </c>
      <c r="J608" s="6" t="str">
        <v>Socratic Inc</v>
      </c>
      <c r="K608" s="6" t="str">
        <v>Socratic Inc</v>
      </c>
      <c r="L608" s="7">
        <f>=DATE(2018,3,14)</f>
        <v>43172.99949074074</v>
      </c>
      <c r="M608" s="7">
        <f>=DATE(2018,5,9)</f>
        <v>43228.99949074074</v>
      </c>
      <c r="W608" s="6" t="str">
        <v>Programming Services;Internet Services &amp; Software</v>
      </c>
      <c r="X608" s="6" t="str">
        <v>Other Software (inq. Games);Applications Software(Home);Desktop Publishing;Communication/Network Software;Utilities/File Mgmt Software;Internet Services &amp; Software;Applications Software(Business</v>
      </c>
      <c r="Y608" s="6" t="str">
        <v>Utilities/File Mgmt Software;Applications Software(Business;Communication/Network Software;Other Software (inq. Games);Internet Services &amp; Software;Applications Software(Home);Desktop Publishing</v>
      </c>
      <c r="Z608" s="6" t="str">
        <v>Communication/Network Software;Other Software (inq. Games);Internet Services &amp; Software;Utilities/File Mgmt Software;Applications Software(Business;Desktop Publishing;Applications Software(Home)</v>
      </c>
      <c r="AA608" s="6" t="str">
        <v>Computer Consulting Services;Primary Business not Hi-Tech;Programming Services;Internet Services &amp; Software;Telecommunications Equipment</v>
      </c>
      <c r="AB608" s="6" t="str">
        <v>Computer Consulting Services;Programming Services;Telecommunications Equipment;Internet Services &amp; Software;Primary Business not Hi-Tech</v>
      </c>
    </row>
    <row r="609">
      <c r="A609" s="6" t="str">
        <v>7J8440</v>
      </c>
      <c r="B609" s="6" t="str">
        <v>United States</v>
      </c>
      <c r="C609" s="6" t="str">
        <v>Google LLC</v>
      </c>
      <c r="D609" s="6" t="str">
        <v>Alphabet Inc</v>
      </c>
      <c r="F609" s="6" t="str">
        <v>United States</v>
      </c>
      <c r="G609" s="6" t="str">
        <v>Tenor Inc</v>
      </c>
      <c r="H609" s="6" t="str">
        <v>Prepackaged Software</v>
      </c>
      <c r="I609" s="6" t="str">
        <v>3H3084</v>
      </c>
      <c r="J609" s="6" t="str">
        <v>Tenor Inc</v>
      </c>
      <c r="K609" s="6" t="str">
        <v>Tenor Inc</v>
      </c>
      <c r="L609" s="7">
        <f>=DATE(2018,3,27)</f>
        <v>43185.99949074074</v>
      </c>
      <c r="M609" s="7">
        <f>=DATE(2018,3,27)</f>
        <v>43185.99949074074</v>
      </c>
      <c r="W609" s="6" t="str">
        <v>Internet Services &amp; Software;Programming Services</v>
      </c>
      <c r="X609" s="6" t="str">
        <v>Utilities/File Mgmt Software;Other Software (inq. Games);Internet Services &amp; Software;Communication/Network Software;Desktop Publishing;Applications Software(Business;Applications Software(Home)</v>
      </c>
      <c r="Y609" s="6" t="str">
        <v>Other Software (inq. Games);Utilities/File Mgmt Software;Desktop Publishing;Communication/Network Software;Applications Software(Business;Applications Software(Home);Internet Services &amp; Software</v>
      </c>
      <c r="Z609" s="6" t="str">
        <v>Other Software (inq. Games);Utilities/File Mgmt Software;Communication/Network Software;Desktop Publishing;Applications Software(Home);Applications Software(Business;Internet Services &amp; Software</v>
      </c>
      <c r="AA609" s="6" t="str">
        <v>Primary Business not Hi-Tech;Telecommunications Equipment;Programming Services;Internet Services &amp; Software;Computer Consulting Services</v>
      </c>
      <c r="AB609" s="6" t="str">
        <v>Telecommunications Equipment;Primary Business not Hi-Tech;Computer Consulting Services;Programming Services;Internet Services &amp; Software</v>
      </c>
    </row>
    <row r="610">
      <c r="A610" s="6" t="str">
        <v>73959W</v>
      </c>
      <c r="B610" s="6" t="str">
        <v>United States</v>
      </c>
      <c r="C610" s="6" t="str">
        <v>PowerSchool Group LLC</v>
      </c>
      <c r="D610" s="6" t="str">
        <v>PowerSchool Holdings Inc</v>
      </c>
      <c r="E610" s="6" t="str">
        <v>Onex Corp</v>
      </c>
      <c r="F610" s="6" t="str">
        <v>United States</v>
      </c>
      <c r="G610" s="6" t="str">
        <v>PeopleAdmin Inc</v>
      </c>
      <c r="H610" s="6" t="str">
        <v>Prepackaged Software</v>
      </c>
      <c r="I610" s="6" t="str">
        <v>69726Y</v>
      </c>
      <c r="J610" s="6" t="str">
        <v>Vista Equity Partners Management LLC</v>
      </c>
      <c r="K610" s="6" t="str">
        <v>Vista Equity Partners Management LLC</v>
      </c>
      <c r="L610" s="7">
        <f>=DATE(2018,4,16)</f>
        <v>43205.99949074074</v>
      </c>
      <c r="M610" s="7">
        <f>=DATE(2018,8,1)</f>
        <v>43312.99949074074</v>
      </c>
      <c r="S610" s="8">
        <v>27.239</v>
      </c>
      <c r="W610" s="6" t="str">
        <v>Other Software (inq. Games)</v>
      </c>
      <c r="X610" s="6" t="str">
        <v>Other Software (inq. Games)</v>
      </c>
      <c r="Y610" s="6" t="str">
        <v>Primary Business not Hi-Tech</v>
      </c>
      <c r="Z610" s="6" t="str">
        <v>Primary Business not Hi-Tech</v>
      </c>
      <c r="AA610" s="6" t="str">
        <v>Internet Services &amp; Software;Desktop Publishing;Primary Business not Hi-Tech;Applications Software(Home);Utilities/File Mgmt Software;Other Software (inq. Games);Communication/Network Software;Applications Software(Business</v>
      </c>
      <c r="AB610" s="6" t="str">
        <v>Other Software (inq. Games);Applications Software(Business;Primary Business not Hi-Tech;Applications Software(Home);Desktop Publishing;Internet Services &amp; Software;Communication/Network Software;Utilities/File Mgmt Software</v>
      </c>
    </row>
    <row r="611">
      <c r="A611" s="6" t="str">
        <v>7J8440</v>
      </c>
      <c r="B611" s="6" t="str">
        <v>United States</v>
      </c>
      <c r="C611" s="6" t="str">
        <v>Google LLC</v>
      </c>
      <c r="D611" s="6" t="str">
        <v>Alphabet Inc</v>
      </c>
      <c r="F611" s="6" t="str">
        <v>United States</v>
      </c>
      <c r="G611" s="6" t="str">
        <v>Velostrata Inc</v>
      </c>
      <c r="H611" s="6" t="str">
        <v>Business Services</v>
      </c>
      <c r="I611" s="6" t="str">
        <v>4H8039</v>
      </c>
      <c r="J611" s="6" t="str">
        <v>Velostrata Inc</v>
      </c>
      <c r="K611" s="6" t="str">
        <v>Velostrata Inc</v>
      </c>
      <c r="L611" s="7">
        <f>=DATE(2018,5,9)</f>
        <v>43228.99949074074</v>
      </c>
      <c r="M611" s="7">
        <f>=DATE(2018,5,9)</f>
        <v>43228.99949074074</v>
      </c>
      <c r="W611" s="6" t="str">
        <v>Internet Services &amp; Software;Programming Services</v>
      </c>
      <c r="X611" s="6" t="str">
        <v>Desktop Publishing;Other Software (inq. Games);Applications Software(Home);Database Software/Programming;Communication/Network Software;Programming Services;Applications Software(Business;Utilities/File Mgmt Software;Internet Services &amp; Software</v>
      </c>
      <c r="Y611" s="6" t="str">
        <v>Desktop Publishing;Database Software/Programming;Applications Software(Business;Utilities/File Mgmt Software;Applications Software(Home);Other Software (inq. Games);Communication/Network Software;Internet Services &amp; Software;Programming Services</v>
      </c>
      <c r="Z611" s="6" t="str">
        <v>Desktop Publishing;Applications Software(Business;Programming Services;Applications Software(Home);Utilities/File Mgmt Software;Other Software (inq. Games);Communication/Network Software;Internet Services &amp; Software;Database Software/Programming</v>
      </c>
      <c r="AA611" s="6" t="str">
        <v>Internet Services &amp; Software;Programming Services;Computer Consulting Services;Primary Business not Hi-Tech;Telecommunications Equipment</v>
      </c>
      <c r="AB611" s="6" t="str">
        <v>Primary Business not Hi-Tech;Computer Consulting Services;Telecommunications Equipment;Internet Services &amp; Software;Programming Services</v>
      </c>
    </row>
    <row r="612">
      <c r="A612" s="6" t="str">
        <v>594918</v>
      </c>
      <c r="B612" s="6" t="str">
        <v>United States</v>
      </c>
      <c r="C612" s="6" t="str">
        <v>Microsoft Corp</v>
      </c>
      <c r="D612" s="6" t="str">
        <v>Microsoft Corp</v>
      </c>
      <c r="F612" s="6" t="str">
        <v>United States</v>
      </c>
      <c r="G612" s="6" t="str">
        <v>Semantic Machines Inc</v>
      </c>
      <c r="H612" s="6" t="str">
        <v>Prepackaged Software</v>
      </c>
      <c r="I612" s="6" t="str">
        <v>4H8012</v>
      </c>
      <c r="J612" s="6" t="str">
        <v>Semantic Machines Inc</v>
      </c>
      <c r="K612" s="6" t="str">
        <v>Semantic Machines Inc</v>
      </c>
      <c r="L612" s="7">
        <f>=DATE(2018,5,20)</f>
        <v>43239.99949074074</v>
      </c>
      <c r="M612" s="7">
        <f>=DATE(2018,5,20)</f>
        <v>43239.99949074074</v>
      </c>
      <c r="W612" s="6" t="str">
        <v>Monitors/Terminals;Operating Systems;Other Peripherals;Internet Services &amp; Software;Computer Consulting Services;Applications Software(Business</v>
      </c>
      <c r="X612" s="6" t="str">
        <v>Applications Software(Home);Applications Software(Business;Utilities/File Mgmt Software;Other Software (inq. Games);Internet Services &amp; Software;Desktop Publishing;Communication/Network Software</v>
      </c>
      <c r="Y612" s="6" t="str">
        <v>Other Software (inq. Games);Internet Services &amp; Software;Applications Software(Business;Utilities/File Mgmt Software;Communication/Network Software;Desktop Publishing;Applications Software(Home)</v>
      </c>
      <c r="Z612" s="6" t="str">
        <v>Internet Services &amp; Software;Communication/Network Software;Desktop Publishing;Other Software (inq. Games);Applications Software(Home);Utilities/File Mgmt Software;Applications Software(Business</v>
      </c>
      <c r="AA612" s="6" t="str">
        <v>Computer Consulting Services;Monitors/Terminals;Applications Software(Business;Other Peripherals;Operating Systems;Internet Services &amp; Software</v>
      </c>
      <c r="AB612" s="6" t="str">
        <v>Computer Consulting Services;Operating Systems;Monitors/Terminals;Applications Software(Business;Other Peripherals;Internet Services &amp; Software</v>
      </c>
    </row>
    <row r="613">
      <c r="A613" s="6" t="str">
        <v>594918</v>
      </c>
      <c r="B613" s="6" t="str">
        <v>United States</v>
      </c>
      <c r="C613" s="6" t="str">
        <v>Microsoft Corp</v>
      </c>
      <c r="D613" s="6" t="str">
        <v>Microsoft Corp</v>
      </c>
      <c r="F613" s="6" t="str">
        <v>United States</v>
      </c>
      <c r="G613" s="6" t="str">
        <v>GitHub Inc</v>
      </c>
      <c r="H613" s="6" t="str">
        <v>Business Services</v>
      </c>
      <c r="I613" s="6" t="str">
        <v>37657R</v>
      </c>
      <c r="J613" s="6" t="str">
        <v>GitHub Inc</v>
      </c>
      <c r="K613" s="6" t="str">
        <v>GitHub Inc</v>
      </c>
      <c r="L613" s="7">
        <f>=DATE(2018,6,4)</f>
        <v>43254.99949074074</v>
      </c>
      <c r="M613" s="7">
        <f>=DATE(2018,10,26)</f>
        <v>43398.99949074074</v>
      </c>
      <c r="N613" s="8">
        <v>7500</v>
      </c>
      <c r="O613" s="8">
        <v>7500</v>
      </c>
      <c r="W613" s="6" t="str">
        <v>Operating Systems;Computer Consulting Services;Other Peripherals;Monitors/Terminals;Applications Software(Business;Internet Services &amp; Software</v>
      </c>
      <c r="X613" s="6" t="str">
        <v>Internet Services &amp; Software</v>
      </c>
      <c r="Y613" s="6" t="str">
        <v>Internet Services &amp; Software</v>
      </c>
      <c r="Z613" s="6" t="str">
        <v>Internet Services &amp; Software</v>
      </c>
      <c r="AA613" s="6" t="str">
        <v>Other Peripherals;Internet Services &amp; Software;Monitors/Terminals;Operating Systems;Computer Consulting Services;Applications Software(Business</v>
      </c>
      <c r="AB613" s="6" t="str">
        <v>Computer Consulting Services;Applications Software(Business;Operating Systems;Other Peripherals;Monitors/Terminals;Internet Services &amp; Software</v>
      </c>
      <c r="AC613" s="8">
        <v>7500</v>
      </c>
      <c r="AD613" s="7">
        <f>=DATE(2018,6,4)</f>
        <v>43254.99949074074</v>
      </c>
    </row>
    <row r="614">
      <c r="A614" s="6" t="str">
        <v>59476P</v>
      </c>
      <c r="B614" s="6" t="str">
        <v>United States</v>
      </c>
      <c r="C614" s="6" t="str">
        <v>Microsoft Game Studios</v>
      </c>
      <c r="D614" s="6" t="str">
        <v>Microsoft Corp</v>
      </c>
      <c r="E614" s="6" t="str">
        <v>Microsoft Game Studios;Microsoft Game Studios</v>
      </c>
      <c r="F614" s="6" t="str">
        <v>United States</v>
      </c>
      <c r="G614" s="6" t="str">
        <v>Undead Labs LLC</v>
      </c>
      <c r="H614" s="6" t="str">
        <v>Prepackaged Software</v>
      </c>
      <c r="I614" s="6" t="str">
        <v>4H8316</v>
      </c>
      <c r="J614" s="6" t="str">
        <v>Undead Labs LLC</v>
      </c>
      <c r="K614" s="6" t="str">
        <v>Undead Labs LLC</v>
      </c>
      <c r="L614" s="7">
        <f>=DATE(2018,6,11)</f>
        <v>43261.99949074074</v>
      </c>
      <c r="M614" s="7">
        <f>=DATE(2018,6,11)</f>
        <v>43261.99949074074</v>
      </c>
      <c r="W614" s="6" t="str">
        <v>Utilities/File Mgmt Software;Desktop Publishing;Communication/Network Software;Other Software (inq. Games);Applications Software(Home);Internet Services &amp; Software;Applications Software(Business</v>
      </c>
      <c r="X614" s="6" t="str">
        <v>Other Software (inq. Games);Desktop Publishing;Utilities/File Mgmt Software;Applications Software(Business;Communication/Network Software;Internet Services &amp; Software;Applications Software(Home)</v>
      </c>
      <c r="Y614" s="6" t="str">
        <v>Other Software (inq. Games);Desktop Publishing;Applications Software(Business;Communication/Network Software;Applications Software(Home);Utilities/File Mgmt Software;Internet Services &amp; Software</v>
      </c>
      <c r="Z614" s="6" t="str">
        <v>Applications Software(Business;Utilities/File Mgmt Software;Applications Software(Home);Internet Services &amp; Software;Communication/Network Software;Desktop Publishing;Other Software (inq. Games)</v>
      </c>
      <c r="AA614" s="6" t="str">
        <v>Computer Consulting Services;Applications Software(Business;Internet Services &amp; Software;Operating Systems;Monitors/Terminals;Other Peripherals</v>
      </c>
      <c r="AB614" s="6" t="str">
        <v>Monitors/Terminals;Operating Systems;Applications Software(Business;Other Peripherals;Computer Consulting Services;Internet Services &amp; Software</v>
      </c>
    </row>
    <row r="615">
      <c r="A615" s="6" t="str">
        <v>594918</v>
      </c>
      <c r="B615" s="6" t="str">
        <v>United States</v>
      </c>
      <c r="C615" s="6" t="str">
        <v>Microsoft Corp</v>
      </c>
      <c r="D615" s="6" t="str">
        <v>Microsoft Corp</v>
      </c>
      <c r="F615" s="6" t="str">
        <v>United States</v>
      </c>
      <c r="G615" s="6" t="str">
        <v>Flipgrid Inc</v>
      </c>
      <c r="H615" s="6" t="str">
        <v>Prepackaged Software</v>
      </c>
      <c r="I615" s="6" t="str">
        <v>5H2630</v>
      </c>
      <c r="J615" s="6" t="str">
        <v>Flipgrid Inc</v>
      </c>
      <c r="K615" s="6" t="str">
        <v>Flipgrid Inc</v>
      </c>
      <c r="L615" s="7">
        <f>=DATE(2018,6,18)</f>
        <v>43268.99949074074</v>
      </c>
      <c r="M615" s="7">
        <f>=DATE(2018,6,18)</f>
        <v>43268.99949074074</v>
      </c>
      <c r="W615" s="6" t="str">
        <v>Computer Consulting Services;Other Peripherals;Monitors/Terminals;Applications Software(Business;Operating Systems;Internet Services &amp; Software</v>
      </c>
      <c r="X615" s="6" t="str">
        <v>Other Software (inq. Games);Communication/Network Software;Utilities/File Mgmt Software;Internet Services &amp; Software;Desktop Publishing;Applications Software(Home);Applications Software(Business</v>
      </c>
      <c r="Y615" s="6" t="str">
        <v>Internet Services &amp; Software;Desktop Publishing;Applications Software(Business;Applications Software(Home);Communication/Network Software;Utilities/File Mgmt Software;Other Software (inq. Games)</v>
      </c>
      <c r="Z615" s="6" t="str">
        <v>Other Software (inq. Games);Desktop Publishing;Internet Services &amp; Software;Communication/Network Software;Utilities/File Mgmt Software;Applications Software(Home);Applications Software(Business</v>
      </c>
      <c r="AA615" s="6" t="str">
        <v>Operating Systems;Computer Consulting Services;Applications Software(Business;Monitors/Terminals;Internet Services &amp; Software;Other Peripherals</v>
      </c>
      <c r="AB615" s="6" t="str">
        <v>Applications Software(Business;Other Peripherals;Monitors/Terminals;Internet Services &amp; Software;Operating Systems;Computer Consulting Services</v>
      </c>
    </row>
    <row r="616">
      <c r="A616" s="6" t="str">
        <v>594918</v>
      </c>
      <c r="B616" s="6" t="str">
        <v>United States</v>
      </c>
      <c r="C616" s="6" t="str">
        <v>Microsoft Corp</v>
      </c>
      <c r="D616" s="6" t="str">
        <v>Microsoft Corp</v>
      </c>
      <c r="F616" s="6" t="str">
        <v>United States</v>
      </c>
      <c r="G616" s="6" t="str">
        <v>Lobe Artificial Intelligence Inc</v>
      </c>
      <c r="H616" s="6" t="str">
        <v>Communications Equipment</v>
      </c>
      <c r="I616" s="6" t="str">
        <v>8H3452</v>
      </c>
      <c r="J616" s="6" t="str">
        <v>Lobe Artificial Intelligence Inc</v>
      </c>
      <c r="K616" s="6" t="str">
        <v>Lobe Artificial Intelligence Inc</v>
      </c>
      <c r="L616" s="7">
        <f>=DATE(2018,9,13)</f>
        <v>43355.99949074074</v>
      </c>
      <c r="M616" s="7">
        <f>=DATE(2018,9,13)</f>
        <v>43355.99949074074</v>
      </c>
      <c r="W616" s="6" t="str">
        <v>Applications Software(Business;Monitors/Terminals;Operating Systems;Other Peripherals;Internet Services &amp; Software;Computer Consulting Services</v>
      </c>
      <c r="X616" s="6" t="str">
        <v>Telephone Interconnect Equip;Other Telecommunications Equip;Alarm Systems;Messaging Systems;Data Commun(Exclude networking;Microwave Communications</v>
      </c>
      <c r="Y616" s="6" t="str">
        <v>Messaging Systems;Data Commun(Exclude networking;Other Telecommunications Equip;Telephone Interconnect Equip;Microwave Communications;Alarm Systems</v>
      </c>
      <c r="Z616" s="6" t="str">
        <v>Data Commun(Exclude networking;Microwave Communications;Alarm Systems;Telephone Interconnect Equip;Other Telecommunications Equip;Messaging Systems</v>
      </c>
      <c r="AA616" s="6" t="str">
        <v>Computer Consulting Services;Other Peripherals;Operating Systems;Applications Software(Business;Monitors/Terminals;Internet Services &amp; Software</v>
      </c>
      <c r="AB616" s="6" t="str">
        <v>Applications Software(Business;Internet Services &amp; Software;Monitors/Terminals;Other Peripherals;Operating Systems;Computer Consulting Services</v>
      </c>
    </row>
    <row r="617">
      <c r="A617" s="6" t="str">
        <v>8F1020</v>
      </c>
      <c r="B617" s="6" t="str">
        <v>United States</v>
      </c>
      <c r="C617" s="6" t="str">
        <v>Alexa Fund</v>
      </c>
      <c r="D617" s="6" t="str">
        <v>Amazon.com Inc</v>
      </c>
      <c r="F617" s="6" t="str">
        <v>United States</v>
      </c>
      <c r="G617" s="6" t="str">
        <v>Bamboo Learning Inc</v>
      </c>
      <c r="H617" s="6" t="str">
        <v>Business Services</v>
      </c>
      <c r="I617" s="6" t="str">
        <v>7H2891</v>
      </c>
      <c r="J617" s="6" t="str">
        <v>Bamboo Learning Inc</v>
      </c>
      <c r="K617" s="6" t="str">
        <v>Bamboo Learning Inc</v>
      </c>
      <c r="L617" s="7">
        <f>=DATE(2018,9,27)</f>
        <v>43369.99949074074</v>
      </c>
      <c r="M617" s="7">
        <f>=DATE(2018,9,27)</f>
        <v>43369.99949074074</v>
      </c>
      <c r="W617" s="6" t="str">
        <v>Primary Business not Hi-Tech</v>
      </c>
      <c r="X617" s="6" t="str">
        <v>Applications Software(Business;Primary Business not Hi-Tech;Communication/Network Software;Programming Services;Utilities/File Mgmt Software;Applications Software(Home);Internet Services &amp; Software;Desktop Publishing;Other Software (inq. Games);Database Software/Programming</v>
      </c>
      <c r="Y617" s="6" t="str">
        <v>Other Software (inq. Games);Internet Services &amp; Software;Primary Business not Hi-Tech;Database Software/Programming;Applications Software(Business;Programming Services;Utilities/File Mgmt Software;Applications Software(Home);Communication/Network Software;Desktop Publishing</v>
      </c>
      <c r="Z617" s="6" t="str">
        <v>Communication/Network Software;Applications Software(Home);Desktop Publishing;Utilities/File Mgmt Software;Primary Business not Hi-Tech;Other Software (inq. Games);Database Software/Programming;Applications Software(Business;Programming Services;Internet Services &amp; Software</v>
      </c>
      <c r="AA617" s="6" t="str">
        <v>Primary Business not Hi-Tech</v>
      </c>
      <c r="AB617" s="6" t="str">
        <v>Primary Business not Hi-Tech</v>
      </c>
    </row>
    <row r="618">
      <c r="A618" s="6" t="str">
        <v>2F3138</v>
      </c>
      <c r="B618" s="6" t="str">
        <v>United States</v>
      </c>
      <c r="C618" s="6" t="str">
        <v>CapitalG Management Co LLC</v>
      </c>
      <c r="D618" s="6" t="str">
        <v>Alphabet Inc</v>
      </c>
      <c r="F618" s="6" t="str">
        <v>United States</v>
      </c>
      <c r="G618" s="6" t="str">
        <v>Applied Systems Inc</v>
      </c>
      <c r="H618" s="6" t="str">
        <v>Prepackaged Software</v>
      </c>
      <c r="I618" s="6" t="str">
        <v>03822P</v>
      </c>
      <c r="J618" s="6" t="str">
        <v>Hellman &amp; Friedman LLC</v>
      </c>
      <c r="K618" s="6" t="str">
        <v>Hellman &amp; Friedman LLC</v>
      </c>
      <c r="L618" s="7">
        <f>=DATE(2018,9,30)</f>
        <v>43372.99949074074</v>
      </c>
      <c r="M618" s="7">
        <f>=DATE(2018,9,30)</f>
        <v>43372.99949074074</v>
      </c>
      <c r="W618" s="6" t="str">
        <v>Primary Business not Hi-Tech</v>
      </c>
      <c r="X618" s="6" t="str">
        <v>Other Software (inq. Games)</v>
      </c>
      <c r="Y618" s="6" t="str">
        <v>Primary Business not Hi-Tech</v>
      </c>
      <c r="Z618" s="6" t="str">
        <v>Primary Business not Hi-Tech</v>
      </c>
      <c r="AA618" s="6" t="str">
        <v>Internet Services &amp; Software;Programming Services</v>
      </c>
      <c r="AB618" s="6" t="str">
        <v>Telecommunications Equipment;Computer Consulting Services;Primary Business not Hi-Tech;Internet Services &amp; Software;Programming Services</v>
      </c>
    </row>
    <row r="619">
      <c r="A619" s="6" t="str">
        <v>53578A</v>
      </c>
      <c r="B619" s="6" t="str">
        <v>United States</v>
      </c>
      <c r="C619" s="6" t="str">
        <v>LinkedIn Corp</v>
      </c>
      <c r="D619" s="6" t="str">
        <v>Microsoft Corp</v>
      </c>
      <c r="F619" s="6" t="str">
        <v>United States</v>
      </c>
      <c r="G619" s="6" t="str">
        <v>Glint Inc</v>
      </c>
      <c r="H619" s="6" t="str">
        <v>Business Services</v>
      </c>
      <c r="I619" s="6" t="str">
        <v>7H4459</v>
      </c>
      <c r="J619" s="6" t="str">
        <v>Glint Inc</v>
      </c>
      <c r="K619" s="6" t="str">
        <v>Glint Inc</v>
      </c>
      <c r="L619" s="7">
        <f>=DATE(2018,10,8)</f>
        <v>43380.99949074074</v>
      </c>
      <c r="M619" s="7">
        <f>=DATE(2018,12,31)</f>
        <v>43464.99949074074</v>
      </c>
      <c r="W619" s="6" t="str">
        <v>Internet Services &amp; Software</v>
      </c>
      <c r="X619" s="6" t="str">
        <v>Internet Services &amp; Software;Other Computer Related Svcs;Data Processing Services;Networking Systems (LAN,WAN);Computer Consulting Services;Primary Business not Hi-Tech</v>
      </c>
      <c r="Y619" s="6" t="str">
        <v>Data Processing Services;Primary Business not Hi-Tech;Other Computer Related Svcs;Computer Consulting Services;Networking Systems (LAN,WAN);Internet Services &amp; Software</v>
      </c>
      <c r="Z619" s="6" t="str">
        <v>Networking Systems (LAN,WAN);Computer Consulting Services;Primary Business not Hi-Tech;Data Processing Services;Internet Services &amp; Software;Other Computer Related Svcs</v>
      </c>
      <c r="AA619" s="6" t="str">
        <v>Applications Software(Business;Monitors/Terminals;Operating Systems;Other Peripherals;Computer Consulting Services;Internet Services &amp; Software</v>
      </c>
      <c r="AB619" s="6" t="str">
        <v>Other Peripherals;Monitors/Terminals;Operating Systems;Internet Services &amp; Software;Applications Software(Business;Computer Consulting Services</v>
      </c>
    </row>
    <row r="620">
      <c r="A620" s="6" t="str">
        <v>8F1020</v>
      </c>
      <c r="B620" s="6" t="str">
        <v>United States</v>
      </c>
      <c r="C620" s="6" t="str">
        <v>Alexa Fund</v>
      </c>
      <c r="D620" s="6" t="str">
        <v>Amazon.com Inc</v>
      </c>
      <c r="F620" s="6" t="str">
        <v>United States</v>
      </c>
      <c r="G620" s="6" t="str">
        <v>SevenRooms Inc</v>
      </c>
      <c r="H620" s="6" t="str">
        <v>Prepackaged Software</v>
      </c>
      <c r="I620" s="6" t="str">
        <v>7H7287</v>
      </c>
      <c r="J620" s="6" t="str">
        <v>SevenRooms Inc</v>
      </c>
      <c r="K620" s="6" t="str">
        <v>SevenRooms Inc</v>
      </c>
      <c r="L620" s="7">
        <f>=DATE(2018,10,23)</f>
        <v>43395.99949074074</v>
      </c>
      <c r="M620" s="7">
        <f>=DATE(2018,10,23)</f>
        <v>43395.99949074074</v>
      </c>
      <c r="W620" s="6" t="str">
        <v>Primary Business not Hi-Tech</v>
      </c>
      <c r="X620" s="6" t="str">
        <v>Other Software (inq. Games)</v>
      </c>
      <c r="Y620" s="6" t="str">
        <v>Other Software (inq. Games)</v>
      </c>
      <c r="Z620" s="6" t="str">
        <v>Other Software (inq. Games)</v>
      </c>
      <c r="AA620" s="6" t="str">
        <v>Primary Business not Hi-Tech</v>
      </c>
      <c r="AB620" s="6" t="str">
        <v>Primary Business not Hi-Tech</v>
      </c>
    </row>
    <row r="621">
      <c r="A621" s="6" t="str">
        <v>594918</v>
      </c>
      <c r="B621" s="6" t="str">
        <v>United States</v>
      </c>
      <c r="C621" s="6" t="str">
        <v>Microsoft Corp</v>
      </c>
      <c r="D621" s="6" t="str">
        <v>Microsoft Corp</v>
      </c>
      <c r="F621" s="6" t="str">
        <v>United States</v>
      </c>
      <c r="G621" s="6" t="str">
        <v>inXile Entertainment Inc</v>
      </c>
      <c r="H621" s="6" t="str">
        <v>Prepackaged Software</v>
      </c>
      <c r="I621" s="6" t="str">
        <v>7F2483</v>
      </c>
      <c r="J621" s="6" t="str">
        <v>inXile Entertainment Inc</v>
      </c>
      <c r="K621" s="6" t="str">
        <v>inXile Entertainment Inc</v>
      </c>
      <c r="L621" s="7">
        <f>=DATE(2018,11,10)</f>
        <v>43413.99949074074</v>
      </c>
      <c r="M621" s="7">
        <f>=DATE(2018,11,10)</f>
        <v>43413.99949074074</v>
      </c>
      <c r="W621" s="6" t="str">
        <v>Internet Services &amp; Software;Monitors/Terminals;Computer Consulting Services;Applications Software(Business;Other Peripherals;Operating Systems</v>
      </c>
      <c r="X621" s="6" t="str">
        <v>Other Software (inq. Games)</v>
      </c>
      <c r="Y621" s="6" t="str">
        <v>Other Software (inq. Games)</v>
      </c>
      <c r="Z621" s="6" t="str">
        <v>Other Software (inq. Games)</v>
      </c>
      <c r="AA621" s="6" t="str">
        <v>Monitors/Terminals;Applications Software(Business;Internet Services &amp; Software;Operating Systems;Other Peripherals;Computer Consulting Services</v>
      </c>
      <c r="AB621" s="6" t="str">
        <v>Monitors/Terminals;Applications Software(Business;Operating Systems;Computer Consulting Services;Internet Services &amp; Software;Other Peripherals</v>
      </c>
    </row>
    <row r="622">
      <c r="A622" s="6" t="str">
        <v>594918</v>
      </c>
      <c r="B622" s="6" t="str">
        <v>United States</v>
      </c>
      <c r="C622" s="6" t="str">
        <v>Microsoft Corp</v>
      </c>
      <c r="D622" s="6" t="str">
        <v>Microsoft Corp</v>
      </c>
      <c r="F622" s="6" t="str">
        <v>United States</v>
      </c>
      <c r="G622" s="6" t="str">
        <v>FSLogix Inc</v>
      </c>
      <c r="H622" s="6" t="str">
        <v>Prepackaged Software</v>
      </c>
      <c r="I622" s="6" t="str">
        <v>8H3928</v>
      </c>
      <c r="J622" s="6" t="str">
        <v>FSLogix Inc</v>
      </c>
      <c r="K622" s="6" t="str">
        <v>FSLogix Inc</v>
      </c>
      <c r="L622" s="7">
        <f>=DATE(2018,11,19)</f>
        <v>43422.99949074074</v>
      </c>
      <c r="M622" s="7">
        <f>=DATE(2018,11,19)</f>
        <v>43422.99949074074</v>
      </c>
      <c r="W622" s="6" t="str">
        <v>Monitors/Terminals;Operating Systems;Applications Software(Business;Internet Services &amp; Software;Other Peripherals;Computer Consulting Services</v>
      </c>
      <c r="X622" s="6" t="str">
        <v>Utilities/File Mgmt Software;Desktop Publishing;Internet Services &amp; Software;Applications Software(Home);Applications Software(Business;Communication/Network Software;Other Software (inq. Games)</v>
      </c>
      <c r="Y622" s="6" t="str">
        <v>Utilities/File Mgmt Software;Applications Software(Home);Applications Software(Business;Desktop Publishing;Other Software (inq. Games);Internet Services &amp; Software;Communication/Network Software</v>
      </c>
      <c r="Z622" s="6" t="str">
        <v>Utilities/File Mgmt Software;Communication/Network Software;Applications Software(Home);Desktop Publishing;Other Software (inq. Games);Internet Services &amp; Software;Applications Software(Business</v>
      </c>
      <c r="AA622" s="6" t="str">
        <v>Computer Consulting Services;Applications Software(Business;Operating Systems;Other Peripherals;Monitors/Terminals;Internet Services &amp; Software</v>
      </c>
      <c r="AB622" s="6" t="str">
        <v>Internet Services &amp; Software;Operating Systems;Computer Consulting Services;Applications Software(Business;Monitors/Terminals;Other Peripherals</v>
      </c>
    </row>
    <row r="623">
      <c r="A623" s="6" t="str">
        <v>7J8440</v>
      </c>
      <c r="B623" s="6" t="str">
        <v>United States</v>
      </c>
      <c r="C623" s="6" t="str">
        <v>Google LLC</v>
      </c>
      <c r="D623" s="6" t="str">
        <v>Alphabet Inc</v>
      </c>
      <c r="F623" s="6" t="str">
        <v>United States</v>
      </c>
      <c r="G623" s="6" t="str">
        <v>cwist Inc</v>
      </c>
      <c r="H623" s="6" t="str">
        <v>Educational Services</v>
      </c>
      <c r="I623" s="6" t="str">
        <v>9H0315</v>
      </c>
      <c r="J623" s="6" t="str">
        <v>cwist Inc</v>
      </c>
      <c r="K623" s="6" t="str">
        <v>cwist Inc</v>
      </c>
      <c r="L623" s="7">
        <f>=DATE(2018,11,27)</f>
        <v>43430.99949074074</v>
      </c>
      <c r="M623" s="7">
        <f>=DATE(2018,11,27)</f>
        <v>43430.99949074074</v>
      </c>
      <c r="W623" s="6" t="str">
        <v>Programming Services;Internet Services &amp; Software</v>
      </c>
      <c r="X623" s="6" t="str">
        <v>Networking Systems (LAN,WAN);Primary Business not Hi-Tech;Internet Services &amp; Software;Other Computer Related Svcs;Computer Consulting Services</v>
      </c>
      <c r="Y623" s="6" t="str">
        <v>Other Computer Related Svcs;Internet Services &amp; Software;Networking Systems (LAN,WAN);Computer Consulting Services;Primary Business not Hi-Tech</v>
      </c>
      <c r="Z623" s="6" t="str">
        <v>Other Computer Related Svcs;Computer Consulting Services;Primary Business not Hi-Tech;Internet Services &amp; Software;Networking Systems (LAN,WAN)</v>
      </c>
      <c r="AA623" s="6" t="str">
        <v>Telecommunications Equipment;Primary Business not Hi-Tech;Internet Services &amp; Software;Programming Services;Computer Consulting Services</v>
      </c>
      <c r="AB623" s="6" t="str">
        <v>Internet Services &amp; Software;Telecommunications Equipment;Programming Services;Computer Consulting Services;Primary Business not Hi-Tech</v>
      </c>
    </row>
    <row r="624">
      <c r="A624" s="6" t="str">
        <v>594918</v>
      </c>
      <c r="B624" s="6" t="str">
        <v>United States</v>
      </c>
      <c r="C624" s="6" t="str">
        <v>Microsoft Corp</v>
      </c>
      <c r="D624" s="6" t="str">
        <v>Microsoft Corp</v>
      </c>
      <c r="F624" s="6" t="str">
        <v>United States</v>
      </c>
      <c r="G624" s="6" t="str">
        <v>BrightBytes Inc-DataSense Business</v>
      </c>
      <c r="H624" s="6" t="str">
        <v>Prepackaged Software</v>
      </c>
      <c r="I624" s="6" t="str">
        <v>9H1705</v>
      </c>
      <c r="J624" s="6" t="str">
        <v>BrightBytes Inc</v>
      </c>
      <c r="K624" s="6" t="str">
        <v>BrightBytes Inc</v>
      </c>
      <c r="L624" s="7">
        <f>=DATE(2018,12,5)</f>
        <v>43438.99949074074</v>
      </c>
      <c r="M624" s="7">
        <f>=DATE(2019,2,4)</f>
        <v>43499.99949074074</v>
      </c>
      <c r="W624" s="6" t="str">
        <v>Operating Systems;Computer Consulting Services;Internet Services &amp; Software;Other Peripherals;Applications Software(Business;Monitors/Terminals</v>
      </c>
      <c r="X624" s="6" t="str">
        <v>Utilities/File Mgmt Software;Applications Software(Business;Other Software (inq. Games);Applications Software(Home);Internet Services &amp; Software;Communication/Network Software;Desktop Publishing</v>
      </c>
      <c r="Y624" s="6" t="str">
        <v>Communication/Network Software</v>
      </c>
      <c r="Z624" s="6" t="str">
        <v>Communication/Network Software</v>
      </c>
      <c r="AA624" s="6" t="str">
        <v>Applications Software(Business;Internet Services &amp; Software;Operating Systems;Computer Consulting Services;Other Peripherals;Monitors/Terminals</v>
      </c>
      <c r="AB624" s="6" t="str">
        <v>Monitors/Terminals;Other Peripherals;Internet Services &amp; Software;Computer Consulting Services;Operating Systems;Applications Software(Business</v>
      </c>
    </row>
    <row r="625">
      <c r="A625" s="6" t="str">
        <v>9H1420</v>
      </c>
      <c r="B625" s="6" t="str">
        <v>United States</v>
      </c>
      <c r="C625" s="6" t="str">
        <v>Google Cloud Platform</v>
      </c>
      <c r="D625" s="6" t="str">
        <v>Alphabet Inc</v>
      </c>
      <c r="F625" s="6" t="str">
        <v>United States</v>
      </c>
      <c r="G625" s="6" t="str">
        <v>DevOps Research &amp; Assessment LLC</v>
      </c>
      <c r="H625" s="6" t="str">
        <v>Prepackaged Software</v>
      </c>
      <c r="I625" s="6" t="str">
        <v>9H6933</v>
      </c>
      <c r="J625" s="6" t="str">
        <v>DevOps Research &amp; Assessment LLC</v>
      </c>
      <c r="K625" s="6" t="str">
        <v>DevOps Research &amp; Assessment LLC</v>
      </c>
      <c r="L625" s="7">
        <f>=DATE(2018,12,20)</f>
        <v>43453.99949074074</v>
      </c>
      <c r="M625" s="7">
        <f>=DATE(2018,12,20)</f>
        <v>43453.99949074074</v>
      </c>
      <c r="W625" s="6" t="str">
        <v>Other Software (inq. Games)</v>
      </c>
      <c r="X625" s="6" t="str">
        <v>Data Processing Services;Other Software (inq. Games);Communication/Network Software</v>
      </c>
      <c r="Y625" s="6" t="str">
        <v>Communication/Network Software;Other Software (inq. Games);Data Processing Services</v>
      </c>
      <c r="Z625" s="6" t="str">
        <v>Data Processing Services;Communication/Network Software;Other Software (inq. Games)</v>
      </c>
      <c r="AA625" s="6" t="str">
        <v>Internet Services &amp; Software;Programming Services</v>
      </c>
      <c r="AB625" s="6" t="str">
        <v>Programming Services;Internet Services &amp; Software;Telecommunications Equipment;Computer Consulting Services;Primary Business not Hi-Tech</v>
      </c>
    </row>
    <row r="626">
      <c r="A626" s="6" t="str">
        <v>037833</v>
      </c>
      <c r="B626" s="6" t="str">
        <v>United States</v>
      </c>
      <c r="C626" s="6" t="str">
        <v>Apple Inc</v>
      </c>
      <c r="D626" s="6" t="str">
        <v>Apple Inc</v>
      </c>
      <c r="F626" s="6" t="str">
        <v>United States</v>
      </c>
      <c r="G626" s="6" t="str">
        <v>Laserlike Inc</v>
      </c>
      <c r="H626" s="6" t="str">
        <v>Prepackaged Software</v>
      </c>
      <c r="I626" s="6" t="str">
        <v>8K6178</v>
      </c>
      <c r="J626" s="6" t="str">
        <v>Laserlike Inc</v>
      </c>
      <c r="K626" s="6" t="str">
        <v>Laserlike Inc</v>
      </c>
      <c r="L626" s="7">
        <f>=DATE(2018,12,31)</f>
        <v>43464.99949074074</v>
      </c>
      <c r="M626" s="7">
        <f>=DATE(2018,12,31)</f>
        <v>43464.99949074074</v>
      </c>
      <c r="W626" s="6" t="str">
        <v>Micro-Computers (PCs);Portable Computers;Mainframes &amp; Super Computers;Disk Drives;Other Software (inq. Games);Other Peripherals;Monitors/Terminals;Printers</v>
      </c>
      <c r="X626" s="6" t="str">
        <v>Other Software (inq. Games)</v>
      </c>
      <c r="Y626" s="6" t="str">
        <v>Other Software (inq. Games)</v>
      </c>
      <c r="Z626" s="6" t="str">
        <v>Other Software (inq. Games)</v>
      </c>
      <c r="AA626" s="6" t="str">
        <v>Monitors/Terminals;Other Peripherals;Disk Drives;Portable Computers;Mainframes &amp; Super Computers;Printers;Other Software (inq. Games);Micro-Computers (PCs)</v>
      </c>
      <c r="AB626" s="6" t="str">
        <v>Micro-Computers (PCs);Printers;Other Peripherals;Monitors/Terminals;Disk Drives;Other Software (inq. Games);Mainframes &amp; Super Computers;Portable Computers</v>
      </c>
    </row>
    <row r="627">
      <c r="A627" s="6" t="str">
        <v>594918</v>
      </c>
      <c r="B627" s="6" t="str">
        <v>United States</v>
      </c>
      <c r="C627" s="6" t="str">
        <v>Microsoft Corp</v>
      </c>
      <c r="D627" s="6" t="str">
        <v>Microsoft Corp</v>
      </c>
      <c r="F627" s="6" t="str">
        <v>United States</v>
      </c>
      <c r="G627" s="6" t="str">
        <v>Citus Data Inc</v>
      </c>
      <c r="H627" s="6" t="str">
        <v>Prepackaged Software</v>
      </c>
      <c r="I627" s="6" t="str">
        <v>0J1910</v>
      </c>
      <c r="J627" s="6" t="str">
        <v>Citus Data Inc</v>
      </c>
      <c r="K627" s="6" t="str">
        <v>Citus Data Inc</v>
      </c>
      <c r="L627" s="7">
        <f>=DATE(2019,1,24)</f>
        <v>43488.99949074074</v>
      </c>
      <c r="M627" s="7">
        <f>=DATE(2019,1,24)</f>
        <v>43488.99949074074</v>
      </c>
      <c r="W627" s="6" t="str">
        <v>Internet Services &amp; Software;Operating Systems;Applications Software(Business;Computer Consulting Services;Monitors/Terminals;Other Peripherals</v>
      </c>
      <c r="X627" s="6" t="str">
        <v>Utilities/File Mgmt Software;Internet Services &amp; Software;Applications Software(Business;Communication/Network Software;Desktop Publishing;Applications Software(Home)</v>
      </c>
      <c r="Y627" s="6" t="str">
        <v>Internet Services &amp; Software;Applications Software(Business;Utilities/File Mgmt Software;Applications Software(Home);Desktop Publishing;Communication/Network Software</v>
      </c>
      <c r="Z627" s="6" t="str">
        <v>Utilities/File Mgmt Software;Communication/Network Software;Applications Software(Business;Desktop Publishing;Internet Services &amp; Software;Applications Software(Home)</v>
      </c>
      <c r="AA627" s="6" t="str">
        <v>Other Peripherals;Applications Software(Business;Operating Systems;Computer Consulting Services;Monitors/Terminals;Internet Services &amp; Software</v>
      </c>
      <c r="AB627" s="6" t="str">
        <v>Internet Services &amp; Software;Operating Systems;Monitors/Terminals;Other Peripherals;Applications Software(Business;Computer Consulting Services</v>
      </c>
    </row>
    <row r="628">
      <c r="A628" s="6" t="str">
        <v>037833</v>
      </c>
      <c r="B628" s="6" t="str">
        <v>United States</v>
      </c>
      <c r="C628" s="6" t="str">
        <v>Apple Inc</v>
      </c>
      <c r="D628" s="6" t="str">
        <v>Apple Inc</v>
      </c>
      <c r="F628" s="6" t="str">
        <v>United States</v>
      </c>
      <c r="G628" s="6" t="str">
        <v>Apple Inc</v>
      </c>
      <c r="H628" s="6" t="str">
        <v>Computer and Office Equipment</v>
      </c>
      <c r="I628" s="6" t="str">
        <v>037833</v>
      </c>
      <c r="J628" s="6" t="str">
        <v>Apple Inc</v>
      </c>
      <c r="K628" s="6" t="str">
        <v>Apple Inc</v>
      </c>
      <c r="L628" s="7">
        <f>=DATE(2019,2,3)</f>
        <v>43498.99949074074</v>
      </c>
      <c r="M628" s="7">
        <f>=DATE(2019,8,31)</f>
        <v>43707.99949074074</v>
      </c>
      <c r="N628" s="8">
        <v>12000</v>
      </c>
      <c r="O628" s="8">
        <v>12000</v>
      </c>
      <c r="R628" s="8">
        <v>58331</v>
      </c>
      <c r="S628" s="8">
        <v>261612</v>
      </c>
      <c r="T628" s="8">
        <v>-94051</v>
      </c>
      <c r="U628" s="8">
        <v>35500</v>
      </c>
      <c r="V628" s="8">
        <v>75831</v>
      </c>
      <c r="W628" s="6" t="str">
        <v>Monitors/Terminals;Portable Computers;Mainframes &amp; Super Computers;Other Peripherals;Micro-Computers (PCs);Other Software (inq. Games);Disk Drives;Printers</v>
      </c>
      <c r="X628" s="6" t="str">
        <v>Micro-Computers (PCs);Other Software (inq. Games);Disk Drives;Mainframes &amp; Super Computers;Printers;Other Peripherals;Monitors/Terminals;Portable Computers</v>
      </c>
      <c r="Y628" s="6" t="str">
        <v>Micro-Computers (PCs);Portable Computers;Printers;Other Peripherals;Other Software (inq. Games);Monitors/Terminals;Disk Drives;Mainframes &amp; Super Computers</v>
      </c>
      <c r="Z628" s="6" t="str">
        <v>Portable Computers;Monitors/Terminals;Other Software (inq. Games);Other Peripherals;Printers;Mainframes &amp; Super Computers;Micro-Computers (PCs);Disk Drives</v>
      </c>
      <c r="AA628" s="6" t="str">
        <v>Printers;Mainframes &amp; Super Computers;Other Peripherals;Monitors/Terminals;Portable Computers;Micro-Computers (PCs);Disk Drives;Other Software (inq. Games)</v>
      </c>
      <c r="AB628" s="6" t="str">
        <v>Other Peripherals;Micro-Computers (PCs);Disk Drives;Portable Computers;Monitors/Terminals;Printers;Mainframes &amp; Super Computers;Other Software (inq. Games)</v>
      </c>
      <c r="AC628" s="8">
        <v>12000</v>
      </c>
      <c r="AD628" s="7">
        <f>=DATE(2019,2,2)</f>
        <v>43497.99949074074</v>
      </c>
    </row>
    <row r="629">
      <c r="A629" s="6" t="str">
        <v>30303M</v>
      </c>
      <c r="B629" s="6" t="str">
        <v>United States</v>
      </c>
      <c r="C629" s="6" t="str">
        <v>Facebook Inc</v>
      </c>
      <c r="D629" s="6" t="str">
        <v>Facebook Inc</v>
      </c>
      <c r="F629" s="6" t="str">
        <v>United States</v>
      </c>
      <c r="G629" s="6" t="str">
        <v>Grokstyle Inc</v>
      </c>
      <c r="H629" s="6" t="str">
        <v>Prepackaged Software</v>
      </c>
      <c r="I629" s="6" t="str">
        <v>0J8368</v>
      </c>
      <c r="J629" s="6" t="str">
        <v>Grokstyle Inc</v>
      </c>
      <c r="K629" s="6" t="str">
        <v>Grokstyle Inc</v>
      </c>
      <c r="L629" s="7">
        <f>=DATE(2019,2,8)</f>
        <v>43503.99949074074</v>
      </c>
      <c r="M629" s="7">
        <f>=DATE(2019,2,8)</f>
        <v>43503.99949074074</v>
      </c>
      <c r="W629" s="6" t="str">
        <v>Internet Services &amp; Software</v>
      </c>
      <c r="X629" s="6" t="str">
        <v>Desktop Publishing;Primary Business not Hi-Tech;Other Software (inq. Games);Applications Software(Home);Communication/Network Software;Applications Software(Business;Internet Services &amp; Software;Utilities/File Mgmt Software</v>
      </c>
      <c r="Y629" s="6" t="str">
        <v>Other Software (inq. Games);Communication/Network Software;Utilities/File Mgmt Software;Internet Services &amp; Software;Applications Software(Home);Primary Business not Hi-Tech;Applications Software(Business;Desktop Publishing</v>
      </c>
      <c r="Z629" s="6" t="str">
        <v>Other Software (inq. Games);Applications Software(Home);Utilities/File Mgmt Software;Primary Business not Hi-Tech;Communication/Network Software;Applications Software(Business;Internet Services &amp; Software;Desktop Publishing</v>
      </c>
      <c r="AA629" s="6" t="str">
        <v>Internet Services &amp; Software</v>
      </c>
      <c r="AB629" s="6" t="str">
        <v>Internet Services &amp; Software</v>
      </c>
    </row>
    <row r="630">
      <c r="A630" s="6" t="str">
        <v>3F8100</v>
      </c>
      <c r="B630" s="6" t="str">
        <v>United States</v>
      </c>
      <c r="C630" s="6" t="str">
        <v>GV Management Co LLC</v>
      </c>
      <c r="D630" s="6" t="str">
        <v>Alphabet Inc</v>
      </c>
      <c r="F630" s="6" t="str">
        <v>United States</v>
      </c>
      <c r="G630" s="6" t="str">
        <v>Farmers Business Network Inc</v>
      </c>
      <c r="H630" s="6" t="str">
        <v>Prepackaged Software</v>
      </c>
      <c r="I630" s="6" t="str">
        <v>9H3927</v>
      </c>
      <c r="J630" s="6" t="str">
        <v>Farmers Business Network Inc</v>
      </c>
      <c r="K630" s="6" t="str">
        <v>Farmers Business Network Inc</v>
      </c>
      <c r="L630" s="7">
        <f>=DATE(2019,2,11)</f>
        <v>43506.99949074074</v>
      </c>
      <c r="M630" s="7">
        <f>=DATE(2019,2,11)</f>
        <v>43506.99949074074</v>
      </c>
      <c r="W630" s="6" t="str">
        <v>Primary Business not Hi-Tech</v>
      </c>
      <c r="X630" s="6" t="str">
        <v>Applications Software(Home);Internet Services &amp; Software;Applications Software(Business;Utilities/File Mgmt Software;Desktop Publishing;Other Software (inq. Games);Communication/Network Software</v>
      </c>
      <c r="Y630" s="6" t="str">
        <v>Applications Software(Home);Internet Services &amp; Software;Utilities/File Mgmt Software;Communication/Network Software;Applications Software(Business;Other Software (inq. Games);Desktop Publishing</v>
      </c>
      <c r="Z630" s="6" t="str">
        <v>Applications Software(Home);Utilities/File Mgmt Software;Other Software (inq. Games);Communication/Network Software;Internet Services &amp; Software;Applications Software(Business;Desktop Publishing</v>
      </c>
      <c r="AA630" s="6" t="str">
        <v>Programming Services;Internet Services &amp; Software</v>
      </c>
      <c r="AB630" s="6" t="str">
        <v>Telecommunications Equipment;Internet Services &amp; Software;Primary Business not Hi-Tech;Programming Services;Computer Consulting Services</v>
      </c>
    </row>
    <row r="631">
      <c r="A631" s="6" t="str">
        <v>037833</v>
      </c>
      <c r="B631" s="6" t="str">
        <v>United States</v>
      </c>
      <c r="C631" s="6" t="str">
        <v>Apple Inc</v>
      </c>
      <c r="D631" s="6" t="str">
        <v>Apple Inc</v>
      </c>
      <c r="F631" s="6" t="str">
        <v>United States</v>
      </c>
      <c r="G631" s="6" t="str">
        <v>PullString Inc</v>
      </c>
      <c r="H631" s="6" t="str">
        <v>Prepackaged Software</v>
      </c>
      <c r="I631" s="6" t="str">
        <v>0J9908</v>
      </c>
      <c r="J631" s="6" t="str">
        <v>PullString Inc</v>
      </c>
      <c r="K631" s="6" t="str">
        <v>PullString Inc</v>
      </c>
      <c r="L631" s="7">
        <f>=DATE(2019,2,16)</f>
        <v>43511.99949074074</v>
      </c>
      <c r="M631" s="7">
        <f>=DATE(2019,2,16)</f>
        <v>43511.99949074074</v>
      </c>
      <c r="W631" s="6" t="str">
        <v>Mainframes &amp; Super Computers;Other Software (inq. Games);Portable Computers;Disk Drives;Other Peripherals;Printers;Monitors/Terminals;Micro-Computers (PCs)</v>
      </c>
      <c r="X631" s="6" t="str">
        <v>Other Software (inq. Games)</v>
      </c>
      <c r="Y631" s="6" t="str">
        <v>Other Software (inq. Games)</v>
      </c>
      <c r="Z631" s="6" t="str">
        <v>Other Software (inq. Games)</v>
      </c>
      <c r="AA631" s="6" t="str">
        <v>Micro-Computers (PCs);Other Software (inq. Games);Disk Drives;Mainframes &amp; Super Computers;Other Peripherals;Printers;Monitors/Terminals;Portable Computers</v>
      </c>
      <c r="AB631" s="6" t="str">
        <v>Disk Drives;Other Software (inq. Games);Mainframes &amp; Super Computers;Other Peripherals;Micro-Computers (PCs);Portable Computers;Monitors/Terminals;Printers</v>
      </c>
    </row>
    <row r="632">
      <c r="A632" s="6" t="str">
        <v>9H1420</v>
      </c>
      <c r="B632" s="6" t="str">
        <v>United States</v>
      </c>
      <c r="C632" s="6" t="str">
        <v>Google Cloud Platform</v>
      </c>
      <c r="D632" s="6" t="str">
        <v>Alphabet Inc</v>
      </c>
      <c r="F632" s="6" t="str">
        <v>United States</v>
      </c>
      <c r="G632" s="6" t="str">
        <v>Alooma Inc</v>
      </c>
      <c r="H632" s="6" t="str">
        <v>Prepackaged Software</v>
      </c>
      <c r="I632" s="6" t="str">
        <v>0J9924</v>
      </c>
      <c r="J632" s="6" t="str">
        <v>Alooma Inc</v>
      </c>
      <c r="K632" s="6" t="str">
        <v>Alooma Inc</v>
      </c>
      <c r="L632" s="7">
        <f>=DATE(2019,2,19)</f>
        <v>43514.99949074074</v>
      </c>
      <c r="M632" s="7">
        <f>=DATE(2019,2,19)</f>
        <v>43514.99949074074</v>
      </c>
      <c r="W632" s="6" t="str">
        <v>Other Software (inq. Games)</v>
      </c>
      <c r="X632" s="6" t="str">
        <v>Other Software (inq. Games)</v>
      </c>
      <c r="Y632" s="6" t="str">
        <v>Other Software (inq. Games)</v>
      </c>
      <c r="Z632" s="6" t="str">
        <v>Other Software (inq. Games)</v>
      </c>
      <c r="AA632" s="6" t="str">
        <v>Internet Services &amp; Software;Programming Services</v>
      </c>
      <c r="AB632" s="6" t="str">
        <v>Internet Services &amp; Software;Primary Business not Hi-Tech;Telecommunications Equipment;Computer Consulting Services;Programming Services</v>
      </c>
      <c r="AD632" s="7">
        <f>=DATE(2019,2,19)</f>
        <v>43514.99949074074</v>
      </c>
    </row>
    <row r="633">
      <c r="A633" s="6" t="str">
        <v>023135</v>
      </c>
      <c r="B633" s="6" t="str">
        <v>United States</v>
      </c>
      <c r="C633" s="6" t="str">
        <v>Amazon.com Inc</v>
      </c>
      <c r="D633" s="6" t="str">
        <v>Amazon.com Inc</v>
      </c>
      <c r="F633" s="6" t="str">
        <v>United States</v>
      </c>
      <c r="G633" s="6" t="str">
        <v>Canvas Technology LLC</v>
      </c>
      <c r="H633" s="6" t="str">
        <v>Business Services</v>
      </c>
      <c r="I633" s="6" t="str">
        <v>2J7601</v>
      </c>
      <c r="J633" s="6" t="str">
        <v>Canvas Technology LLC</v>
      </c>
      <c r="K633" s="6" t="str">
        <v>Canvas Technology LLC</v>
      </c>
      <c r="L633" s="7">
        <f>=DATE(2019,4,10)</f>
        <v>43564.99949074074</v>
      </c>
      <c r="M633" s="7">
        <f>=DATE(2019,4,10)</f>
        <v>43564.99949074074</v>
      </c>
      <c r="W633" s="6" t="str">
        <v>Primary Business not Hi-Tech</v>
      </c>
      <c r="X633" s="6" t="str">
        <v>Turnkey Systems;Operating Systems;Communication/Network Software;Workstations;Computer Consulting Services;CAD/CAM/CAE/Graphics Systems;Data Commun(Exclude networking;Internet Services &amp; Software;Other Computer Related Svcs;Other Computer Systems;Networking Systems (LAN,WAN)</v>
      </c>
      <c r="Y633" s="6" t="str">
        <v>Operating Systems;Other Computer Systems;Other Computer Related Svcs;Networking Systems (LAN,WAN);Communication/Network Software;Computer Consulting Services;Internet Services &amp; Software;Data Commun(Exclude networking;Workstations;Turnkey Systems;CAD/CAM/CAE/Graphics Systems</v>
      </c>
      <c r="Z633" s="6" t="str">
        <v>Workstations;Networking Systems (LAN,WAN);Internet Services &amp; Software;Data Commun(Exclude networking;Other Computer Systems;Computer Consulting Services;Turnkey Systems;Operating Systems;Other Computer Related Svcs;CAD/CAM/CAE/Graphics Systems;Communication/Network Software</v>
      </c>
      <c r="AA633" s="6" t="str">
        <v>Primary Business not Hi-Tech</v>
      </c>
      <c r="AB633" s="6" t="str">
        <v>Primary Business not Hi-Tech</v>
      </c>
    </row>
    <row r="634">
      <c r="A634" s="6" t="str">
        <v>594918</v>
      </c>
      <c r="B634" s="6" t="str">
        <v>United States</v>
      </c>
      <c r="C634" s="6" t="str">
        <v>Microsoft Corp</v>
      </c>
      <c r="D634" s="6" t="str">
        <v>Microsoft Corp</v>
      </c>
      <c r="F634" s="6" t="str">
        <v>United States</v>
      </c>
      <c r="G634" s="6" t="str">
        <v>Express Logic Inc</v>
      </c>
      <c r="H634" s="6" t="str">
        <v>Prepackaged Software</v>
      </c>
      <c r="I634" s="6" t="str">
        <v>2J8760</v>
      </c>
      <c r="J634" s="6" t="str">
        <v>Express Logic Inc</v>
      </c>
      <c r="K634" s="6" t="str">
        <v>Express Logic Inc</v>
      </c>
      <c r="L634" s="7">
        <f>=DATE(2019,4,18)</f>
        <v>43572.99949074074</v>
      </c>
      <c r="M634" s="7">
        <f>=DATE(2019,4,18)</f>
        <v>43572.99949074074</v>
      </c>
      <c r="W634" s="6" t="str">
        <v>Other Peripherals;Applications Software(Business;Internet Services &amp; Software;Operating Systems;Monitors/Terminals;Computer Consulting Services</v>
      </c>
      <c r="X634" s="6" t="str">
        <v>Other Software (inq. Games)</v>
      </c>
      <c r="Y634" s="6" t="str">
        <v>Other Software (inq. Games)</v>
      </c>
      <c r="Z634" s="6" t="str">
        <v>Other Software (inq. Games)</v>
      </c>
      <c r="AA634" s="6" t="str">
        <v>Monitors/Terminals;Applications Software(Business;Internet Services &amp; Software;Computer Consulting Services;Other Peripherals;Operating Systems</v>
      </c>
      <c r="AB634" s="6" t="str">
        <v>Monitors/Terminals;Other Peripherals;Applications Software(Business;Internet Services &amp; Software;Computer Consulting Services;Operating Systems</v>
      </c>
    </row>
    <row r="635">
      <c r="A635" s="6" t="str">
        <v>7J8440</v>
      </c>
      <c r="B635" s="6" t="str">
        <v>United States</v>
      </c>
      <c r="C635" s="6" t="str">
        <v>Google LLC</v>
      </c>
      <c r="D635" s="6" t="str">
        <v>Alphabet Inc</v>
      </c>
      <c r="F635" s="6" t="str">
        <v>United States</v>
      </c>
      <c r="G635" s="6" t="str">
        <v>Looker Data Sciences Inc</v>
      </c>
      <c r="H635" s="6" t="str">
        <v>Prepackaged Software</v>
      </c>
      <c r="I635" s="6" t="str">
        <v>8H8322</v>
      </c>
      <c r="J635" s="6" t="str">
        <v>Looker Data Sciences Inc</v>
      </c>
      <c r="K635" s="6" t="str">
        <v>Looker Data Sciences Inc</v>
      </c>
      <c r="L635" s="7">
        <f>=DATE(2019,6,6)</f>
        <v>43621.99949074074</v>
      </c>
      <c r="M635" s="7">
        <f>=DATE(2020,2,12)</f>
        <v>43872.99949074074</v>
      </c>
      <c r="N635" s="8">
        <v>2600</v>
      </c>
      <c r="O635" s="8">
        <v>2600</v>
      </c>
      <c r="W635" s="6" t="str">
        <v>Internet Services &amp; Software;Programming Services</v>
      </c>
      <c r="X635" s="6" t="str">
        <v>Utilities/File Mgmt Software;Database Software/Programming;Applications Software(Business;Other Software (inq. Games);Programming Services;Desktop Publishing;Communication/Network Software;Applications Software(Home);Internet Services &amp; Software</v>
      </c>
      <c r="Y635" s="6" t="str">
        <v>Database Software/Programming;Utilities/File Mgmt Software;Programming Services;Internet Services &amp; Software;Applications Software(Business;Other Software (inq. Games);Communication/Network Software;Desktop Publishing;Applications Software(Home)</v>
      </c>
      <c r="Z635" s="6" t="str">
        <v>Internet Services &amp; Software;Programming Services;Database Software/Programming;Applications Software(Home);Desktop Publishing;Applications Software(Business;Utilities/File Mgmt Software;Communication/Network Software;Other Software (inq. Games)</v>
      </c>
      <c r="AA635" s="6" t="str">
        <v>Primary Business not Hi-Tech;Telecommunications Equipment;Computer Consulting Services;Internet Services &amp; Software;Programming Services</v>
      </c>
      <c r="AB635" s="6" t="str">
        <v>Telecommunications Equipment;Internet Services &amp; Software;Primary Business not Hi-Tech;Computer Consulting Services;Programming Services</v>
      </c>
      <c r="AC635" s="8">
        <v>2600</v>
      </c>
      <c r="AD635" s="7">
        <f>=DATE(2019,6,6)</f>
        <v>43621.99949074074</v>
      </c>
    </row>
    <row r="636">
      <c r="A636" s="6" t="str">
        <v>59476P</v>
      </c>
      <c r="B636" s="6" t="str">
        <v>United States</v>
      </c>
      <c r="C636" s="6" t="str">
        <v>Microsoft Game Studios</v>
      </c>
      <c r="D636" s="6" t="str">
        <v>Microsoft Corp</v>
      </c>
      <c r="F636" s="6" t="str">
        <v>United States</v>
      </c>
      <c r="G636" s="6" t="str">
        <v>Double Fine Productions Inc</v>
      </c>
      <c r="H636" s="6" t="str">
        <v>Prepackaged Software</v>
      </c>
      <c r="I636" s="6" t="str">
        <v>6J5947</v>
      </c>
      <c r="J636" s="6" t="str">
        <v>Double Fine Productions Inc</v>
      </c>
      <c r="K636" s="6" t="str">
        <v>Double Fine Productions Inc</v>
      </c>
      <c r="L636" s="7">
        <f>=DATE(2019,6,9)</f>
        <v>43624.99949074074</v>
      </c>
      <c r="M636" s="7">
        <f>=DATE(2019,6,9)</f>
        <v>43624.99949074074</v>
      </c>
      <c r="W636" s="6" t="str">
        <v>Internet Services &amp; Software;Applications Software(Business;Desktop Publishing;Applications Software(Home);Communication/Network Software;Utilities/File Mgmt Software;Other Software (inq. Games)</v>
      </c>
      <c r="X636" s="6" t="str">
        <v>Applications Software(Business;Communication/Network Software;Applications Software(Home)</v>
      </c>
      <c r="Y636" s="6" t="str">
        <v>Applications Software(Home);Applications Software(Business;Communication/Network Software</v>
      </c>
      <c r="Z636" s="6" t="str">
        <v>Communication/Network Software;Applications Software(Home);Applications Software(Business</v>
      </c>
      <c r="AA636" s="6" t="str">
        <v>Internet Services &amp; Software;Computer Consulting Services;Other Peripherals;Operating Systems;Applications Software(Business;Monitors/Terminals</v>
      </c>
      <c r="AB636" s="6" t="str">
        <v>Applications Software(Business;Operating Systems;Internet Services &amp; Software;Other Peripherals;Computer Consulting Services;Monitors/Terminals</v>
      </c>
    </row>
    <row r="637">
      <c r="A637" s="6" t="str">
        <v>37657R</v>
      </c>
      <c r="B637" s="6" t="str">
        <v>United States</v>
      </c>
      <c r="C637" s="6" t="str">
        <v>GitHub Inc</v>
      </c>
      <c r="D637" s="6" t="str">
        <v>Microsoft Corp</v>
      </c>
      <c r="F637" s="6" t="str">
        <v>United States</v>
      </c>
      <c r="G637" s="6" t="str">
        <v>Good Software LLC</v>
      </c>
      <c r="H637" s="6" t="str">
        <v>Prepackaged Software</v>
      </c>
      <c r="I637" s="6" t="str">
        <v>4J4163</v>
      </c>
      <c r="J637" s="6" t="str">
        <v>Good Software LLC</v>
      </c>
      <c r="K637" s="6" t="str">
        <v>Good Software LLC</v>
      </c>
      <c r="L637" s="7">
        <f>=DATE(2019,6,17)</f>
        <v>43632.99949074074</v>
      </c>
      <c r="M637" s="7">
        <f>=DATE(2019,6,17)</f>
        <v>43632.99949074074</v>
      </c>
      <c r="W637" s="6" t="str">
        <v>Internet Services &amp; Software</v>
      </c>
      <c r="X637" s="6" t="str">
        <v>Internet Services &amp; Software;Other Software (inq. Games);Utilities/File Mgmt Software</v>
      </c>
      <c r="Y637" s="6" t="str">
        <v>Other Software (inq. Games);Internet Services &amp; Software;Utilities/File Mgmt Software</v>
      </c>
      <c r="Z637" s="6" t="str">
        <v>Other Software (inq. Games);Internet Services &amp; Software;Utilities/File Mgmt Software</v>
      </c>
      <c r="AA637" s="6" t="str">
        <v>Operating Systems;Applications Software(Business;Internet Services &amp; Software;Computer Consulting Services;Monitors/Terminals;Other Peripherals</v>
      </c>
      <c r="AB637" s="6" t="str">
        <v>Internet Services &amp; Software;Other Peripherals;Operating Systems;Applications Software(Business;Computer Consulting Services;Monitors/Terminals</v>
      </c>
    </row>
    <row r="638">
      <c r="A638" s="6" t="str">
        <v>037833</v>
      </c>
      <c r="B638" s="6" t="str">
        <v>United States</v>
      </c>
      <c r="C638" s="6" t="str">
        <v>Apple Inc</v>
      </c>
      <c r="D638" s="6" t="str">
        <v>Apple Inc</v>
      </c>
      <c r="F638" s="6" t="str">
        <v>United States</v>
      </c>
      <c r="G638" s="6" t="str">
        <v>Drive.ai Inc</v>
      </c>
      <c r="H638" s="6" t="str">
        <v>Prepackaged Software</v>
      </c>
      <c r="I638" s="6" t="str">
        <v>4J7013</v>
      </c>
      <c r="J638" s="6" t="str">
        <v>Drive.ai Inc</v>
      </c>
      <c r="K638" s="6" t="str">
        <v>Drive.ai Inc</v>
      </c>
      <c r="L638" s="7">
        <f>=DATE(2019,6,25)</f>
        <v>43640.99949074074</v>
      </c>
      <c r="M638" s="7">
        <f>=DATE(2019,6,25)</f>
        <v>43640.99949074074</v>
      </c>
      <c r="W638" s="6" t="str">
        <v>Micro-Computers (PCs);Printers;Other Peripherals;Other Software (inq. Games);Disk Drives;Mainframes &amp; Super Computers;Portable Computers;Monitors/Terminals</v>
      </c>
      <c r="X638" s="6" t="str">
        <v>Other Software (inq. Games)</v>
      </c>
      <c r="Y638" s="6" t="str">
        <v>Other Software (inq. Games)</v>
      </c>
      <c r="Z638" s="6" t="str">
        <v>Other Software (inq. Games)</v>
      </c>
      <c r="AA638" s="6" t="str">
        <v>Printers;Other Peripherals;Other Software (inq. Games);Monitors/Terminals;Portable Computers;Disk Drives;Micro-Computers (PCs);Mainframes &amp; Super Computers</v>
      </c>
      <c r="AB638" s="6" t="str">
        <v>Other Software (inq. Games);Micro-Computers (PCs);Monitors/Terminals;Disk Drives;Portable Computers;Other Peripherals;Mainframes &amp; Super Computers;Printers</v>
      </c>
    </row>
    <row r="639">
      <c r="A639" s="6" t="str">
        <v>037833</v>
      </c>
      <c r="B639" s="6" t="str">
        <v>United States</v>
      </c>
      <c r="C639" s="6" t="str">
        <v>Apple Inc</v>
      </c>
      <c r="D639" s="6" t="str">
        <v>Apple Inc</v>
      </c>
      <c r="F639" s="6" t="str">
        <v>United States</v>
      </c>
      <c r="G639" s="6" t="str">
        <v>Intel Corp-Smartphone modem chip business</v>
      </c>
      <c r="H639" s="6" t="str">
        <v>Communications Equipment</v>
      </c>
      <c r="I639" s="6" t="str">
        <v>3J0816</v>
      </c>
      <c r="J639" s="6" t="str">
        <v>Intel Corp</v>
      </c>
      <c r="K639" s="6" t="str">
        <v>Intel Corp</v>
      </c>
      <c r="L639" s="7">
        <f>=DATE(2019,7,25)</f>
        <v>43670.99949074074</v>
      </c>
      <c r="M639" s="7">
        <f>=DATE(2019,12,2)</f>
        <v>43800.99949074074</v>
      </c>
      <c r="N639" s="8">
        <v>1000</v>
      </c>
      <c r="O639" s="8">
        <v>1000</v>
      </c>
      <c r="W639" s="6" t="str">
        <v>Mainframes &amp; Super Computers;Monitors/Terminals;Disk Drives;Portable Computers;Other Software (inq. Games);Other Peripherals;Micro-Computers (PCs);Printers</v>
      </c>
      <c r="X639" s="6" t="str">
        <v>Telephone Interconnect Equip;Other Telecommunications Equip;Modems;Telecommunications Equipment;Primary Business not Hi-Tech</v>
      </c>
      <c r="Y639" s="6" t="str">
        <v>Other Peripherals;Semiconductors;Other Electronics;Telecommunications Equipment</v>
      </c>
      <c r="Z639" s="6" t="str">
        <v>Other Electronics;Semiconductors;Other Peripherals;Telecommunications Equipment</v>
      </c>
      <c r="AA639" s="6" t="str">
        <v>Disk Drives;Micro-Computers (PCs);Portable Computers;Monitors/Terminals;Other Peripherals;Printers;Mainframes &amp; Super Computers;Other Software (inq. Games)</v>
      </c>
      <c r="AB639" s="6" t="str">
        <v>Mainframes &amp; Super Computers;Other Peripherals;Portable Computers;Monitors/Terminals;Printers;Micro-Computers (PCs);Other Software (inq. Games);Disk Drives</v>
      </c>
      <c r="AC639" s="8">
        <v>1000</v>
      </c>
      <c r="AD639" s="7">
        <f>=DATE(2019,7,25)</f>
        <v>43670.99949074074</v>
      </c>
    </row>
    <row r="640">
      <c r="A640" s="6" t="str">
        <v>594918</v>
      </c>
      <c r="B640" s="6" t="str">
        <v>United States</v>
      </c>
      <c r="C640" s="6" t="str">
        <v>Microsoft Corp</v>
      </c>
      <c r="D640" s="6" t="str">
        <v>Microsoft Corp</v>
      </c>
      <c r="F640" s="6" t="str">
        <v>United States</v>
      </c>
      <c r="G640" s="6" t="str">
        <v>BlueTalon Inc</v>
      </c>
      <c r="H640" s="6" t="str">
        <v>Business Services</v>
      </c>
      <c r="I640" s="6" t="str">
        <v>8E8808</v>
      </c>
      <c r="J640" s="6" t="str">
        <v>BlueTalon Inc</v>
      </c>
      <c r="K640" s="6" t="str">
        <v>BlueTalon Inc</v>
      </c>
      <c r="L640" s="7">
        <f>=DATE(2019,7,29)</f>
        <v>43674.99949074074</v>
      </c>
      <c r="M640" s="7">
        <f>=DATE(2019,7,29)</f>
        <v>43674.99949074074</v>
      </c>
      <c r="W640" s="6" t="str">
        <v>Monitors/Terminals;Other Peripherals;Operating Systems;Computer Consulting Services;Internet Services &amp; Software;Applications Software(Business</v>
      </c>
      <c r="X640" s="6" t="str">
        <v>Data Processing Services</v>
      </c>
      <c r="Y640" s="6" t="str">
        <v>Data Processing Services</v>
      </c>
      <c r="Z640" s="6" t="str">
        <v>Data Processing Services</v>
      </c>
      <c r="AA640" s="6" t="str">
        <v>Monitors/Terminals;Computer Consulting Services;Applications Software(Business;Internet Services &amp; Software;Other Peripherals;Operating Systems</v>
      </c>
      <c r="AB640" s="6" t="str">
        <v>Other Peripherals;Applications Software(Business;Monitors/Terminals;Internet Services &amp; Software;Operating Systems;Computer Consulting Services</v>
      </c>
    </row>
    <row r="641">
      <c r="A641" s="6" t="str">
        <v>594918</v>
      </c>
      <c r="B641" s="6" t="str">
        <v>United States</v>
      </c>
      <c r="C641" s="6" t="str">
        <v>Microsoft Corp</v>
      </c>
      <c r="D641" s="6" t="str">
        <v>Microsoft Corp</v>
      </c>
      <c r="F641" s="6" t="str">
        <v>United States</v>
      </c>
      <c r="G641" s="6" t="str">
        <v>Spotfront Inc</v>
      </c>
      <c r="H641" s="6" t="str">
        <v>Business Services</v>
      </c>
      <c r="I641" s="6" t="str">
        <v>6J2269</v>
      </c>
      <c r="J641" s="6" t="str">
        <v>Microsoft Corp</v>
      </c>
      <c r="K641" s="6" t="str">
        <v>Microsoft Corp</v>
      </c>
      <c r="L641" s="7">
        <f>=DATE(2019,8,5)</f>
        <v>43681.99949074074</v>
      </c>
      <c r="M641" s="7">
        <f>=DATE(2019,8,5)</f>
        <v>43681.99949074074</v>
      </c>
      <c r="W641" s="6" t="str">
        <v>Operating Systems;Applications Software(Business;Computer Consulting Services;Internet Services &amp; Software;Monitors/Terminals;Other Peripherals</v>
      </c>
      <c r="X641" s="6" t="str">
        <v>Internet Services &amp; Software</v>
      </c>
      <c r="Y641" s="6" t="str">
        <v>Other Peripherals;Monitors/Terminals;Computer Consulting Services;Applications Software(Business;Operating Systems;Internet Services &amp; Software</v>
      </c>
      <c r="Z641" s="6" t="str">
        <v>Applications Software(Business;Operating Systems;Internet Services &amp; Software;Computer Consulting Services;Other Peripherals;Monitors/Terminals</v>
      </c>
      <c r="AA641" s="6" t="str">
        <v>Operating Systems;Monitors/Terminals;Applications Software(Business;Computer Consulting Services;Other Peripherals;Internet Services &amp; Software</v>
      </c>
      <c r="AB641" s="6" t="str">
        <v>Operating Systems;Computer Consulting Services;Internet Services &amp; Software;Applications Software(Business;Other Peripherals;Monitors/Terminals</v>
      </c>
    </row>
    <row r="642">
      <c r="A642" s="6" t="str">
        <v>3F8100</v>
      </c>
      <c r="B642" s="6" t="str">
        <v>United States</v>
      </c>
      <c r="C642" s="6" t="str">
        <v>GV Management Co LLC</v>
      </c>
      <c r="D642" s="6" t="str">
        <v>Alphabet Inc</v>
      </c>
      <c r="F642" s="6" t="str">
        <v>United States</v>
      </c>
      <c r="G642" s="6" t="str">
        <v>Ethos Technologies Inc</v>
      </c>
      <c r="H642" s="6" t="str">
        <v>Prepackaged Software</v>
      </c>
      <c r="I642" s="6" t="str">
        <v>7H8660</v>
      </c>
      <c r="J642" s="6" t="str">
        <v>Ethos Technologies Inc</v>
      </c>
      <c r="K642" s="6" t="str">
        <v>Ethos Technologies Inc</v>
      </c>
      <c r="L642" s="7">
        <f>=DATE(2019,8,27)</f>
        <v>43703.99949074074</v>
      </c>
      <c r="M642" s="7">
        <f>=DATE(2019,8,27)</f>
        <v>43703.99949074074</v>
      </c>
      <c r="N642" s="8">
        <v>60</v>
      </c>
      <c r="O642" s="8">
        <v>60</v>
      </c>
      <c r="W642" s="6" t="str">
        <v>Primary Business not Hi-Tech</v>
      </c>
      <c r="X642" s="6" t="str">
        <v>Other Software (inq. Games)</v>
      </c>
      <c r="Y642" s="6" t="str">
        <v>Other Software (inq. Games)</v>
      </c>
      <c r="Z642" s="6" t="str">
        <v>Other Software (inq. Games)</v>
      </c>
      <c r="AA642" s="6" t="str">
        <v>Internet Services &amp; Software;Programming Services</v>
      </c>
      <c r="AB642" s="6" t="str">
        <v>Programming Services;Internet Services &amp; Software;Computer Consulting Services;Primary Business not Hi-Tech;Telecommunications Equipment</v>
      </c>
      <c r="AC642" s="8">
        <v>60</v>
      </c>
      <c r="AD642" s="7">
        <f>=DATE(2019,8,27)</f>
        <v>43703.99949074074</v>
      </c>
    </row>
    <row r="643">
      <c r="A643" s="6" t="str">
        <v>9H9297</v>
      </c>
      <c r="B643" s="6" t="str">
        <v>United States</v>
      </c>
      <c r="C643" s="6" t="str">
        <v>Microsoft Azure</v>
      </c>
      <c r="D643" s="6" t="str">
        <v>Microsoft Corp</v>
      </c>
      <c r="F643" s="6" t="str">
        <v>United States</v>
      </c>
      <c r="G643" s="6" t="str">
        <v>Movere Inc</v>
      </c>
      <c r="H643" s="6" t="str">
        <v>Business Services</v>
      </c>
      <c r="I643" s="6" t="str">
        <v>7J2819</v>
      </c>
      <c r="J643" s="6" t="str">
        <v>Movere Inc</v>
      </c>
      <c r="K643" s="6" t="str">
        <v>Movere Inc</v>
      </c>
      <c r="L643" s="7">
        <f>=DATE(2019,9,4)</f>
        <v>43711.99949074074</v>
      </c>
      <c r="M643" s="7">
        <f>=DATE(2019,9,4)</f>
        <v>43711.99949074074</v>
      </c>
      <c r="W643" s="6" t="str">
        <v>Data Processing Services;Other Computer Related Svcs;Internet Services &amp; Software;Computer Consulting Services;Primary Business not Hi-Tech</v>
      </c>
      <c r="X643" s="6" t="str">
        <v>Data Processing Services;Other Computer Related Svcs;Primary Business not Hi-Tech;Computer Consulting Services;Internet Services &amp; Software</v>
      </c>
      <c r="Y643" s="6" t="str">
        <v>Other Computer Related Svcs;Internet Services &amp; Software;Primary Business not Hi-Tech;Computer Consulting Services;Data Processing Services</v>
      </c>
      <c r="Z643" s="6" t="str">
        <v>Other Computer Related Svcs;Primary Business not Hi-Tech;Internet Services &amp; Software;Data Processing Services;Computer Consulting Services</v>
      </c>
      <c r="AA643" s="6" t="str">
        <v>Computer Consulting Services;Operating Systems;Applications Software(Business;Monitors/Terminals;Other Peripherals;Internet Services &amp; Software</v>
      </c>
      <c r="AB643" s="6" t="str">
        <v>Monitors/Terminals;Internet Services &amp; Software;Operating Systems;Applications Software(Business;Computer Consulting Services;Other Peripherals</v>
      </c>
    </row>
    <row r="644">
      <c r="A644" s="6" t="str">
        <v>37657R</v>
      </c>
      <c r="B644" s="6" t="str">
        <v>United States</v>
      </c>
      <c r="C644" s="6" t="str">
        <v>GitHub Inc</v>
      </c>
      <c r="D644" s="6" t="str">
        <v>Microsoft Corp</v>
      </c>
      <c r="F644" s="6" t="str">
        <v>United States</v>
      </c>
      <c r="G644" s="6" t="str">
        <v>Semmle Inc</v>
      </c>
      <c r="H644" s="6" t="str">
        <v>Prepackaged Software</v>
      </c>
      <c r="I644" s="6" t="str">
        <v>7H2669</v>
      </c>
      <c r="J644" s="6" t="str">
        <v>Semmle Inc</v>
      </c>
      <c r="K644" s="6" t="str">
        <v>Semmle Inc</v>
      </c>
      <c r="L644" s="7">
        <f>=DATE(2019,9,18)</f>
        <v>43725.99949074074</v>
      </c>
      <c r="M644" s="7">
        <f>=DATE(2019,9,18)</f>
        <v>43725.99949074074</v>
      </c>
      <c r="W644" s="6" t="str">
        <v>Internet Services &amp; Software</v>
      </c>
      <c r="X644" s="6" t="str">
        <v>Other Software (inq. Games)</v>
      </c>
      <c r="Y644" s="6" t="str">
        <v>Other Software (inq. Games)</v>
      </c>
      <c r="Z644" s="6" t="str">
        <v>Other Software (inq. Games)</v>
      </c>
      <c r="AA644" s="6" t="str">
        <v>Applications Software(Business;Internet Services &amp; Software;Other Peripherals;Operating Systems;Computer Consulting Services;Monitors/Terminals</v>
      </c>
      <c r="AB644" s="6" t="str">
        <v>Internet Services &amp; Software;Applications Software(Business;Operating Systems;Computer Consulting Services;Monitors/Terminals;Other Peripherals</v>
      </c>
    </row>
    <row r="645">
      <c r="A645" s="6" t="str">
        <v>30303M</v>
      </c>
      <c r="B645" s="6" t="str">
        <v>United States</v>
      </c>
      <c r="C645" s="6" t="str">
        <v>Facebook Inc</v>
      </c>
      <c r="D645" s="6" t="str">
        <v>Facebook Inc</v>
      </c>
      <c r="F645" s="6" t="str">
        <v>United States</v>
      </c>
      <c r="G645" s="6" t="str">
        <v>CTRL-Labs Corp</v>
      </c>
      <c r="H645" s="6" t="str">
        <v>Prepackaged Software</v>
      </c>
      <c r="I645" s="6" t="str">
        <v>6J9290</v>
      </c>
      <c r="J645" s="6" t="str">
        <v>CTRL-Labs Corp</v>
      </c>
      <c r="K645" s="6" t="str">
        <v>CTRL-Labs Corp</v>
      </c>
      <c r="L645" s="7">
        <f>=DATE(2019,9,23)</f>
        <v>43730.99949074074</v>
      </c>
      <c r="M645" s="7">
        <f>=DATE(2019,9,23)</f>
        <v>43730.99949074074</v>
      </c>
      <c r="W645" s="6" t="str">
        <v>Internet Services &amp; Software</v>
      </c>
      <c r="X645" s="6" t="str">
        <v>Other Software (inq. Games);Primary Business not Hi-Tech;Communication/Network Software;Utilities/File Mgmt Software;Desktop Publishing;Internet Services &amp; Software;Applications Software(Home);Applications Software(Business</v>
      </c>
      <c r="Y645" s="6" t="str">
        <v>Primary Business not Hi-Tech;Communication/Network Software;Applications Software(Business;Applications Software(Home);Desktop Publishing;Other Software (inq. Games);Utilities/File Mgmt Software;Internet Services &amp; Software</v>
      </c>
      <c r="Z645" s="6" t="str">
        <v>Communication/Network Software;Applications Software(Business;Desktop Publishing;Internet Services &amp; Software;Primary Business not Hi-Tech;Utilities/File Mgmt Software;Other Software (inq. Games);Applications Software(Home)</v>
      </c>
      <c r="AA645" s="6" t="str">
        <v>Internet Services &amp; Software</v>
      </c>
      <c r="AB645" s="6" t="str">
        <v>Internet Services &amp; Software</v>
      </c>
      <c r="AD645" s="7">
        <f>=DATE(2019,9,23)</f>
        <v>43730.99949074074</v>
      </c>
    </row>
    <row r="646">
      <c r="A646" s="6" t="str">
        <v>73959W</v>
      </c>
      <c r="B646" s="6" t="str">
        <v>United States</v>
      </c>
      <c r="C646" s="6" t="str">
        <v>PowerSchool Group LLC</v>
      </c>
      <c r="D646" s="6" t="str">
        <v>PowerSchool Holdings Inc</v>
      </c>
      <c r="F646" s="6" t="str">
        <v>United States</v>
      </c>
      <c r="G646" s="6" t="str">
        <v>AccelaSchool LLC</v>
      </c>
      <c r="H646" s="6" t="str">
        <v>Prepackaged Software</v>
      </c>
      <c r="I646" s="6" t="str">
        <v>9J6254</v>
      </c>
      <c r="J646" s="6" t="str">
        <v>AccelaSchool LLC</v>
      </c>
      <c r="K646" s="6" t="str">
        <v>AccelaSchool LLC</v>
      </c>
      <c r="L646" s="7">
        <f>=DATE(2019,10,15)</f>
        <v>43752.99949074074</v>
      </c>
      <c r="M646" s="7">
        <f>=DATE(2019,10,15)</f>
        <v>43752.99949074074</v>
      </c>
      <c r="W646" s="6" t="str">
        <v>Other Software (inq. Games)</v>
      </c>
      <c r="X646" s="6" t="str">
        <v>Applications Software(Business</v>
      </c>
      <c r="Y646" s="6" t="str">
        <v>Applications Software(Business</v>
      </c>
      <c r="Z646" s="6" t="str">
        <v>Applications Software(Business</v>
      </c>
      <c r="AA646" s="6" t="str">
        <v>Desktop Publishing;Utilities/File Mgmt Software;Internet Services &amp; Software;Communication/Network Software;Primary Business not Hi-Tech;Other Software (inq. Games);Applications Software(Business;Applications Software(Home)</v>
      </c>
      <c r="AB646" s="6" t="str">
        <v>Utilities/File Mgmt Software;Desktop Publishing;Applications Software(Home);Communication/Network Software;Applications Software(Business;Other Software (inq. Games);Primary Business not Hi-Tech;Internet Services &amp; Software</v>
      </c>
    </row>
    <row r="647">
      <c r="A647" s="6" t="str">
        <v>5J9777</v>
      </c>
      <c r="B647" s="6" t="str">
        <v>United States</v>
      </c>
      <c r="C647" s="6" t="str">
        <v>Xandr Inc</v>
      </c>
      <c r="D647" s="6" t="str">
        <v>AT&amp;T Inc</v>
      </c>
      <c r="F647" s="6" t="str">
        <v>United States</v>
      </c>
      <c r="G647" s="6" t="str">
        <v>Clypd Inc</v>
      </c>
      <c r="H647" s="6" t="str">
        <v>Advertising Services</v>
      </c>
      <c r="I647" s="6" t="str">
        <v>4J1459</v>
      </c>
      <c r="J647" s="6" t="str">
        <v>Clypd Inc</v>
      </c>
      <c r="K647" s="6" t="str">
        <v>Clypd Inc</v>
      </c>
      <c r="L647" s="7">
        <f>=DATE(2019,10,18)</f>
        <v>43755.99949074074</v>
      </c>
      <c r="M647" s="7">
        <f>=DATE(2019,10,18)</f>
        <v>43755.99949074074</v>
      </c>
      <c r="W647" s="6" t="str">
        <v>Other Software (inq. Games)</v>
      </c>
      <c r="X647" s="6" t="str">
        <v>Applications Software(Business;Desktop Publishing;Primary Business not Hi-Tech;Utilities/File Mgmt Software;Applications Software(Home);Internet Services &amp; Software;Communication/Network Software;Other Software (inq. Games)</v>
      </c>
      <c r="Y647" s="6" t="str">
        <v>Applications Software(Home);Internet Services &amp; Software;Communication/Network Software;Primary Business not Hi-Tech;Desktop Publishing;Other Software (inq. Games);Applications Software(Business;Utilities/File Mgmt Software</v>
      </c>
      <c r="Z647" s="6" t="str">
        <v>Applications Software(Business;Applications Software(Home);Internet Services &amp; Software;Other Software (inq. Games);Desktop Publishing;Primary Business not Hi-Tech;Utilities/File Mgmt Software;Communication/Network Software</v>
      </c>
      <c r="AA647" s="6" t="str">
        <v>Satellite Communications;Networking Systems (LAN,WAN);Internet Services &amp; Software;Data Commun(Exclude networking;Cellular Communications</v>
      </c>
      <c r="AB647" s="6" t="str">
        <v>Internet Services &amp; Software;Networking Systems (LAN,WAN);Satellite Communications;Cellular Communications;Data Commun(Exclude networking</v>
      </c>
    </row>
    <row r="648">
      <c r="A648" s="6" t="str">
        <v>023135</v>
      </c>
      <c r="B648" s="6" t="str">
        <v>United States</v>
      </c>
      <c r="C648" s="6" t="str">
        <v>Amazon.com Inc</v>
      </c>
      <c r="D648" s="6" t="str">
        <v>Amazon.com Inc</v>
      </c>
      <c r="F648" s="6" t="str">
        <v>United States</v>
      </c>
      <c r="G648" s="6" t="str">
        <v>Health Navigator Inc</v>
      </c>
      <c r="H648" s="6" t="str">
        <v>Prepackaged Software</v>
      </c>
      <c r="I648" s="6" t="str">
        <v>7J8512</v>
      </c>
      <c r="J648" s="6" t="str">
        <v>Health Navigator Inc</v>
      </c>
      <c r="K648" s="6" t="str">
        <v>Health Navigator Inc</v>
      </c>
      <c r="L648" s="7">
        <f>=DATE(2019,10,23)</f>
        <v>43760.99949074074</v>
      </c>
      <c r="M648" s="7">
        <f>=DATE(2019,10,23)</f>
        <v>43760.99949074074</v>
      </c>
      <c r="W648" s="6" t="str">
        <v>Primary Business not Hi-Tech</v>
      </c>
      <c r="X648" s="6" t="str">
        <v>Other Software (inq. Games)</v>
      </c>
      <c r="Y648" s="6" t="str">
        <v>Other Software (inq. Games)</v>
      </c>
      <c r="Z648" s="6" t="str">
        <v>Other Software (inq. Games)</v>
      </c>
      <c r="AA648" s="6" t="str">
        <v>Primary Business not Hi-Tech</v>
      </c>
      <c r="AB648" s="6" t="str">
        <v>Primary Business not Hi-Tech</v>
      </c>
    </row>
    <row r="649">
      <c r="A649" s="6" t="str">
        <v>73959W</v>
      </c>
      <c r="B649" s="6" t="str">
        <v>United States</v>
      </c>
      <c r="C649" s="6" t="str">
        <v>PowerSchool Group LLC</v>
      </c>
      <c r="D649" s="6" t="str">
        <v>PowerSchool Holdings Inc</v>
      </c>
      <c r="F649" s="6" t="str">
        <v>United States</v>
      </c>
      <c r="G649" s="6" t="str">
        <v>Schoology Inc</v>
      </c>
      <c r="H649" s="6" t="str">
        <v>Educational Services</v>
      </c>
      <c r="I649" s="6" t="str">
        <v>7J7555</v>
      </c>
      <c r="J649" s="6" t="str">
        <v>Schoology Inc</v>
      </c>
      <c r="K649" s="6" t="str">
        <v>Schoology Inc</v>
      </c>
      <c r="L649" s="7">
        <f>=DATE(2019,10,24)</f>
        <v>43761.99949074074</v>
      </c>
      <c r="M649" s="7">
        <f>=DATE(2019,11,25)</f>
        <v>43793.99949074074</v>
      </c>
      <c r="W649" s="6" t="str">
        <v>Other Software (inq. Games)</v>
      </c>
      <c r="X649" s="6" t="str">
        <v>Internet Services &amp; Software</v>
      </c>
      <c r="Y649" s="6" t="str">
        <v>Internet Services &amp; Software</v>
      </c>
      <c r="Z649" s="6" t="str">
        <v>Internet Services &amp; Software</v>
      </c>
      <c r="AA649" s="6" t="str">
        <v>Primary Business not Hi-Tech;Applications Software(Home);Internet Services &amp; Software;Communication/Network Software;Desktop Publishing;Utilities/File Mgmt Software;Applications Software(Business;Other Software (inq. Games)</v>
      </c>
      <c r="AB649" s="6" t="str">
        <v>Other Software (inq. Games);Desktop Publishing;Communication/Network Software;Applications Software(Home);Primary Business not Hi-Tech;Applications Software(Business;Utilities/File Mgmt Software;Internet Services &amp; Software</v>
      </c>
    </row>
    <row r="650">
      <c r="A650" s="6" t="str">
        <v>3H3084</v>
      </c>
      <c r="B650" s="6" t="str">
        <v>United States</v>
      </c>
      <c r="C650" s="6" t="str">
        <v>Tenor Inc</v>
      </c>
      <c r="D650" s="6" t="str">
        <v>Alphabet Inc</v>
      </c>
      <c r="F650" s="6" t="str">
        <v>United States</v>
      </c>
      <c r="G650" s="6" t="str">
        <v>Zya Inc</v>
      </c>
      <c r="H650" s="6" t="str">
        <v>Prepackaged Software</v>
      </c>
      <c r="I650" s="6" t="str">
        <v>9J7405</v>
      </c>
      <c r="J650" s="6" t="str">
        <v>Zya Inc</v>
      </c>
      <c r="K650" s="6" t="str">
        <v>Zya Inc</v>
      </c>
      <c r="L650" s="7">
        <f>=DATE(2019,10,25)</f>
        <v>43762.99949074074</v>
      </c>
      <c r="M650" s="7">
        <f>=DATE(2019,10,25)</f>
        <v>43762.99949074074</v>
      </c>
      <c r="W650" s="6" t="str">
        <v>Utilities/File Mgmt Software;Applications Software(Home);Applications Software(Business;Desktop Publishing;Communication/Network Software;Other Software (inq. Games);Internet Services &amp; Software</v>
      </c>
      <c r="X650" s="6" t="str">
        <v>Internet Services &amp; Software;Applications Software(Business;Applications Software(Home);Desktop Publishing;Communication/Network Software;Other Software (inq. Games);Utilities/File Mgmt Software</v>
      </c>
      <c r="Y650" s="6" t="str">
        <v>Internet Services &amp; Software;Applications Software(Business;Applications Software(Home);Other Software (inq. Games);Desktop Publishing;Utilities/File Mgmt Software;Communication/Network Software</v>
      </c>
      <c r="Z650" s="6" t="str">
        <v>Desktop Publishing;Internet Services &amp; Software;Utilities/File Mgmt Software;Applications Software(Home);Communication/Network Software;Other Software (inq. Games);Applications Software(Business</v>
      </c>
      <c r="AA650" s="6" t="str">
        <v>Programming Services;Internet Services &amp; Software</v>
      </c>
      <c r="AB650" s="6" t="str">
        <v>Computer Consulting Services;Programming Services;Primary Business not Hi-Tech;Internet Services &amp; Software;Telecommunications Equipment</v>
      </c>
    </row>
    <row r="651">
      <c r="A651" s="6" t="str">
        <v>7J8440</v>
      </c>
      <c r="B651" s="6" t="str">
        <v>United States</v>
      </c>
      <c r="C651" s="6" t="str">
        <v>Google LLC</v>
      </c>
      <c r="D651" s="6" t="str">
        <v>Alphabet Inc</v>
      </c>
      <c r="F651" s="6" t="str">
        <v>United States</v>
      </c>
      <c r="G651" s="6" t="str">
        <v>Fitbit Inc</v>
      </c>
      <c r="H651" s="6" t="str">
        <v>Computer and Office Equipment</v>
      </c>
      <c r="I651" s="6" t="str">
        <v>33812L</v>
      </c>
      <c r="J651" s="6" t="str">
        <v>Fitbit Inc</v>
      </c>
      <c r="K651" s="6" t="str">
        <v>Fitbit Inc</v>
      </c>
      <c r="L651" s="7">
        <f>=DATE(2019,11,1)</f>
        <v>43769.99949074074</v>
      </c>
      <c r="M651" s="7">
        <f>=DATE(2021,1,14)</f>
        <v>44209.99949074074</v>
      </c>
      <c r="N651" s="8">
        <v>2113.374</v>
      </c>
      <c r="O651" s="8">
        <v>2113.374</v>
      </c>
      <c r="P651" s="8" t="str">
        <v>1,477.06</v>
      </c>
      <c r="R651" s="8">
        <v>-184.504</v>
      </c>
      <c r="S651" s="8">
        <v>1503.845</v>
      </c>
      <c r="T651" s="8">
        <v>-2.613</v>
      </c>
      <c r="U651" s="8">
        <v>-38.764</v>
      </c>
      <c r="V651" s="8">
        <v>-73.429</v>
      </c>
      <c r="W651" s="6" t="str">
        <v>Internet Services &amp; Software;Programming Services</v>
      </c>
      <c r="X651" s="6" t="str">
        <v>Portable Computers;Primary Business not Hi-Tech;Medical Monitoring Systems</v>
      </c>
      <c r="Y651" s="6" t="str">
        <v>Portable Computers;Primary Business not Hi-Tech;Medical Monitoring Systems</v>
      </c>
      <c r="Z651" s="6" t="str">
        <v>Portable Computers;Primary Business not Hi-Tech;Medical Monitoring Systems</v>
      </c>
      <c r="AA651" s="6" t="str">
        <v>Computer Consulting Services;Internet Services &amp; Software;Primary Business not Hi-Tech;Programming Services;Telecommunications Equipment</v>
      </c>
      <c r="AB651" s="6" t="str">
        <v>Internet Services &amp; Software;Programming Services;Computer Consulting Services;Telecommunications Equipment;Primary Business not Hi-Tech</v>
      </c>
      <c r="AC651" s="8">
        <v>2113.374</v>
      </c>
      <c r="AD651" s="7">
        <f>=DATE(2019,11,1)</f>
        <v>43769.99949074074</v>
      </c>
      <c r="AE651" s="8">
        <v>2161.09160715</v>
      </c>
      <c r="AF651" s="8" t="str">
        <v>1,477.15</v>
      </c>
      <c r="AG651" s="8" t="str">
        <v>1,477.06</v>
      </c>
    </row>
    <row r="652">
      <c r="A652" s="6" t="str">
        <v>9H1420</v>
      </c>
      <c r="B652" s="6" t="str">
        <v>United States</v>
      </c>
      <c r="C652" s="6" t="str">
        <v>Google Cloud Platform</v>
      </c>
      <c r="D652" s="6" t="str">
        <v>Alphabet Inc</v>
      </c>
      <c r="F652" s="6" t="str">
        <v>United States</v>
      </c>
      <c r="G652" s="6" t="str">
        <v>Cloudsimple Inc</v>
      </c>
      <c r="H652" s="6" t="str">
        <v>Business Services</v>
      </c>
      <c r="I652" s="6" t="str">
        <v>6J2802</v>
      </c>
      <c r="J652" s="6" t="str">
        <v>Cloudsimple Inc</v>
      </c>
      <c r="K652" s="6" t="str">
        <v>Cloudsimple Inc</v>
      </c>
      <c r="L652" s="7">
        <f>=DATE(2019,11,19)</f>
        <v>43787.99949074074</v>
      </c>
      <c r="M652" s="7">
        <f>=DATE(2019,11,19)</f>
        <v>43787.99949074074</v>
      </c>
      <c r="W652" s="6" t="str">
        <v>Other Software (inq. Games)</v>
      </c>
      <c r="X652" s="6" t="str">
        <v>Database Software/Programming;Programming Services</v>
      </c>
      <c r="Y652" s="6" t="str">
        <v>Programming Services;Database Software/Programming</v>
      </c>
      <c r="Z652" s="6" t="str">
        <v>Database Software/Programming;Programming Services</v>
      </c>
      <c r="AA652" s="6" t="str">
        <v>Internet Services &amp; Software;Programming Services</v>
      </c>
      <c r="AB652" s="6" t="str">
        <v>Primary Business not Hi-Tech;Telecommunications Equipment;Programming Services;Computer Consulting Services;Internet Services &amp; Software</v>
      </c>
    </row>
    <row r="653">
      <c r="A653" s="6" t="str">
        <v>037833</v>
      </c>
      <c r="B653" s="6" t="str">
        <v>United States</v>
      </c>
      <c r="C653" s="6" t="str">
        <v>Apple Inc</v>
      </c>
      <c r="D653" s="6" t="str">
        <v>Apple Inc</v>
      </c>
      <c r="F653" s="6" t="str">
        <v>United States</v>
      </c>
      <c r="G653" s="6" t="str">
        <v>Apple Inc</v>
      </c>
      <c r="H653" s="6" t="str">
        <v>Computer and Office Equipment</v>
      </c>
      <c r="I653" s="6" t="str">
        <v>037833</v>
      </c>
      <c r="J653" s="6" t="str">
        <v>Apple Inc</v>
      </c>
      <c r="K653" s="6" t="str">
        <v>Apple Inc</v>
      </c>
      <c r="L653" s="7">
        <f>=DATE(2019,11,30)</f>
        <v>43798.99949074074</v>
      </c>
      <c r="M653" s="7">
        <f>=DATE(2020,5,31)</f>
        <v>43981.99949074074</v>
      </c>
      <c r="N653" s="8">
        <v>10000</v>
      </c>
      <c r="O653" s="8">
        <v>10000</v>
      </c>
      <c r="P653" s="8" t="str">
        <v>1,269,781.19</v>
      </c>
      <c r="R653" s="8">
        <v>55256</v>
      </c>
      <c r="S653" s="8">
        <v>260174</v>
      </c>
      <c r="T653" s="8">
        <v>-90976</v>
      </c>
      <c r="U653" s="8">
        <v>45896</v>
      </c>
      <c r="V653" s="8">
        <v>69391</v>
      </c>
      <c r="W653" s="6" t="str">
        <v>Printers;Micro-Computers (PCs);Mainframes &amp; Super Computers;Other Software (inq. Games);Other Peripherals;Disk Drives;Portable Computers;Monitors/Terminals</v>
      </c>
      <c r="X653" s="6" t="str">
        <v>Other Software (inq. Games);Other Peripherals;Portable Computers;Micro-Computers (PCs);Disk Drives;Mainframes &amp; Super Computers;Printers;Monitors/Terminals</v>
      </c>
      <c r="Y653" s="6" t="str">
        <v>Portable Computers;Printers;Other Peripherals;Disk Drives;Monitors/Terminals;Mainframes &amp; Super Computers;Other Software (inq. Games);Micro-Computers (PCs)</v>
      </c>
      <c r="Z653" s="6" t="str">
        <v>Mainframes &amp; Super Computers;Other Software (inq. Games);Other Peripherals;Micro-Computers (PCs);Monitors/Terminals;Portable Computers;Disk Drives;Printers</v>
      </c>
      <c r="AA653" s="6" t="str">
        <v>Portable Computers;Printers;Monitors/Terminals;Micro-Computers (PCs);Disk Drives;Other Peripherals;Mainframes &amp; Super Computers;Other Software (inq. Games)</v>
      </c>
      <c r="AB653" s="6" t="str">
        <v>Printers;Other Software (inq. Games);Mainframes &amp; Super Computers;Other Peripherals;Portable Computers;Monitors/Terminals;Disk Drives;Micro-Computers (PCs)</v>
      </c>
      <c r="AC653" s="8">
        <v>10000</v>
      </c>
      <c r="AD653" s="7">
        <f>=DATE(2019,11,30)</f>
        <v>43798.99949074074</v>
      </c>
      <c r="AF653" s="8" t="str">
        <v>1,269,781.19</v>
      </c>
      <c r="AG653" s="8" t="str">
        <v>1,269,781.19</v>
      </c>
    </row>
    <row r="654">
      <c r="A654" s="6" t="str">
        <v>2F3138</v>
      </c>
      <c r="B654" s="6" t="str">
        <v>United States</v>
      </c>
      <c r="C654" s="6" t="str">
        <v>CapitalG Management Co LLC</v>
      </c>
      <c r="D654" s="6" t="str">
        <v>Alphabet Inc</v>
      </c>
      <c r="F654" s="6" t="str">
        <v>United States</v>
      </c>
      <c r="G654" s="6" t="str">
        <v>Duolingo Inc</v>
      </c>
      <c r="H654" s="6" t="str">
        <v>Educational Services</v>
      </c>
      <c r="I654" s="6" t="str">
        <v>26603R</v>
      </c>
      <c r="J654" s="6" t="str">
        <v>Alphabet Inc</v>
      </c>
      <c r="K654" s="6" t="str">
        <v>CapitalG Management Co LLC</v>
      </c>
      <c r="L654" s="7">
        <f>=DATE(2019,12,4)</f>
        <v>43802.99949074074</v>
      </c>
      <c r="M654" s="7">
        <f>=DATE(2019,12,4)</f>
        <v>43802.99949074074</v>
      </c>
      <c r="N654" s="8">
        <v>30</v>
      </c>
      <c r="O654" s="8">
        <v>30</v>
      </c>
      <c r="R654" s="8">
        <v>-22.697</v>
      </c>
      <c r="S654" s="8">
        <v>118.315</v>
      </c>
      <c r="T654" s="8">
        <v>30.97</v>
      </c>
      <c r="U654" s="8">
        <v>2.431</v>
      </c>
      <c r="V654" s="8">
        <v>2.152</v>
      </c>
      <c r="W654" s="6" t="str">
        <v>Primary Business not Hi-Tech</v>
      </c>
      <c r="X654" s="6" t="str">
        <v>Other Software (inq. Games);Communication/Network Software;Applications Software(Home);Primary Business not Hi-Tech</v>
      </c>
      <c r="Y654" s="6" t="str">
        <v>Primary Business not Hi-Tech</v>
      </c>
      <c r="Z654" s="6" t="str">
        <v>Computer Consulting Services;Programming Services;Primary Business not Hi-Tech;Telecommunications Equipment;Internet Services &amp; Software</v>
      </c>
      <c r="AA654" s="6" t="str">
        <v>Internet Services &amp; Software;Programming Services</v>
      </c>
      <c r="AB654" s="6" t="str">
        <v>Telecommunications Equipment;Primary Business not Hi-Tech;Computer Consulting Services;Programming Services;Internet Services &amp; Software</v>
      </c>
      <c r="AC654" s="8">
        <v>30</v>
      </c>
      <c r="AD654" s="7">
        <f>=DATE(2019,12,4)</f>
        <v>43802.99949074074</v>
      </c>
    </row>
    <row r="655">
      <c r="A655" s="6" t="str">
        <v>30303M</v>
      </c>
      <c r="B655" s="6" t="str">
        <v>United States</v>
      </c>
      <c r="C655" s="6" t="str">
        <v>Facebook Inc</v>
      </c>
      <c r="D655" s="6" t="str">
        <v>Facebook Inc</v>
      </c>
      <c r="F655" s="6" t="str">
        <v>United States</v>
      </c>
      <c r="G655" s="6" t="str">
        <v>Packagd Corp</v>
      </c>
      <c r="H655" s="6" t="str">
        <v>Prepackaged Software</v>
      </c>
      <c r="I655" s="6" t="str">
        <v>9J9399</v>
      </c>
      <c r="J655" s="6" t="str">
        <v>Packagd Corp</v>
      </c>
      <c r="K655" s="6" t="str">
        <v>Packagd Corp</v>
      </c>
      <c r="L655" s="7">
        <f>=DATE(2019,12,19)</f>
        <v>43817.99949074074</v>
      </c>
      <c r="M655" s="7">
        <f>=DATE(2019,12,19)</f>
        <v>43817.99949074074</v>
      </c>
      <c r="W655" s="6" t="str">
        <v>Internet Services &amp; Software</v>
      </c>
      <c r="X655" s="6" t="str">
        <v>Other Software (inq. Games)</v>
      </c>
      <c r="Y655" s="6" t="str">
        <v>Other Software (inq. Games)</v>
      </c>
      <c r="Z655" s="6" t="str">
        <v>Other Software (inq. Games)</v>
      </c>
      <c r="AA655" s="6" t="str">
        <v>Internet Services &amp; Software</v>
      </c>
      <c r="AB655" s="6" t="str">
        <v>Internet Services &amp; Software</v>
      </c>
    </row>
    <row r="656">
      <c r="A656" s="6" t="str">
        <v>9J7201</v>
      </c>
      <c r="B656" s="6" t="str">
        <v>United States</v>
      </c>
      <c r="C656" s="6" t="str">
        <v>Armis Inc SPV</v>
      </c>
      <c r="D656" s="6" t="str">
        <v>Insight Holdings Group LLC</v>
      </c>
      <c r="F656" s="6" t="str">
        <v>United States</v>
      </c>
      <c r="G656" s="6" t="str">
        <v>Armis Inc</v>
      </c>
      <c r="H656" s="6" t="str">
        <v>Business Services</v>
      </c>
      <c r="I656" s="6" t="str">
        <v>3H5923</v>
      </c>
      <c r="J656" s="6" t="str">
        <v>Armis Inc</v>
      </c>
      <c r="K656" s="6" t="str">
        <v>Armis Inc</v>
      </c>
      <c r="L656" s="7">
        <f>=DATE(2020,1,6)</f>
        <v>43835.99949074074</v>
      </c>
      <c r="M656" s="7">
        <f>=DATE(2020,2,11)</f>
        <v>43871.99949074074</v>
      </c>
      <c r="N656" s="8">
        <v>1100</v>
      </c>
      <c r="O656" s="8">
        <v>1100</v>
      </c>
      <c r="W656" s="6" t="str">
        <v>Primary Business not Hi-Tech</v>
      </c>
      <c r="X656" s="6" t="str">
        <v>Computer Consulting Services;Database Software/Programming;Data Processing Services;Internet Services &amp; Software;Other Computer Related Svcs;Programming Services</v>
      </c>
      <c r="Y656" s="6" t="str">
        <v>Internet Services &amp; Software;Programming Services;Other Computer Related Svcs;Database Software/Programming;Computer Consulting Services;Data Processing Services</v>
      </c>
      <c r="Z656" s="6" t="str">
        <v>Other Computer Related Svcs;Data Processing Services;Internet Services &amp; Software;Computer Consulting Services;Database Software/Programming;Programming Services</v>
      </c>
      <c r="AA656" s="6" t="str">
        <v>Primary Business not Hi-Tech</v>
      </c>
      <c r="AB656" s="6" t="str">
        <v>Primary Business not Hi-Tech</v>
      </c>
      <c r="AC656" s="8">
        <v>1100</v>
      </c>
      <c r="AD656" s="7">
        <f>=DATE(2020,1,6)</f>
        <v>43835.99949074074</v>
      </c>
    </row>
    <row r="657">
      <c r="A657" s="6" t="str">
        <v>7J8440</v>
      </c>
      <c r="B657" s="6" t="str">
        <v>United States</v>
      </c>
      <c r="C657" s="6" t="str">
        <v>Google LLC</v>
      </c>
      <c r="D657" s="6" t="str">
        <v>Alphabet Inc</v>
      </c>
      <c r="F657" s="6" t="str">
        <v>United States</v>
      </c>
      <c r="G657" s="6" t="str">
        <v>AppSheet Inc</v>
      </c>
      <c r="H657" s="6" t="str">
        <v>Prepackaged Software</v>
      </c>
      <c r="I657" s="6" t="str">
        <v>3J8307</v>
      </c>
      <c r="J657" s="6" t="str">
        <v>AppSheet Inc</v>
      </c>
      <c r="K657" s="6" t="str">
        <v>AppSheet Inc</v>
      </c>
      <c r="L657" s="7">
        <f>=DATE(2020,1,14)</f>
        <v>43843.99949074074</v>
      </c>
      <c r="M657" s="7">
        <f>=DATE(2020,1,14)</f>
        <v>43843.99949074074</v>
      </c>
      <c r="W657" s="6" t="str">
        <v>Programming Services;Internet Services &amp; Software</v>
      </c>
      <c r="X657" s="6" t="str">
        <v>Other Software (inq. Games)</v>
      </c>
      <c r="Y657" s="6" t="str">
        <v>Other Software (inq. Games)</v>
      </c>
      <c r="Z657" s="6" t="str">
        <v>Other Software (inq. Games)</v>
      </c>
      <c r="AA657" s="6" t="str">
        <v>Programming Services;Telecommunications Equipment;Computer Consulting Services;Internet Services &amp; Software;Primary Business not Hi-Tech</v>
      </c>
      <c r="AB657" s="6" t="str">
        <v>Programming Services;Internet Services &amp; Software;Computer Consulting Services;Primary Business not Hi-Tech;Telecommunications Equipment</v>
      </c>
    </row>
    <row r="658">
      <c r="A658" s="6" t="str">
        <v>037833</v>
      </c>
      <c r="B658" s="6" t="str">
        <v>United States</v>
      </c>
      <c r="C658" s="6" t="str">
        <v>Apple Inc</v>
      </c>
      <c r="D658" s="6" t="str">
        <v>Apple Inc</v>
      </c>
      <c r="F658" s="6" t="str">
        <v>United States</v>
      </c>
      <c r="G658" s="6" t="str">
        <v>Xnor.Ai Inc</v>
      </c>
      <c r="H658" s="6" t="str">
        <v>Prepackaged Software</v>
      </c>
      <c r="I658" s="6" t="str">
        <v>1K1350</v>
      </c>
      <c r="J658" s="6" t="str">
        <v>Xnor.Ai Inc</v>
      </c>
      <c r="K658" s="6" t="str">
        <v>Xnor.Ai Inc</v>
      </c>
      <c r="L658" s="7">
        <f>=DATE(2020,1,15)</f>
        <v>43844.99949074074</v>
      </c>
      <c r="M658" s="7">
        <f>=DATE(2020,1,15)</f>
        <v>43844.99949074074</v>
      </c>
      <c r="W658" s="6" t="str">
        <v>Other Software (inq. Games);Printers;Disk Drives;Portable Computers;Micro-Computers (PCs);Monitors/Terminals;Mainframes &amp; Super Computers;Other Peripherals</v>
      </c>
      <c r="X658" s="6" t="str">
        <v>Applications Software(Home);Applications Software(Business;Communication/Network Software;Utilities/File Mgmt Software;Other Software (inq. Games);Internet Services &amp; Software;Desktop Publishing</v>
      </c>
      <c r="Y658" s="6" t="str">
        <v>Applications Software(Home);Internet Services &amp; Software;Utilities/File Mgmt Software;Applications Software(Business;Communication/Network Software;Desktop Publishing;Other Software (inq. Games)</v>
      </c>
      <c r="Z658" s="6" t="str">
        <v>Internet Services &amp; Software;Applications Software(Business;Desktop Publishing;Applications Software(Home);Communication/Network Software;Utilities/File Mgmt Software;Other Software (inq. Games)</v>
      </c>
      <c r="AA658" s="6" t="str">
        <v>Monitors/Terminals;Portable Computers;Disk Drives;Printers;Other Software (inq. Games);Micro-Computers (PCs);Mainframes &amp; Super Computers;Other Peripherals</v>
      </c>
      <c r="AB658" s="6" t="str">
        <v>Mainframes &amp; Super Computers;Disk Drives;Portable Computers;Printers;Other Peripherals;Micro-Computers (PCs);Monitors/Terminals;Other Software (inq. Games)</v>
      </c>
      <c r="AD658" s="7">
        <f>=DATE(2020,1,15)</f>
        <v>43844.99949074074</v>
      </c>
    </row>
    <row r="659">
      <c r="A659" s="6" t="str">
        <v>4C7902</v>
      </c>
      <c r="B659" s="6" t="str">
        <v>United States</v>
      </c>
      <c r="C659" s="6" t="str">
        <v>Amazon Web Services Inc</v>
      </c>
      <c r="D659" s="6" t="str">
        <v>Amazon.com Inc</v>
      </c>
      <c r="F659" s="6" t="str">
        <v>United States</v>
      </c>
      <c r="G659" s="6" t="str">
        <v>DataRow</v>
      </c>
      <c r="H659" s="6" t="str">
        <v>Prepackaged Software</v>
      </c>
      <c r="I659" s="6" t="str">
        <v>1K3414</v>
      </c>
      <c r="J659" s="6" t="str">
        <v>DataRow</v>
      </c>
      <c r="K659" s="6" t="str">
        <v>DataRow</v>
      </c>
      <c r="L659" s="7">
        <f>=DATE(2020,2,21)</f>
        <v>43881.99949074074</v>
      </c>
      <c r="M659" s="7">
        <f>=DATE(2020,2,21)</f>
        <v>43881.99949074074</v>
      </c>
      <c r="W659" s="6" t="str">
        <v>Internet Services &amp; Software;Computer Consulting Services;Data Processing Services;Other Computer Related Svcs;Primary Business not Hi-Tech</v>
      </c>
      <c r="X659" s="6" t="str">
        <v>Workstations;Applications Software(Home);Operating Systems;Networking Systems (LAN,WAN);Desktop Publishing;Computer Consulting Services;Communication/Network Software;Internet Services &amp; Software;Data Processing Services;CAD/CAM/CAE/Graphics Systems;Utilities/File Mgmt Software;Other Computer Related Svcs;Other Software (inq. Games);Turnkey Systems;Other Computer Systems;Data Commun(Exclude networking;Applications Software(Business;Primary Business not Hi-Tech</v>
      </c>
      <c r="Y659" s="6" t="str">
        <v>Computer Consulting Services;Other Computer Related Svcs;Internet Services &amp; Software;Utilities/File Mgmt Software;Applications Software(Business;Turnkey Systems;Other Software (inq. Games);Workstations;CAD/CAM/CAE/Graphics Systems;Data Processing Services;Networking Systems (LAN,WAN);Applications Software(Home);Other Computer Systems;Desktop Publishing;Communication/Network Software;Primary Business not Hi-Tech;Data Commun(Exclude networking;Operating Systems</v>
      </c>
      <c r="Z659" s="6" t="str">
        <v>Primary Business not Hi-Tech;Other Computer Related Svcs;CAD/CAM/CAE/Graphics Systems;Communication/Network Software;Workstations;Utilities/File Mgmt Software;Data Processing Services;Other Software (inq. Games);Applications Software(Home);Operating Systems;Applications Software(Business;Other Computer Systems;Turnkey Systems;Computer Consulting Services;Data Commun(Exclude networking;Desktop Publishing;Networking Systems (LAN,WAN);Internet Services &amp; Software</v>
      </c>
      <c r="AA659" s="6" t="str">
        <v>Primary Business not Hi-Tech</v>
      </c>
      <c r="AB659" s="6" t="str">
        <v>Primary Business not Hi-Tech</v>
      </c>
    </row>
    <row r="660">
      <c r="A660" s="6" t="str">
        <v>8J8006</v>
      </c>
      <c r="B660" s="6" t="str">
        <v>United States</v>
      </c>
      <c r="C660" s="6" t="str">
        <v>Facebook Technologies Inc</v>
      </c>
      <c r="D660" s="6" t="str">
        <v>Facebook Inc</v>
      </c>
      <c r="F660" s="6" t="str">
        <v>United States</v>
      </c>
      <c r="G660" s="6" t="str">
        <v>Sanzaru Games Inc</v>
      </c>
      <c r="H660" s="6" t="str">
        <v>Business Services</v>
      </c>
      <c r="I660" s="6" t="str">
        <v>1K1072</v>
      </c>
      <c r="J660" s="6" t="str">
        <v>Sanzaru Games Inc</v>
      </c>
      <c r="K660" s="6" t="str">
        <v>Sanzaru Games Inc</v>
      </c>
      <c r="L660" s="7">
        <f>=DATE(2020,2,26)</f>
        <v>43886.99949074074</v>
      </c>
      <c r="M660" s="7">
        <f>=DATE(2020,2,26)</f>
        <v>43886.99949074074</v>
      </c>
      <c r="W660" s="6" t="str">
        <v>Programming Services;Communication/Network Software;Applications Software(Home);Applications Software(Business</v>
      </c>
      <c r="X660" s="6" t="str">
        <v>Programming Services;Database Software/Programming</v>
      </c>
      <c r="Y660" s="6" t="str">
        <v>Programming Services;Database Software/Programming</v>
      </c>
      <c r="Z660" s="6" t="str">
        <v>Programming Services;Database Software/Programming</v>
      </c>
      <c r="AA660" s="6" t="str">
        <v>Internet Services &amp; Software</v>
      </c>
      <c r="AB660" s="6" t="str">
        <v>Internet Services &amp; Software</v>
      </c>
    </row>
    <row r="661">
      <c r="A661" s="6" t="str">
        <v>594918</v>
      </c>
      <c r="B661" s="6" t="str">
        <v>United States</v>
      </c>
      <c r="C661" s="6" t="str">
        <v>Microsoft Corp</v>
      </c>
      <c r="D661" s="6" t="str">
        <v>Microsoft Corp</v>
      </c>
      <c r="F661" s="6" t="str">
        <v>United States</v>
      </c>
      <c r="G661" s="6" t="str">
        <v>Affirmed Networks Inc</v>
      </c>
      <c r="H661" s="6" t="str">
        <v>Telecommunications</v>
      </c>
      <c r="I661" s="6" t="str">
        <v>1J2383</v>
      </c>
      <c r="J661" s="6" t="str">
        <v>Affirmed Networks Inc</v>
      </c>
      <c r="K661" s="6" t="str">
        <v>Affirmed Networks Inc</v>
      </c>
      <c r="L661" s="7">
        <f>=DATE(2020,3,26)</f>
        <v>43915.99949074074</v>
      </c>
      <c r="M661" s="7">
        <f>=DATE(2020,4,23)</f>
        <v>43943.99949074074</v>
      </c>
      <c r="W661" s="6" t="str">
        <v>Other Peripherals;Monitors/Terminals;Applications Software(Business;Computer Consulting Services;Operating Systems;Internet Services &amp; Software</v>
      </c>
      <c r="X661" s="6" t="str">
        <v>Programming Services;Database Software/Programming;Satellite Communications</v>
      </c>
      <c r="Y661" s="6" t="str">
        <v>Programming Services;Database Software/Programming;Satellite Communications</v>
      </c>
      <c r="Z661" s="6" t="str">
        <v>Satellite Communications;Database Software/Programming;Programming Services</v>
      </c>
      <c r="AA661" s="6" t="str">
        <v>Internet Services &amp; Software;Other Peripherals;Monitors/Terminals;Applications Software(Business;Operating Systems;Computer Consulting Services</v>
      </c>
      <c r="AB661" s="6" t="str">
        <v>Other Peripherals;Internet Services &amp; Software;Operating Systems;Computer Consulting Services;Monitors/Terminals;Applications Software(Business</v>
      </c>
    </row>
    <row r="662">
      <c r="A662" s="6" t="str">
        <v>037833</v>
      </c>
      <c r="B662" s="6" t="str">
        <v>United States</v>
      </c>
      <c r="C662" s="6" t="str">
        <v>Apple Inc</v>
      </c>
      <c r="D662" s="6" t="str">
        <v>Apple Inc</v>
      </c>
      <c r="F662" s="6" t="str">
        <v>United States</v>
      </c>
      <c r="G662" s="6" t="str">
        <v>Dark Sky Co LLC</v>
      </c>
      <c r="H662" s="6" t="str">
        <v>Prepackaged Software</v>
      </c>
      <c r="I662" s="6" t="str">
        <v>1K7924</v>
      </c>
      <c r="J662" s="6" t="str">
        <v>Dark Sky Co LLC</v>
      </c>
      <c r="K662" s="6" t="str">
        <v>Dark Sky Co LLC</v>
      </c>
      <c r="L662" s="7">
        <f>=DATE(2020,3,31)</f>
        <v>43920.99949074074</v>
      </c>
      <c r="M662" s="7">
        <f>=DATE(2020,3,31)</f>
        <v>43920.99949074074</v>
      </c>
      <c r="W662" s="6" t="str">
        <v>Other Software (inq. Games);Micro-Computers (PCs);Mainframes &amp; Super Computers;Other Peripherals;Monitors/Terminals;Portable Computers;Printers;Disk Drives</v>
      </c>
      <c r="X662" s="6" t="str">
        <v>Other Software (inq. Games);Internet Services &amp; Software;Applications Software(Home);Desktop Publishing;Utilities/File Mgmt Software;Communication/Network Software;Applications Software(Business</v>
      </c>
      <c r="Y662" s="6" t="str">
        <v>Utilities/File Mgmt Software;Communication/Network Software;Other Software (inq. Games);Applications Software(Home);Internet Services &amp; Software;Desktop Publishing;Applications Software(Business</v>
      </c>
      <c r="Z662" s="6" t="str">
        <v>Applications Software(Business;Communication/Network Software;Utilities/File Mgmt Software;Applications Software(Home);Desktop Publishing;Internet Services &amp; Software;Other Software (inq. Games)</v>
      </c>
      <c r="AA662" s="6" t="str">
        <v>Micro-Computers (PCs);Portable Computers;Disk Drives;Printers;Other Software (inq. Games);Mainframes &amp; Super Computers;Other Peripherals;Monitors/Terminals</v>
      </c>
      <c r="AB662" s="6" t="str">
        <v>Portable Computers;Other Peripherals;Micro-Computers (PCs);Disk Drives;Other Software (inq. Games);Monitors/Terminals;Printers;Mainframes &amp; Super Computers</v>
      </c>
    </row>
    <row r="663">
      <c r="A663" s="6" t="str">
        <v>594918</v>
      </c>
      <c r="B663" s="6" t="str">
        <v>United States</v>
      </c>
      <c r="C663" s="6" t="str">
        <v>Microsoft Corp</v>
      </c>
      <c r="D663" s="6" t="str">
        <v>Microsoft Corp</v>
      </c>
      <c r="F663" s="6" t="str">
        <v>United States</v>
      </c>
      <c r="G663" s="6" t="str">
        <v>CyberX Inc</v>
      </c>
      <c r="H663" s="6" t="str">
        <v>Prepackaged Software</v>
      </c>
      <c r="I663" s="6" t="str">
        <v>2H5276</v>
      </c>
      <c r="J663" s="6" t="str">
        <v>CyberX Inc</v>
      </c>
      <c r="K663" s="6" t="str">
        <v>CyberX Inc</v>
      </c>
      <c r="L663" s="7">
        <f>=DATE(2020,5,5)</f>
        <v>43955.99949074074</v>
      </c>
      <c r="M663" s="7">
        <f>=DATE(2020,6,22)</f>
        <v>44003.99949074074</v>
      </c>
      <c r="W663" s="6" t="str">
        <v>Other Peripherals;Operating Systems;Internet Services &amp; Software;Monitors/Terminals;Applications Software(Business;Computer Consulting Services</v>
      </c>
      <c r="X663" s="6" t="str">
        <v>Utilities/File Mgmt Software;Internet Services &amp; Software;Applications Software(Business;Desktop Publishing;Other Software (inq. Games);Communication/Network Software;Applications Software(Home)</v>
      </c>
      <c r="Y663" s="6" t="str">
        <v>Internet Services &amp; Software;Desktop Publishing;Communication/Network Software;Applications Software(Home);Applications Software(Business;Utilities/File Mgmt Software;Other Software (inq. Games)</v>
      </c>
      <c r="Z663" s="6" t="str">
        <v>Applications Software(Business;Applications Software(Home);Utilities/File Mgmt Software;Communication/Network Software;Internet Services &amp; Software;Other Software (inq. Games);Desktop Publishing</v>
      </c>
      <c r="AA663" s="6" t="str">
        <v>Applications Software(Business;Other Peripherals;Computer Consulting Services;Monitors/Terminals;Operating Systems;Internet Services &amp; Software</v>
      </c>
      <c r="AB663" s="6" t="str">
        <v>Computer Consulting Services;Internet Services &amp; Software;Monitors/Terminals;Other Peripherals;Operating Systems;Applications Software(Business</v>
      </c>
    </row>
    <row r="664">
      <c r="A664" s="6" t="str">
        <v>4H9237</v>
      </c>
      <c r="B664" s="6" t="str">
        <v>United States</v>
      </c>
      <c r="C664" s="6" t="str">
        <v>Kustomer Inc</v>
      </c>
      <c r="D664" s="6" t="str">
        <v>Kustomer Inc</v>
      </c>
      <c r="F664" s="6" t="str">
        <v>United States</v>
      </c>
      <c r="G664" s="6" t="str">
        <v>Reply Inc</v>
      </c>
      <c r="H664" s="6" t="str">
        <v>Business Services</v>
      </c>
      <c r="I664" s="6" t="str">
        <v>2K7621</v>
      </c>
      <c r="J664" s="6" t="str">
        <v>Reply Inc</v>
      </c>
      <c r="K664" s="6" t="str">
        <v>Reply Inc</v>
      </c>
      <c r="L664" s="7">
        <f>=DATE(2020,5,14)</f>
        <v>43964.99949074074</v>
      </c>
      <c r="M664" s="7">
        <f>=DATE(2020,5,14)</f>
        <v>43964.99949074074</v>
      </c>
      <c r="W664" s="6" t="str">
        <v>Other Computer Systems;Other Computer Related Svcs;Utilities/File Mgmt Software;Computer Consulting Services;Other Software (inq. Games);Turnkey Systems;Applications Software(Business;CAD/CAM/CAE/Graphics Systems;Internet Services &amp; Software;Networking Systems (LAN,WAN);Operating Systems;Workstations;Primary Business not Hi-Tech;Applications Software(Home);Desktop Publishing;Data Commun(Exclude networking;Communication/Network Software</v>
      </c>
      <c r="X664" s="6" t="str">
        <v>Programming Services;Database Software/Programming</v>
      </c>
      <c r="Y664" s="6" t="str">
        <v>Database Software/Programming;Programming Services</v>
      </c>
      <c r="Z664" s="6" t="str">
        <v>Programming Services;Database Software/Programming</v>
      </c>
      <c r="AA664" s="6" t="str">
        <v>Turnkey Systems;Communication/Network Software;Desktop Publishing;Applications Software(Home);Computer Consulting Services;Primary Business not Hi-Tech;Applications Software(Business;Internet Services &amp; Software;Workstations;Other Software (inq. Games);Data Commun(Exclude networking;Other Computer Related Svcs;Networking Systems (LAN,WAN);Utilities/File Mgmt Software;Other Computer Systems;CAD/CAM/CAE/Graphics Systems;Operating Systems</v>
      </c>
      <c r="AB664" s="6" t="str">
        <v>Applications Software(Business;Primary Business not Hi-Tech;Other Computer Related Svcs;Other Computer Systems;Operating Systems;Applications Software(Home);Turnkey Systems;Workstations;CAD/CAM/CAE/Graphics Systems;Other Software (inq. Games);Computer Consulting Services;Data Commun(Exclude networking;Utilities/File Mgmt Software;Communication/Network Software;Networking Systems (LAN,WAN);Internet Services &amp; Software;Desktop Publishing</v>
      </c>
    </row>
    <row r="665">
      <c r="A665" s="6" t="str">
        <v>037833</v>
      </c>
      <c r="B665" s="6" t="str">
        <v>United States</v>
      </c>
      <c r="C665" s="6" t="str">
        <v>Apple Inc</v>
      </c>
      <c r="D665" s="6" t="str">
        <v>Apple Inc</v>
      </c>
      <c r="F665" s="6" t="str">
        <v>United States</v>
      </c>
      <c r="G665" s="6" t="str">
        <v>NextVR Inc</v>
      </c>
      <c r="H665" s="6" t="str">
        <v>Prepackaged Software</v>
      </c>
      <c r="I665" s="6" t="str">
        <v>8C4335</v>
      </c>
      <c r="J665" s="6" t="str">
        <v>Toba Capital LLC</v>
      </c>
      <c r="K665" s="6" t="str">
        <v>Toba Capital LLC</v>
      </c>
      <c r="L665" s="7">
        <f>=DATE(2020,5,14)</f>
        <v>43964.99949074074</v>
      </c>
      <c r="M665" s="7">
        <f>=DATE(2020,5,14)</f>
        <v>43964.99949074074</v>
      </c>
      <c r="W665" s="6" t="str">
        <v>Printers;Mainframes &amp; Super Computers;Portable Computers;Other Peripherals;Micro-Computers (PCs);Disk Drives;Other Software (inq. Games);Monitors/Terminals</v>
      </c>
      <c r="X665" s="6" t="str">
        <v>Communication/Network Software;Other Software (inq. Games)</v>
      </c>
      <c r="Y665" s="6" t="str">
        <v>Primary Business not Hi-Tech</v>
      </c>
      <c r="Z665" s="6" t="str">
        <v>Primary Business not Hi-Tech</v>
      </c>
      <c r="AA665" s="6" t="str">
        <v>Mainframes &amp; Super Computers;Printers;Micro-Computers (PCs);Monitors/Terminals;Other Software (inq. Games);Portable Computers;Other Peripherals;Disk Drives</v>
      </c>
      <c r="AB665" s="6" t="str">
        <v>Disk Drives;Portable Computers;Micro-Computers (PCs);Mainframes &amp; Super Computers;Monitors/Terminals;Other Peripherals;Printers;Other Software (inq. Games)</v>
      </c>
    </row>
    <row r="666">
      <c r="A666" s="6" t="str">
        <v>30303M</v>
      </c>
      <c r="B666" s="6" t="str">
        <v>United States</v>
      </c>
      <c r="C666" s="6" t="str">
        <v>Facebook Inc</v>
      </c>
      <c r="D666" s="6" t="str">
        <v>Facebook Inc</v>
      </c>
      <c r="F666" s="6" t="str">
        <v>United States</v>
      </c>
      <c r="G666" s="6" t="str">
        <v>Giphy Inc</v>
      </c>
      <c r="H666" s="6" t="str">
        <v>Business Services</v>
      </c>
      <c r="I666" s="6" t="str">
        <v>2H2017</v>
      </c>
      <c r="J666" s="6" t="str">
        <v>Giphy Inc</v>
      </c>
      <c r="K666" s="6" t="str">
        <v>Giphy Inc</v>
      </c>
      <c r="L666" s="7">
        <f>=DATE(2020,5,15)</f>
        <v>43965.99949074074</v>
      </c>
      <c r="M666" s="7">
        <f>=DATE(2020,5,15)</f>
        <v>43965.99949074074</v>
      </c>
      <c r="W666" s="6" t="str">
        <v>Internet Services &amp; Software</v>
      </c>
      <c r="X666" s="6" t="str">
        <v>Internet Services &amp; Software</v>
      </c>
      <c r="Y666" s="6" t="str">
        <v>Internet Services &amp; Software</v>
      </c>
      <c r="Z666" s="6" t="str">
        <v>Internet Services &amp; Software</v>
      </c>
      <c r="AA666" s="6" t="str">
        <v>Internet Services &amp; Software</v>
      </c>
      <c r="AB666" s="6" t="str">
        <v>Internet Services &amp; Software</v>
      </c>
      <c r="AD666" s="7">
        <f>=DATE(2020,5,15)</f>
        <v>43965.99949074074</v>
      </c>
    </row>
    <row r="667">
      <c r="A667" s="6" t="str">
        <v>037833</v>
      </c>
      <c r="B667" s="6" t="str">
        <v>United States</v>
      </c>
      <c r="C667" s="6" t="str">
        <v>Apple Inc</v>
      </c>
      <c r="D667" s="6" t="str">
        <v>Apple Inc</v>
      </c>
      <c r="F667" s="6" t="str">
        <v>United States</v>
      </c>
      <c r="G667" s="6" t="str">
        <v>Apple Inc</v>
      </c>
      <c r="H667" s="6" t="str">
        <v>Computer and Office Equipment</v>
      </c>
      <c r="I667" s="6" t="str">
        <v>037833</v>
      </c>
      <c r="J667" s="6" t="str">
        <v>Apple Inc</v>
      </c>
      <c r="K667" s="6" t="str">
        <v>Apple Inc</v>
      </c>
      <c r="L667" s="7">
        <f>=DATE(2020,5,31)</f>
        <v>43981.99949074074</v>
      </c>
      <c r="M667" s="7">
        <f>=DATE(2020,8,29)</f>
        <v>44071.99949074074</v>
      </c>
      <c r="N667" s="8">
        <v>6000</v>
      </c>
      <c r="O667" s="8">
        <v>6000</v>
      </c>
      <c r="P667" s="8" t="str">
        <v>422,447.91</v>
      </c>
      <c r="R667" s="8">
        <v>57215</v>
      </c>
      <c r="S667" s="8">
        <v>267981</v>
      </c>
      <c r="T667" s="8">
        <v>-94190</v>
      </c>
      <c r="U667" s="8">
        <v>22049</v>
      </c>
      <c r="V667" s="8">
        <v>75373</v>
      </c>
      <c r="W667" s="6" t="str">
        <v>Monitors/Terminals;Other Peripherals;Mainframes &amp; Super Computers;Printers;Portable Computers;Other Software (inq. Games);Disk Drives;Micro-Computers (PCs)</v>
      </c>
      <c r="X667" s="6" t="str">
        <v>Portable Computers;Monitors/Terminals;Disk Drives;Mainframes &amp; Super Computers;Micro-Computers (PCs);Other Software (inq. Games);Printers;Other Peripherals</v>
      </c>
      <c r="Y667" s="6" t="str">
        <v>Other Peripherals;Micro-Computers (PCs);Printers;Mainframes &amp; Super Computers;Portable Computers;Other Software (inq. Games);Monitors/Terminals;Disk Drives</v>
      </c>
      <c r="Z667" s="6" t="str">
        <v>Printers;Micro-Computers (PCs);Portable Computers;Disk Drives;Monitors/Terminals;Mainframes &amp; Super Computers;Other Peripherals;Other Software (inq. Games)</v>
      </c>
      <c r="AA667" s="6" t="str">
        <v>Micro-Computers (PCs);Portable Computers;Monitors/Terminals;Disk Drives;Other Software (inq. Games);Mainframes &amp; Super Computers;Printers;Other Peripherals</v>
      </c>
      <c r="AB667" s="6" t="str">
        <v>Mainframes &amp; Super Computers;Micro-Computers (PCs);Disk Drives;Printers;Other Peripherals;Other Software (inq. Games);Monitors/Terminals;Portable Computers</v>
      </c>
      <c r="AC667" s="8">
        <v>6000</v>
      </c>
      <c r="AD667" s="7">
        <f>=DATE(2020,5,31)</f>
        <v>43981.99949074074</v>
      </c>
      <c r="AF667" s="8" t="str">
        <v>422,447.91</v>
      </c>
      <c r="AG667" s="8" t="str">
        <v>422,447.91</v>
      </c>
    </row>
    <row r="668">
      <c r="A668" s="6" t="str">
        <v>9H9297</v>
      </c>
      <c r="B668" s="6" t="str">
        <v>United States</v>
      </c>
      <c r="C668" s="6" t="str">
        <v>Microsoft Azure</v>
      </c>
      <c r="D668" s="6" t="str">
        <v>Microsoft Corp</v>
      </c>
      <c r="F668" s="6" t="str">
        <v>United States</v>
      </c>
      <c r="G668" s="6" t="str">
        <v>ADRM Software Inc</v>
      </c>
      <c r="H668" s="6" t="str">
        <v>Prepackaged Software</v>
      </c>
      <c r="I668" s="6" t="str">
        <v>5K5695</v>
      </c>
      <c r="J668" s="6" t="str">
        <v>ADRM Software Inc</v>
      </c>
      <c r="K668" s="6" t="str">
        <v>ADRM Software Inc</v>
      </c>
      <c r="L668" s="7">
        <f>=DATE(2020,6,18)</f>
        <v>43999.99949074074</v>
      </c>
      <c r="M668" s="7">
        <f>=DATE(2020,6,18)</f>
        <v>43999.99949074074</v>
      </c>
      <c r="W668" s="6" t="str">
        <v>Other Computer Related Svcs;Primary Business not Hi-Tech;Internet Services &amp; Software;Data Processing Services;Computer Consulting Services</v>
      </c>
      <c r="X668" s="6" t="str">
        <v>Utilities/File Mgmt Software;Internet Services &amp; Software;Applications Software(Business;Communication/Network Software;Desktop Publishing;Other Software (inq. Games);Applications Software(Home)</v>
      </c>
      <c r="Y668" s="6" t="str">
        <v>Communication/Network Software;Applications Software(Business;Applications Software(Home);Utilities/File Mgmt Software;Other Software (inq. Games);Internet Services &amp; Software;Desktop Publishing</v>
      </c>
      <c r="Z668" s="6" t="str">
        <v>Applications Software(Business;Desktop Publishing;Utilities/File Mgmt Software;Communication/Network Software;Internet Services &amp; Software;Applications Software(Home);Other Software (inq. Games)</v>
      </c>
      <c r="AA668" s="6" t="str">
        <v>Monitors/Terminals;Other Peripherals;Operating Systems;Applications Software(Business;Internet Services &amp; Software;Computer Consulting Services</v>
      </c>
      <c r="AB668" s="6" t="str">
        <v>Applications Software(Business;Computer Consulting Services;Other Peripherals;Monitors/Terminals;Operating Systems;Internet Services &amp; Software</v>
      </c>
    </row>
    <row r="669">
      <c r="A669" s="6" t="str">
        <v>037833</v>
      </c>
      <c r="B669" s="6" t="str">
        <v>United States</v>
      </c>
      <c r="C669" s="6" t="str">
        <v>Apple Inc</v>
      </c>
      <c r="D669" s="6" t="str">
        <v>Apple Inc</v>
      </c>
      <c r="F669" s="6" t="str">
        <v>United States</v>
      </c>
      <c r="G669" s="6" t="str">
        <v>Fleetsmith Inc</v>
      </c>
      <c r="H669" s="6" t="str">
        <v>Prepackaged Software</v>
      </c>
      <c r="I669" s="6" t="str">
        <v>3K7239</v>
      </c>
      <c r="J669" s="6" t="str">
        <v>Fleetsmith Inc</v>
      </c>
      <c r="K669" s="6" t="str">
        <v>Fleetsmith Inc</v>
      </c>
      <c r="L669" s="7">
        <f>=DATE(2020,6,24)</f>
        <v>44005.99949074074</v>
      </c>
      <c r="M669" s="7">
        <f>=DATE(2020,6,24)</f>
        <v>44005.99949074074</v>
      </c>
      <c r="W669" s="6" t="str">
        <v>Disk Drives;Printers;Other Peripherals;Micro-Computers (PCs);Other Software (inq. Games);Mainframes &amp; Super Computers;Monitors/Terminals;Portable Computers</v>
      </c>
      <c r="X669" s="6" t="str">
        <v>Desktop Publishing;Applications Software(Home);Communication/Network Software;Applications Software(Business;Data Processing Services;Utilities/File Mgmt Software;Computer Consulting Services;Other Software (inq. Games);Primary Business not Hi-Tech;Other Computer Related Svcs;Internet Services &amp; Software</v>
      </c>
      <c r="Y669" s="6" t="str">
        <v>Communication/Network Software;Utilities/File Mgmt Software;Other Software (inq. Games);Desktop Publishing;Internet Services &amp; Software;Applications Software(Business;Primary Business not Hi-Tech;Data Processing Services;Applications Software(Home);Other Computer Related Svcs;Computer Consulting Services</v>
      </c>
      <c r="Z669" s="6" t="str">
        <v>Communication/Network Software;Other Computer Related Svcs;Desktop Publishing;Internet Services &amp; Software;Utilities/File Mgmt Software;Applications Software(Home);Applications Software(Business;Primary Business not Hi-Tech;Data Processing Services;Computer Consulting Services;Other Software (inq. Games)</v>
      </c>
      <c r="AA669" s="6" t="str">
        <v>Micro-Computers (PCs);Mainframes &amp; Super Computers;Portable Computers;Disk Drives;Other Software (inq. Games);Other Peripherals;Printers;Monitors/Terminals</v>
      </c>
      <c r="AB669" s="6" t="str">
        <v>Micro-Computers (PCs);Mainframes &amp; Super Computers;Other Software (inq. Games);Disk Drives;Other Peripherals;Printers;Portable Computers;Monitors/Terminals</v>
      </c>
    </row>
    <row r="670">
      <c r="A670" s="6" t="str">
        <v>7J8440</v>
      </c>
      <c r="B670" s="6" t="str">
        <v>United States</v>
      </c>
      <c r="C670" s="6" t="str">
        <v>Google LLC</v>
      </c>
      <c r="D670" s="6" t="str">
        <v>Alphabet Inc</v>
      </c>
      <c r="F670" s="6" t="str">
        <v>United States</v>
      </c>
      <c r="G670" s="6" t="str">
        <v>ADT Inc</v>
      </c>
      <c r="H670" s="6" t="str">
        <v>Business Services</v>
      </c>
      <c r="I670" s="6" t="str">
        <v>00090Q</v>
      </c>
      <c r="J670" s="6" t="str">
        <v>Apollo Global Management Inc</v>
      </c>
      <c r="K670" s="6" t="str">
        <v>Apollo Global Management Inc</v>
      </c>
      <c r="L670" s="7">
        <f>=DATE(2020,8,3)</f>
        <v>44045.99949074074</v>
      </c>
      <c r="M670" s="7">
        <f>=DATE(2020,9,17)</f>
        <v>44090.99949074074</v>
      </c>
      <c r="N670" s="8">
        <v>450</v>
      </c>
      <c r="O670" s="8">
        <v>450</v>
      </c>
      <c r="P670" s="8" t="str">
        <v>16,035.81</v>
      </c>
      <c r="R670" s="8">
        <v>-660.657</v>
      </c>
      <c r="S670" s="8">
        <v>5299.992</v>
      </c>
      <c r="T670" s="8">
        <v>-794.796</v>
      </c>
      <c r="U670" s="8">
        <v>-726.112</v>
      </c>
      <c r="V670" s="8">
        <v>1522.952</v>
      </c>
      <c r="W670" s="6" t="str">
        <v>Internet Services &amp; Software;Programming Services</v>
      </c>
      <c r="X670" s="6" t="str">
        <v>Other Computer Systems;Programming Services;Operating Systems;Other Computer Related Svcs</v>
      </c>
      <c r="Y670" s="6" t="str">
        <v>Primary Business not Hi-Tech</v>
      </c>
      <c r="Z670" s="6" t="str">
        <v>Primary Business not Hi-Tech</v>
      </c>
      <c r="AA670" s="6" t="str">
        <v>Telecommunications Equipment;Computer Consulting Services;Primary Business not Hi-Tech;Programming Services;Internet Services &amp; Software</v>
      </c>
      <c r="AB670" s="6" t="str">
        <v>Programming Services;Computer Consulting Services;Internet Services &amp; Software;Primary Business not Hi-Tech;Telecommunications Equipment</v>
      </c>
      <c r="AC670" s="8">
        <v>450</v>
      </c>
      <c r="AD670" s="7">
        <f>=DATE(2020,8,3)</f>
        <v>44045.99949074074</v>
      </c>
      <c r="AE670" s="8">
        <v>6250.7551089</v>
      </c>
      <c r="AF670" s="8" t="str">
        <v>15,953.63</v>
      </c>
      <c r="AG670" s="8" t="str">
        <v>16,035.81</v>
      </c>
    </row>
    <row r="671">
      <c r="A671" s="6" t="str">
        <v>9H1420</v>
      </c>
      <c r="B671" s="6" t="str">
        <v>United States</v>
      </c>
      <c r="C671" s="6" t="str">
        <v>Google Cloud Platform</v>
      </c>
      <c r="D671" s="6" t="str">
        <v>Alphabet Inc</v>
      </c>
      <c r="F671" s="6" t="str">
        <v>United States</v>
      </c>
      <c r="G671" s="6" t="str">
        <v>American Well Corp</v>
      </c>
      <c r="H671" s="6" t="str">
        <v>Prepackaged Software</v>
      </c>
      <c r="I671" s="6" t="str">
        <v>3F0892</v>
      </c>
      <c r="J671" s="6" t="str">
        <v>American Well Corp</v>
      </c>
      <c r="K671" s="6" t="str">
        <v>American Well Corp</v>
      </c>
      <c r="L671" s="7">
        <f>=DATE(2020,8,24)</f>
        <v>44066.99949074074</v>
      </c>
      <c r="M671" s="7">
        <f>=DATE(2020,8,24)</f>
        <v>44066.99949074074</v>
      </c>
      <c r="N671" s="8">
        <v>100</v>
      </c>
      <c r="O671" s="8">
        <v>100</v>
      </c>
      <c r="R671" s="8">
        <v>-160.238</v>
      </c>
      <c r="S671" s="8">
        <v>202.058</v>
      </c>
      <c r="T671" s="8">
        <v>194.722</v>
      </c>
      <c r="U671" s="8">
        <v>-22.519</v>
      </c>
      <c r="V671" s="8">
        <v>-98.975</v>
      </c>
      <c r="W671" s="6" t="str">
        <v>Other Software (inq. Games)</v>
      </c>
      <c r="X671" s="6" t="str">
        <v>Other Software (inq. Games)</v>
      </c>
      <c r="Y671" s="6" t="str">
        <v>Other Software (inq. Games)</v>
      </c>
      <c r="Z671" s="6" t="str">
        <v>Other Software (inq. Games)</v>
      </c>
      <c r="AA671" s="6" t="str">
        <v>Internet Services &amp; Software;Programming Services</v>
      </c>
      <c r="AB671" s="6" t="str">
        <v>Computer Consulting Services;Primary Business not Hi-Tech;Programming Services;Internet Services &amp; Software;Telecommunications Equipment</v>
      </c>
      <c r="AC671" s="8">
        <v>100</v>
      </c>
      <c r="AD671" s="7">
        <f>=DATE(2020,8,24)</f>
        <v>44066.99949074074</v>
      </c>
    </row>
    <row r="672">
      <c r="A672" s="6" t="str">
        <v>037833</v>
      </c>
      <c r="B672" s="6" t="str">
        <v>United States</v>
      </c>
      <c r="C672" s="6" t="str">
        <v>Apple Inc</v>
      </c>
      <c r="D672" s="6" t="str">
        <v>Apple Inc</v>
      </c>
      <c r="F672" s="6" t="str">
        <v>United States</v>
      </c>
      <c r="G672" s="6" t="str">
        <v>Spaces Inc</v>
      </c>
      <c r="H672" s="6" t="str">
        <v>Prepackaged Software</v>
      </c>
      <c r="I672" s="6" t="str">
        <v>5K2374</v>
      </c>
      <c r="J672" s="6" t="str">
        <v>Spaces Inc</v>
      </c>
      <c r="K672" s="6" t="str">
        <v>Spaces Inc</v>
      </c>
      <c r="L672" s="7">
        <f>=DATE(2020,8,25)</f>
        <v>44067.99949074074</v>
      </c>
      <c r="M672" s="7">
        <f>=DATE(2020,8,25)</f>
        <v>44067.99949074074</v>
      </c>
      <c r="W672" s="6" t="str">
        <v>Mainframes &amp; Super Computers;Micro-Computers (PCs);Printers;Other Peripherals;Other Software (inq. Games);Monitors/Terminals;Disk Drives;Portable Computers</v>
      </c>
      <c r="X672" s="6" t="str">
        <v>Applications Software(Business;Communication/Network Software;Desktop Publishing;Applications Software(Home);Primary Business not Hi-Tech;Utilities/File Mgmt Software;Other Software (inq. Games);Internet Services &amp; Software</v>
      </c>
      <c r="Y672" s="6" t="str">
        <v>Applications Software(Business;Internet Services &amp; Software;Other Software (inq. Games);Utilities/File Mgmt Software;Primary Business not Hi-Tech;Applications Software(Home);Communication/Network Software;Desktop Publishing</v>
      </c>
      <c r="Z672" s="6" t="str">
        <v>Utilities/File Mgmt Software;Applications Software(Business;Communication/Network Software;Internet Services &amp; Software;Desktop Publishing;Applications Software(Home);Primary Business not Hi-Tech;Other Software (inq. Games)</v>
      </c>
      <c r="AA672" s="6" t="str">
        <v>Micro-Computers (PCs);Monitors/Terminals;Mainframes &amp; Super Computers;Other Software (inq. Games);Printers;Disk Drives;Other Peripherals;Portable Computers</v>
      </c>
      <c r="AB672" s="6" t="str">
        <v>Printers;Micro-Computers (PCs);Other Peripherals;Disk Drives;Other Software (inq. Games);Monitors/Terminals;Portable Computers;Mainframes &amp; Super Computers</v>
      </c>
    </row>
    <row r="673">
      <c r="A673" s="6" t="str">
        <v>8F1020</v>
      </c>
      <c r="B673" s="6" t="str">
        <v>United States</v>
      </c>
      <c r="C673" s="6" t="str">
        <v>Alexa Fund</v>
      </c>
      <c r="D673" s="6" t="str">
        <v>Amazon.com Inc</v>
      </c>
      <c r="F673" s="6" t="str">
        <v>United States</v>
      </c>
      <c r="G673" s="6" t="str">
        <v>Fiddler Labs Inc</v>
      </c>
      <c r="H673" s="6" t="str">
        <v>Business Services</v>
      </c>
      <c r="I673" s="6" t="str">
        <v>5K2613</v>
      </c>
      <c r="J673" s="6" t="str">
        <v>Fiddler Labs Inc</v>
      </c>
      <c r="K673" s="6" t="str">
        <v>Fiddler Labs Inc</v>
      </c>
      <c r="L673" s="7">
        <f>=DATE(2020,8,28)</f>
        <v>44070.99949074074</v>
      </c>
      <c r="M673" s="7">
        <f>=DATE(2020,8,28)</f>
        <v>44070.99949074074</v>
      </c>
      <c r="W673" s="6" t="str">
        <v>Primary Business not Hi-Tech</v>
      </c>
      <c r="X673" s="6" t="str">
        <v>Applications Software(Business;Desktop Publishing;Database Software/Programming;Utilities/File Mgmt Software;Other Software (inq. Games);Communication/Network Software;Programming Services;Internet Services &amp; Software</v>
      </c>
      <c r="Y673" s="6" t="str">
        <v>Internet Services &amp; Software;Utilities/File Mgmt Software;Programming Services;Database Software/Programming;Other Software (inq. Games);Desktop Publishing;Applications Software(Business;Communication/Network Software</v>
      </c>
      <c r="Z673" s="6" t="str">
        <v>Other Software (inq. Games);Internet Services &amp; Software;Utilities/File Mgmt Software;Communication/Network Software;Database Software/Programming;Applications Software(Business;Programming Services;Desktop Publishing</v>
      </c>
      <c r="AA673" s="6" t="str">
        <v>Primary Business not Hi-Tech</v>
      </c>
      <c r="AB673" s="6" t="str">
        <v>Primary Business not Hi-Tech</v>
      </c>
    </row>
    <row r="674">
      <c r="A674" s="6" t="str">
        <v>594918</v>
      </c>
      <c r="B674" s="6" t="str">
        <v>United States</v>
      </c>
      <c r="C674" s="6" t="str">
        <v>Microsoft Corp</v>
      </c>
      <c r="D674" s="6" t="str">
        <v>Microsoft Corp</v>
      </c>
      <c r="F674" s="6" t="str">
        <v>United States</v>
      </c>
      <c r="G674" s="6" t="str">
        <v>ZeniMax Media Inc</v>
      </c>
      <c r="H674" s="6" t="str">
        <v>Prepackaged Software</v>
      </c>
      <c r="I674" s="6" t="str">
        <v>98967F</v>
      </c>
      <c r="J674" s="6" t="str">
        <v>ZeniMax Media Inc</v>
      </c>
      <c r="K674" s="6" t="str">
        <v>ZeniMax Media Inc</v>
      </c>
      <c r="L674" s="7">
        <f>=DATE(2020,9,21)</f>
        <v>44094.99949074074</v>
      </c>
      <c r="M674" s="7">
        <f>=DATE(2021,3,9)</f>
        <v>44263.99949074074</v>
      </c>
      <c r="N674" s="8">
        <v>7500</v>
      </c>
      <c r="O674" s="8">
        <v>7500</v>
      </c>
      <c r="W674" s="6" t="str">
        <v>Monitors/Terminals;Applications Software(Business;Internet Services &amp; Software;Computer Consulting Services;Operating Systems;Other Peripherals</v>
      </c>
      <c r="X674" s="6" t="str">
        <v>Other Software (inq. Games)</v>
      </c>
      <c r="Y674" s="6" t="str">
        <v>Other Software (inq. Games)</v>
      </c>
      <c r="Z674" s="6" t="str">
        <v>Other Software (inq. Games)</v>
      </c>
      <c r="AA674" s="6" t="str">
        <v>Applications Software(Business;Other Peripherals;Operating Systems;Monitors/Terminals;Computer Consulting Services;Internet Services &amp; Software</v>
      </c>
      <c r="AB674" s="6" t="str">
        <v>Internet Services &amp; Software;Other Peripherals;Computer Consulting Services;Applications Software(Business;Operating Systems;Monitors/Terminals</v>
      </c>
      <c r="AC674" s="8">
        <v>7500</v>
      </c>
      <c r="AD674" s="7">
        <f>=DATE(2020,9,21)</f>
        <v>44094.99949074074</v>
      </c>
    </row>
    <row r="675">
      <c r="A675" s="6" t="str">
        <v>4J8001</v>
      </c>
      <c r="B675" s="6" t="str">
        <v>United States</v>
      </c>
      <c r="C675" s="6" t="str">
        <v>Fungible Inc</v>
      </c>
      <c r="D675" s="6" t="str">
        <v>Fungible Inc</v>
      </c>
      <c r="F675" s="6" t="str">
        <v>United States</v>
      </c>
      <c r="G675" s="6" t="str">
        <v>Cloudistics Inc-Assets</v>
      </c>
      <c r="H675" s="6" t="str">
        <v>Prepackaged Software</v>
      </c>
      <c r="I675" s="6" t="str">
        <v>6K1377</v>
      </c>
      <c r="J675" s="6" t="str">
        <v>Fungible Inc</v>
      </c>
      <c r="K675" s="6" t="str">
        <v>Fungible Inc</v>
      </c>
      <c r="L675" s="7">
        <f>=DATE(2020,9,24)</f>
        <v>44097.99949074074</v>
      </c>
      <c r="M675" s="7">
        <f>=DATE(2020,9,24)</f>
        <v>44097.99949074074</v>
      </c>
      <c r="W675" s="6" t="str">
        <v>Computer Consulting Services;Other Computer Related Svcs;Other Software (inq. Games);Data Processing Services</v>
      </c>
      <c r="X675" s="6" t="str">
        <v>Other Software (inq. Games)</v>
      </c>
      <c r="Y675" s="6" t="str">
        <v>Other Software (inq. Games);Data Processing Services;Other Computer Related Svcs;Computer Consulting Services</v>
      </c>
      <c r="Z675" s="6" t="str">
        <v>Other Computer Related Svcs;Data Processing Services;Computer Consulting Services;Other Software (inq. Games)</v>
      </c>
      <c r="AA675" s="6" t="str">
        <v>Computer Consulting Services;Other Software (inq. Games);Other Computer Related Svcs;Data Processing Services</v>
      </c>
      <c r="AB675" s="6" t="str">
        <v>Other Software (inq. Games);Data Processing Services;Computer Consulting Services;Other Computer Related Svcs</v>
      </c>
    </row>
    <row r="676">
      <c r="A676" s="6" t="str">
        <v>73959W</v>
      </c>
      <c r="B676" s="6" t="str">
        <v>United States</v>
      </c>
      <c r="C676" s="6" t="str">
        <v>PowerSchool Group LLC</v>
      </c>
      <c r="D676" s="6" t="str">
        <v>PowerSchool Holdings Inc</v>
      </c>
      <c r="F676" s="6" t="str">
        <v>United States</v>
      </c>
      <c r="G676" s="6" t="str">
        <v>Hoonuit LLC</v>
      </c>
      <c r="H676" s="6" t="str">
        <v>Prepackaged Software</v>
      </c>
      <c r="I676" s="6" t="str">
        <v>8J8503</v>
      </c>
      <c r="J676" s="6" t="str">
        <v>Hoonuit LLC</v>
      </c>
      <c r="K676" s="6" t="str">
        <v>Hoonuit LLC</v>
      </c>
      <c r="L676" s="7">
        <f>=DATE(2020,10,29)</f>
        <v>44132.99949074074</v>
      </c>
      <c r="M676" s="7">
        <f>=DATE(2020,10,29)</f>
        <v>44132.99949074074</v>
      </c>
      <c r="W676" s="6" t="str">
        <v>Other Software (inq. Games)</v>
      </c>
      <c r="X676" s="6" t="str">
        <v>Other Software (inq. Games)</v>
      </c>
      <c r="Y676" s="6" t="str">
        <v>Other Software (inq. Games)</v>
      </c>
      <c r="Z676" s="6" t="str">
        <v>Other Software (inq. Games)</v>
      </c>
      <c r="AA676" s="6" t="str">
        <v>Desktop Publishing;Utilities/File Mgmt Software;Applications Software(Home);Other Software (inq. Games);Communication/Network Software;Primary Business not Hi-Tech;Applications Software(Business;Internet Services &amp; Software</v>
      </c>
      <c r="AB676" s="6" t="str">
        <v>Utilities/File Mgmt Software;Communication/Network Software;Desktop Publishing;Applications Software(Business;Applications Software(Home);Other Software (inq. Games);Internet Services &amp; Software;Primary Business not Hi-Tech</v>
      </c>
    </row>
    <row r="677">
      <c r="A677" s="6" t="str">
        <v>9H1420</v>
      </c>
      <c r="B677" s="6" t="str">
        <v>United States</v>
      </c>
      <c r="C677" s="6" t="str">
        <v>Google Cloud Platform</v>
      </c>
      <c r="D677" s="6" t="str">
        <v>Alphabet Inc</v>
      </c>
      <c r="F677" s="6" t="str">
        <v>United States</v>
      </c>
      <c r="G677" s="6" t="str">
        <v>Actifio Inc</v>
      </c>
      <c r="H677" s="6" t="str">
        <v>Prepackaged Software</v>
      </c>
      <c r="I677" s="6" t="str">
        <v>2A6445</v>
      </c>
      <c r="J677" s="6" t="str">
        <v>Actifio Inc</v>
      </c>
      <c r="K677" s="6" t="str">
        <v>Actifio Inc</v>
      </c>
      <c r="L677" s="7">
        <f>=DATE(2020,12,2)</f>
        <v>44166.99949074074</v>
      </c>
      <c r="M677" s="7">
        <f>=DATE(2020,12,14)</f>
        <v>44178.99949074074</v>
      </c>
      <c r="W677" s="6" t="str">
        <v>Other Software (inq. Games)</v>
      </c>
      <c r="X677" s="6" t="str">
        <v>Operating Systems;Other Computer Systems;Database Software/Programming;Programming Services;Communication/Network Software;Other Software (inq. Games);Internet Services &amp; Software</v>
      </c>
      <c r="Y677" s="6" t="str">
        <v>Other Computer Systems;Programming Services;Other Software (inq. Games);Operating Systems;Database Software/Programming;Communication/Network Software;Internet Services &amp; Software</v>
      </c>
      <c r="Z677" s="6" t="str">
        <v>Programming Services;Internet Services &amp; Software;Database Software/Programming;Operating Systems;Other Software (inq. Games);Other Computer Systems;Communication/Network Software</v>
      </c>
      <c r="AA677" s="6" t="str">
        <v>Programming Services;Internet Services &amp; Software</v>
      </c>
      <c r="AB677" s="6" t="str">
        <v>Computer Consulting Services;Primary Business not Hi-Tech;Programming Services;Telecommunications Equipment;Internet Services &amp; Software</v>
      </c>
    </row>
    <row r="678">
      <c r="A678" s="6" t="str">
        <v>7J8440</v>
      </c>
      <c r="B678" s="6" t="str">
        <v>United States</v>
      </c>
      <c r="C678" s="6" t="str">
        <v>Google LLC</v>
      </c>
      <c r="D678" s="6" t="str">
        <v>Alphabet Inc</v>
      </c>
      <c r="F678" s="6" t="str">
        <v>United States</v>
      </c>
      <c r="G678" s="6" t="str">
        <v>Neverware Inc</v>
      </c>
      <c r="H678" s="6" t="str">
        <v>Prepackaged Software</v>
      </c>
      <c r="I678" s="6" t="str">
        <v>9F6939</v>
      </c>
      <c r="J678" s="6" t="str">
        <v>Neverware Inc</v>
      </c>
      <c r="K678" s="6" t="str">
        <v>Neverware Inc</v>
      </c>
      <c r="L678" s="7">
        <f>=DATE(2020,12,11)</f>
        <v>44175.99949074074</v>
      </c>
      <c r="M678" s="7">
        <f>=DATE(2020,12,11)</f>
        <v>44175.99949074074</v>
      </c>
      <c r="W678" s="6" t="str">
        <v>Internet Services &amp; Software;Programming Services</v>
      </c>
      <c r="X678" s="6" t="str">
        <v>Desktop Publishing;Utilities/File Mgmt Software;Applications Software(Business;Applications Software(Home);Communication/Network Software;Internet Services &amp; Software;Other Software (inq. Games)</v>
      </c>
      <c r="Y678" s="6" t="str">
        <v>Other Software (inq. Games);Applications Software(Business;Utilities/File Mgmt Software;Desktop Publishing;Communication/Network Software;Applications Software(Home);Internet Services &amp; Software</v>
      </c>
      <c r="Z678" s="6" t="str">
        <v>Internet Services &amp; Software;Utilities/File Mgmt Software;Communication/Network Software;Desktop Publishing;Applications Software(Home);Applications Software(Business;Other Software (inq. Games)</v>
      </c>
      <c r="AA678" s="6" t="str">
        <v>Internet Services &amp; Software;Primary Business not Hi-Tech;Computer Consulting Services;Programming Services;Telecommunications Equipment</v>
      </c>
      <c r="AB678" s="6" t="str">
        <v>Telecommunications Equipment;Internet Services &amp; Software;Computer Consulting Services;Primary Business not Hi-Tech;Programming Services</v>
      </c>
    </row>
    <row r="679">
      <c r="A679" s="6" t="str">
        <v>9H1420</v>
      </c>
      <c r="B679" s="6" t="str">
        <v>United States</v>
      </c>
      <c r="C679" s="6" t="str">
        <v>Google Cloud Platform</v>
      </c>
      <c r="D679" s="6" t="str">
        <v>Alphabet Inc</v>
      </c>
      <c r="F679" s="6" t="str">
        <v>United States</v>
      </c>
      <c r="G679" s="6" t="str">
        <v>StratoZone LLC</v>
      </c>
      <c r="H679" s="6" t="str">
        <v>Prepackaged Software</v>
      </c>
      <c r="I679" s="6" t="str">
        <v>9K9158</v>
      </c>
      <c r="J679" s="6" t="str">
        <v>StratoZone LLC</v>
      </c>
      <c r="K679" s="6" t="str">
        <v>StratoZone LLC</v>
      </c>
      <c r="L679" s="7">
        <f>=DATE(2020,12,24)</f>
        <v>44188.99949074074</v>
      </c>
      <c r="M679" s="7">
        <f>=DATE(2020,12,24)</f>
        <v>44188.99949074074</v>
      </c>
      <c r="W679" s="6" t="str">
        <v>Other Software (inq. Games)</v>
      </c>
      <c r="X679" s="6" t="str">
        <v>Applications Software(Business;Applications Software(Home);Desktop Publishing;Communication/Network Software;Utilities/File Mgmt Software;Internet Services &amp; Software;Other Software (inq. Games)</v>
      </c>
      <c r="Y679" s="6" t="str">
        <v>Communication/Network Software;Desktop Publishing;Applications Software(Business;Utilities/File Mgmt Software;Applications Software(Home);Other Software (inq. Games);Internet Services &amp; Software</v>
      </c>
      <c r="Z679" s="6" t="str">
        <v>Communication/Network Software;Desktop Publishing;Other Software (inq. Games);Applications Software(Business;Applications Software(Home);Utilities/File Mgmt Software;Internet Services &amp; Software</v>
      </c>
      <c r="AA679" s="6" t="str">
        <v>Programming Services;Internet Services &amp; Software</v>
      </c>
      <c r="AB679" s="6" t="str">
        <v>Programming Services;Primary Business not Hi-Tech;Computer Consulting Services;Telecommunications Equipment;Internet Services &amp; Software</v>
      </c>
    </row>
    <row r="680">
      <c r="A680" s="6" t="str">
        <v>67020Y</v>
      </c>
      <c r="B680" s="6" t="str">
        <v>United States</v>
      </c>
      <c r="C680" s="6" t="str">
        <v>Nuance Communications Inc</v>
      </c>
      <c r="D680" s="6" t="str">
        <v>Nuance Communications Inc</v>
      </c>
      <c r="F680" s="6" t="str">
        <v>United States</v>
      </c>
      <c r="G680" s="6" t="str">
        <v>Saykara Inc</v>
      </c>
      <c r="H680" s="6" t="str">
        <v>Business Services</v>
      </c>
      <c r="I680" s="6" t="str">
        <v>6H8202</v>
      </c>
      <c r="J680" s="6" t="str">
        <v>Saykara Inc</v>
      </c>
      <c r="K680" s="6" t="str">
        <v>Saykara Inc</v>
      </c>
      <c r="L680" s="7">
        <f>=DATE(2021,2,8)</f>
        <v>44234.99949074074</v>
      </c>
      <c r="M680" s="7">
        <f>=DATE(2021,2,8)</f>
        <v>44234.99949074074</v>
      </c>
      <c r="W680" s="6" t="str">
        <v>Utilities/File Mgmt Software;Internet Services &amp; Software;Applications Software(Home);Networking Systems (LAN,WAN);Primary Business not Hi-Tech;Other Software (inq. Games);Programming Services;Database Software/Programming;Desktop Publishing;Other Computer Related Svcs;Applications Software(Business;Communication/Network Software;Computer Consulting Services</v>
      </c>
      <c r="X680" s="6" t="str">
        <v>Programming Services;Database Software/Programming</v>
      </c>
      <c r="Y680" s="6" t="str">
        <v>Programming Services;Database Software/Programming</v>
      </c>
      <c r="Z680" s="6" t="str">
        <v>Programming Services;Database Software/Programming</v>
      </c>
      <c r="AA680" s="6" t="str">
        <v>Internet Services &amp; Software;Other Software (inq. Games);Primary Business not Hi-Tech;Computer Consulting Services;Applications Software(Business;Programming Services;Utilities/File Mgmt Software;Networking Systems (LAN,WAN);Communication/Network Software;Database Software/Programming;Applications Software(Home);Desktop Publishing;Other Computer Related Svcs</v>
      </c>
      <c r="AB680" s="6" t="str">
        <v>Networking Systems (LAN,WAN);Applications Software(Business;Internet Services &amp; Software;Utilities/File Mgmt Software;Desktop Publishing;Database Software/Programming;Communication/Network Software;Programming Services;Primary Business not Hi-Tech;Other Software (inq. Games);Computer Consulting Services;Applications Software(Home);Other Computer Related Svcs</v>
      </c>
    </row>
    <row r="681">
      <c r="A681" s="6" t="str">
        <v>73959W</v>
      </c>
      <c r="B681" s="6" t="str">
        <v>United States</v>
      </c>
      <c r="C681" s="6" t="str">
        <v>PowerSchool Group LLC</v>
      </c>
      <c r="D681" s="6" t="str">
        <v>PowerSchool Holdings Inc</v>
      </c>
      <c r="F681" s="6" t="str">
        <v>United States</v>
      </c>
      <c r="G681" s="6" t="str">
        <v>Naviance Inc</v>
      </c>
      <c r="H681" s="6" t="str">
        <v>Prepackaged Software</v>
      </c>
      <c r="I681" s="6" t="str">
        <v>63931V</v>
      </c>
      <c r="J681" s="6" t="str">
        <v>Rothermere Continuation Ltd</v>
      </c>
      <c r="K681" s="6" t="str">
        <v>Hobsons EMT</v>
      </c>
      <c r="L681" s="7">
        <f>=DATE(2021,2,18)</f>
        <v>44244.99949074074</v>
      </c>
      <c r="M681" s="7">
        <f>=DATE(2021,3,3)</f>
        <v>44257.99949074074</v>
      </c>
      <c r="N681" s="8">
        <v>320</v>
      </c>
      <c r="O681" s="8">
        <v>320</v>
      </c>
      <c r="W681" s="6" t="str">
        <v>Other Software (inq. Games)</v>
      </c>
      <c r="X681" s="6" t="str">
        <v>Internet Services &amp; Software;Other Software (inq. Games)</v>
      </c>
      <c r="Y681" s="6" t="str">
        <v>Internet Services &amp; Software;Networking Systems (LAN,WAN);Applications Software(Business</v>
      </c>
      <c r="Z681" s="6" t="str">
        <v>Microwave Communications;Satellite Communications</v>
      </c>
      <c r="AA681" s="6" t="str">
        <v>Other Software (inq. Games);Utilities/File Mgmt Software;Communication/Network Software;Desktop Publishing;Internet Services &amp; Software;Applications Software(Home);Applications Software(Business;Primary Business not Hi-Tech</v>
      </c>
      <c r="AB681" s="6" t="str">
        <v>Internet Services &amp; Software;Other Software (inq. Games);Utilities/File Mgmt Software;Applications Software(Business;Primary Business not Hi-Tech;Desktop Publishing;Communication/Network Software;Applications Software(Home)</v>
      </c>
      <c r="AC681" s="8">
        <v>320</v>
      </c>
      <c r="AD681" s="7">
        <f>=DATE(2021,2,18)</f>
        <v>44244.99949074074</v>
      </c>
    </row>
    <row r="682">
      <c r="A682" s="6" t="str">
        <v>594918</v>
      </c>
      <c r="B682" s="6" t="str">
        <v>United States</v>
      </c>
      <c r="C682" s="6" t="str">
        <v>Microsoft Corp</v>
      </c>
      <c r="D682" s="6" t="str">
        <v>Microsoft Corp</v>
      </c>
      <c r="F682" s="6" t="str">
        <v>United States</v>
      </c>
      <c r="G682" s="6" t="str">
        <v>The Marsden Group Inc</v>
      </c>
      <c r="H682" s="6" t="str">
        <v>Prepackaged Software</v>
      </c>
      <c r="I682" s="6" t="str">
        <v>3L0818</v>
      </c>
      <c r="J682" s="6" t="str">
        <v>The Marsden Group Inc</v>
      </c>
      <c r="K682" s="6" t="str">
        <v>The Marsden Group Inc</v>
      </c>
      <c r="L682" s="7">
        <f>=DATE(2021,3,16)</f>
        <v>44270.99949074074</v>
      </c>
      <c r="M682" s="7">
        <f>=DATE(2021,3,16)</f>
        <v>44270.99949074074</v>
      </c>
      <c r="W682" s="6" t="str">
        <v>Applications Software(Business;Other Peripherals;Monitors/Terminals;Internet Services &amp; Software;Computer Consulting Services;Operating Systems</v>
      </c>
      <c r="X682" s="6" t="str">
        <v>Communication/Network Software;Database Software/Programming;Applications Software(Business;Applications Software(Home);Desktop Publishing;Internet Services &amp; Software;Programming Services;Utilities/File Mgmt Software;Other Software (inq. Games)</v>
      </c>
      <c r="Y682" s="6" t="str">
        <v>Applications Software(Home);Internet Services &amp; Software;Programming Services;Desktop Publishing;Communication/Network Software;Database Software/Programming;Applications Software(Business;Utilities/File Mgmt Software;Other Software (inq. Games)</v>
      </c>
      <c r="Z682" s="6" t="str">
        <v>Utilities/File Mgmt Software;Desktop Publishing;Programming Services;Applications Software(Business;Applications Software(Home);Communication/Network Software;Other Software (inq. Games);Internet Services &amp; Software;Database Software/Programming</v>
      </c>
      <c r="AA682" s="6" t="str">
        <v>Other Peripherals;Internet Services &amp; Software;Monitors/Terminals;Computer Consulting Services;Applications Software(Business;Operating Systems</v>
      </c>
      <c r="AB682" s="6" t="str">
        <v>Monitors/Terminals;Operating Systems;Other Peripherals;Computer Consulting Services;Internet Services &amp; Software;Applications Software(Business</v>
      </c>
    </row>
    <row r="683">
      <c r="A683" s="6" t="str">
        <v>023135</v>
      </c>
      <c r="B683" s="6" t="str">
        <v>United States</v>
      </c>
      <c r="C683" s="6" t="str">
        <v>Amazon.com Inc</v>
      </c>
      <c r="D683" s="6" t="str">
        <v>Amazon.com Inc</v>
      </c>
      <c r="F683" s="6" t="str">
        <v>United States</v>
      </c>
      <c r="G683" s="6" t="str">
        <v>Inpher Inc</v>
      </c>
      <c r="H683" s="6" t="str">
        <v>Prepackaged Software</v>
      </c>
      <c r="I683" s="6" t="str">
        <v>5L9977</v>
      </c>
      <c r="J683" s="6" t="str">
        <v>Inpher Inc</v>
      </c>
      <c r="K683" s="6" t="str">
        <v>Inpher Inc</v>
      </c>
      <c r="L683" s="7">
        <f>=DATE(2021,3,16)</f>
        <v>44270.99949074074</v>
      </c>
      <c r="M683" s="7">
        <f>=DATE(2021,3,16)</f>
        <v>44270.99949074074</v>
      </c>
      <c r="W683" s="6" t="str">
        <v>Primary Business not Hi-Tech</v>
      </c>
      <c r="X683" s="6" t="str">
        <v>Internet Services &amp; Software;Applications Software(Business;Applications Software(Home);Utilities/File Mgmt Software;Other Software (inq. Games);Desktop Publishing;Communication/Network Software</v>
      </c>
      <c r="Y683" s="6" t="str">
        <v>Desktop Publishing;Applications Software(Home);Utilities/File Mgmt Software;Applications Software(Business;Internet Services &amp; Software;Other Software (inq. Games);Communication/Network Software</v>
      </c>
      <c r="Z683" s="6" t="str">
        <v>Other Software (inq. Games);Utilities/File Mgmt Software;Desktop Publishing;Applications Software(Business;Communication/Network Software;Applications Software(Home);Internet Services &amp; Software</v>
      </c>
      <c r="AA683" s="6" t="str">
        <v>Primary Business not Hi-Tech</v>
      </c>
      <c r="AB683" s="6" t="str">
        <v>Primary Business not Hi-Tech</v>
      </c>
      <c r="AD683" s="7">
        <f>=DATE(2021,3,16)</f>
        <v>44270.99949074074</v>
      </c>
    </row>
    <row r="684">
      <c r="A684" s="6" t="str">
        <v>594918</v>
      </c>
      <c r="B684" s="6" t="str">
        <v>United States</v>
      </c>
      <c r="C684" s="6" t="str">
        <v>Microsoft Corp</v>
      </c>
      <c r="D684" s="6" t="str">
        <v>Microsoft Corp</v>
      </c>
      <c r="F684" s="6" t="str">
        <v>United States</v>
      </c>
      <c r="G684" s="6" t="str">
        <v>Nuance Communications Inc</v>
      </c>
      <c r="H684" s="6" t="str">
        <v>Prepackaged Software</v>
      </c>
      <c r="I684" s="6" t="str">
        <v>67020Y</v>
      </c>
      <c r="J684" s="6" t="str">
        <v>Nuance Communications Inc</v>
      </c>
      <c r="K684" s="6" t="str">
        <v>Nuance Communications Inc</v>
      </c>
      <c r="L684" s="7">
        <f>=DATE(2021,4,12)</f>
        <v>44297.99949074074</v>
      </c>
      <c r="M684" s="7">
        <f>=DATE(2022,3,4)</f>
        <v>44623.99949074074</v>
      </c>
      <c r="N684" s="8">
        <v>16351.497</v>
      </c>
      <c r="O684" s="8">
        <v>16351.497</v>
      </c>
      <c r="P684" s="8" t="str">
        <v>17,498.08</v>
      </c>
      <c r="R684" s="8">
        <v>7.103</v>
      </c>
      <c r="S684" s="8">
        <v>1384.059</v>
      </c>
      <c r="T684" s="8">
        <v>-283.142</v>
      </c>
      <c r="U684" s="8">
        <v>-41.513</v>
      </c>
      <c r="V684" s="8">
        <v>262.753</v>
      </c>
      <c r="W684" s="6" t="str">
        <v>Other Peripherals;Monitors/Terminals;Computer Consulting Services;Internet Services &amp; Software;Operating Systems;Applications Software(Business</v>
      </c>
      <c r="X684" s="6" t="str">
        <v>Applications Software(Home);Applications Software(Business;Utilities/File Mgmt Software;Other Computer Related Svcs;Primary Business not Hi-Tech;Communication/Network Software;Desktop Publishing;Computer Consulting Services;Database Software/Programming;Networking Systems (LAN,WAN);Internet Services &amp; Software;Other Software (inq. Games);Programming Services</v>
      </c>
      <c r="Y684" s="6" t="str">
        <v>Primary Business not Hi-Tech;Computer Consulting Services;Programming Services;Other Software (inq. Games);Utilities/File Mgmt Software;Networking Systems (LAN,WAN);Communication/Network Software;Desktop Publishing;Applications Software(Home);Other Computer Related Svcs;Database Software/Programming;Applications Software(Business;Internet Services &amp; Software</v>
      </c>
      <c r="Z684" s="6" t="str">
        <v>Networking Systems (LAN,WAN);Applications Software(Home);Programming Services;Other Software (inq. Games);Applications Software(Business;Primary Business not Hi-Tech;Database Software/Programming;Desktop Publishing;Communication/Network Software;Other Computer Related Svcs;Computer Consulting Services;Utilities/File Mgmt Software;Internet Services &amp; Software</v>
      </c>
      <c r="AA684" s="6" t="str">
        <v>Monitors/Terminals;Other Peripherals;Internet Services &amp; Software;Operating Systems;Computer Consulting Services;Applications Software(Business</v>
      </c>
      <c r="AB684" s="6" t="str">
        <v>Monitors/Terminals;Internet Services &amp; Software;Computer Consulting Services;Operating Systems;Applications Software(Business;Other Peripherals</v>
      </c>
      <c r="AC684" s="8">
        <v>16351.497</v>
      </c>
      <c r="AD684" s="7">
        <f>=DATE(2021,4,12)</f>
        <v>44297.99949074074</v>
      </c>
      <c r="AE684" s="8">
        <v>16512.21572</v>
      </c>
      <c r="AF684" s="8" t="str">
        <v>17,498.58</v>
      </c>
      <c r="AG684" s="8" t="str">
        <v>17,498.08</v>
      </c>
    </row>
    <row r="685">
      <c r="A685" s="6" t="str">
        <v>8J8006</v>
      </c>
      <c r="B685" s="6" t="str">
        <v>United States</v>
      </c>
      <c r="C685" s="6" t="str">
        <v>Facebook Technologies Inc</v>
      </c>
      <c r="D685" s="6" t="str">
        <v>Facebook Inc</v>
      </c>
      <c r="F685" s="6" t="str">
        <v>United States</v>
      </c>
      <c r="G685" s="6" t="str">
        <v>Downpour Interactive LLC</v>
      </c>
      <c r="H685" s="6" t="str">
        <v>Prepackaged Software</v>
      </c>
      <c r="I685" s="6" t="str">
        <v>6L3761</v>
      </c>
      <c r="J685" s="6" t="str">
        <v>Downpour Interactive LLC</v>
      </c>
      <c r="K685" s="6" t="str">
        <v>Downpour Interactive LLC</v>
      </c>
      <c r="L685" s="7">
        <f>=DATE(2021,4,30)</f>
        <v>44315.99949074074</v>
      </c>
      <c r="M685" s="7">
        <f>=DATE(2021,4,30)</f>
        <v>44315.99949074074</v>
      </c>
      <c r="W685" s="6" t="str">
        <v>Applications Software(Business;Communication/Network Software;Applications Software(Home);Programming Services</v>
      </c>
      <c r="X685" s="6" t="str">
        <v>Other Software (inq. Games)</v>
      </c>
      <c r="Y685" s="6" t="str">
        <v>Other Software (inq. Games)</v>
      </c>
      <c r="Z685" s="6" t="str">
        <v>Other Software (inq. Games)</v>
      </c>
      <c r="AA685" s="6" t="str">
        <v>Internet Services &amp; Software</v>
      </c>
      <c r="AB685" s="6" t="str">
        <v>Internet Services &amp; Software</v>
      </c>
    </row>
    <row r="686">
      <c r="A686" s="6" t="str">
        <v>037833</v>
      </c>
      <c r="B686" s="6" t="str">
        <v>United States</v>
      </c>
      <c r="C686" s="6" t="str">
        <v>Apple Inc</v>
      </c>
      <c r="D686" s="6" t="str">
        <v>Apple Inc</v>
      </c>
      <c r="F686" s="6" t="str">
        <v>United States</v>
      </c>
      <c r="G686" s="6" t="str">
        <v>Apple Inc</v>
      </c>
      <c r="H686" s="6" t="str">
        <v>Computer and Office Equipment</v>
      </c>
      <c r="I686" s="6" t="str">
        <v>037833</v>
      </c>
      <c r="J686" s="6" t="str">
        <v>Apple Inc</v>
      </c>
      <c r="K686" s="6" t="str">
        <v>Apple Inc</v>
      </c>
      <c r="L686" s="7">
        <f>=DATE(2021,5,1)</f>
        <v>44316.99949074074</v>
      </c>
      <c r="M686" s="7">
        <f>=DATE(2021,8,28)</f>
        <v>44435.99949074074</v>
      </c>
      <c r="N686" s="8">
        <v>5000</v>
      </c>
      <c r="O686" s="8">
        <v>5000</v>
      </c>
      <c r="P686" s="8" t="str">
        <v>653,801.97</v>
      </c>
      <c r="R686" s="8">
        <v>76311</v>
      </c>
      <c r="S686" s="8">
        <v>325406</v>
      </c>
      <c r="T686" s="8">
        <v>-84048</v>
      </c>
      <c r="U686" s="8">
        <v>-18586</v>
      </c>
      <c r="V686" s="8">
        <v>99591</v>
      </c>
      <c r="W686" s="6" t="str">
        <v>Printers;Monitors/Terminals;Other Software (inq. Games);Micro-Computers (PCs);Other Peripherals;Mainframes &amp; Super Computers;Disk Drives;Portable Computers</v>
      </c>
      <c r="X686" s="6" t="str">
        <v>Monitors/Terminals;Portable Computers;Printers;Mainframes &amp; Super Computers;Micro-Computers (PCs);Disk Drives;Other Peripherals;Other Software (inq. Games)</v>
      </c>
      <c r="Y686" s="6" t="str">
        <v>Portable Computers;Mainframes &amp; Super Computers;Other Peripherals;Micro-Computers (PCs);Monitors/Terminals;Printers;Disk Drives;Other Software (inq. Games)</v>
      </c>
      <c r="Z686" s="6" t="str">
        <v>Disk Drives;Monitors/Terminals;Other Peripherals;Other Software (inq. Games);Mainframes &amp; Super Computers;Printers;Micro-Computers (PCs);Portable Computers</v>
      </c>
      <c r="AA686" s="6" t="str">
        <v>Micro-Computers (PCs);Printers;Portable Computers;Other Peripherals;Other Software (inq. Games);Monitors/Terminals;Mainframes &amp; Super Computers;Disk Drives</v>
      </c>
      <c r="AB686" s="6" t="str">
        <v>Mainframes &amp; Super Computers;Printers;Micro-Computers (PCs);Disk Drives;Other Software (inq. Games);Portable Computers;Other Peripherals;Monitors/Terminals</v>
      </c>
      <c r="AC686" s="8">
        <v>5000</v>
      </c>
      <c r="AD686" s="7">
        <f>=DATE(2021,5,1)</f>
        <v>44316.99949074074</v>
      </c>
      <c r="AF686" s="8" t="str">
        <v>653,801.97</v>
      </c>
      <c r="AG686" s="8" t="str">
        <v>653,801.97</v>
      </c>
    </row>
    <row r="687">
      <c r="A687" s="6" t="str">
        <v>7J8440</v>
      </c>
      <c r="B687" s="6" t="str">
        <v>United States</v>
      </c>
      <c r="C687" s="6" t="str">
        <v>Google LLC</v>
      </c>
      <c r="D687" s="6" t="str">
        <v>Alphabet Inc</v>
      </c>
      <c r="F687" s="6" t="str">
        <v>United States</v>
      </c>
      <c r="G687" s="6" t="str">
        <v>Provino Technologies Inc</v>
      </c>
      <c r="H687" s="6" t="str">
        <v>Business Services</v>
      </c>
      <c r="I687" s="6" t="str">
        <v>6L4001</v>
      </c>
      <c r="J687" s="6" t="str">
        <v>Provino Technologies Inc</v>
      </c>
      <c r="K687" s="6" t="str">
        <v>Provino Technologies Inc</v>
      </c>
      <c r="L687" s="7">
        <f>=DATE(2021,5,13)</f>
        <v>44328.99949074074</v>
      </c>
      <c r="M687" s="7">
        <f>=DATE(2021,5,13)</f>
        <v>44328.99949074074</v>
      </c>
      <c r="W687" s="6" t="str">
        <v>Programming Services;Internet Services &amp; Software</v>
      </c>
      <c r="X687" s="6" t="str">
        <v>Other Computer Related Svcs;Database Software/Programming;Programming Services</v>
      </c>
      <c r="Y687" s="6" t="str">
        <v>Programming Services;Database Software/Programming;Other Computer Related Svcs</v>
      </c>
      <c r="Z687" s="6" t="str">
        <v>Database Software/Programming;Other Computer Related Svcs;Programming Services</v>
      </c>
      <c r="AA687" s="6" t="str">
        <v>Internet Services &amp; Software;Computer Consulting Services;Telecommunications Equipment;Programming Services;Primary Business not Hi-Tech</v>
      </c>
      <c r="AB687" s="6" t="str">
        <v>Telecommunications Equipment;Primary Business not Hi-Tech;Computer Consulting Services;Programming Services;Internet Services &amp; Software</v>
      </c>
    </row>
    <row r="688">
      <c r="A688" s="6" t="str">
        <v>594918</v>
      </c>
      <c r="B688" s="6" t="str">
        <v>United States</v>
      </c>
      <c r="C688" s="6" t="str">
        <v>Microsoft Corp</v>
      </c>
      <c r="D688" s="6" t="str">
        <v>Microsoft Corp</v>
      </c>
      <c r="F688" s="6" t="str">
        <v>United States</v>
      </c>
      <c r="G688" s="6" t="str">
        <v>ReFirm Labs Inc</v>
      </c>
      <c r="H688" s="6" t="str">
        <v>Prepackaged Software</v>
      </c>
      <c r="I688" s="6" t="str">
        <v>5K4338</v>
      </c>
      <c r="J688" s="6" t="str">
        <v>ReFirm Labs Inc</v>
      </c>
      <c r="K688" s="6" t="str">
        <v>ReFirm Labs Inc</v>
      </c>
      <c r="L688" s="7">
        <f>=DATE(2021,6,2)</f>
        <v>44348.99949074074</v>
      </c>
      <c r="M688" s="7">
        <f>=DATE(2021,6,2)</f>
        <v>44348.99949074074</v>
      </c>
      <c r="W688" s="6" t="str">
        <v>Monitors/Terminals;Internet Services &amp; Software;Other Peripherals;Applications Software(Business;Operating Systems;Computer Consulting Services</v>
      </c>
      <c r="X688" s="6" t="str">
        <v>Utilities/File Mgmt Software;Applications Software(Business;Internet Services &amp; Software;Communication/Network Software;Applications Software(Home);Other Software (inq. Games);Desktop Publishing</v>
      </c>
      <c r="Y688" s="6" t="str">
        <v>Utilities/File Mgmt Software;Applications Software(Business;Other Software (inq. Games);Internet Services &amp; Software;Communication/Network Software;Applications Software(Home);Desktop Publishing</v>
      </c>
      <c r="Z688" s="6" t="str">
        <v>Internet Services &amp; Software;Applications Software(Business;Applications Software(Home);Desktop Publishing;Utilities/File Mgmt Software;Other Software (inq. Games);Communication/Network Software</v>
      </c>
      <c r="AA688" s="6" t="str">
        <v>Operating Systems;Monitors/Terminals;Applications Software(Business;Other Peripherals;Internet Services &amp; Software;Computer Consulting Services</v>
      </c>
      <c r="AB688" s="6" t="str">
        <v>Internet Services &amp; Software;Other Peripherals;Applications Software(Business;Operating Systems;Monitors/Terminals;Computer Consulting Services</v>
      </c>
    </row>
    <row r="689">
      <c r="A689" s="6" t="str">
        <v>8J8006</v>
      </c>
      <c r="B689" s="6" t="str">
        <v>United States</v>
      </c>
      <c r="C689" s="6" t="str">
        <v>Facebook Technologies Inc</v>
      </c>
      <c r="D689" s="6" t="str">
        <v>Facebook Inc</v>
      </c>
      <c r="F689" s="6" t="str">
        <v>United States</v>
      </c>
      <c r="G689" s="6" t="str">
        <v>BigBox VR Inc</v>
      </c>
      <c r="H689" s="6" t="str">
        <v>Prepackaged Software</v>
      </c>
      <c r="I689" s="6" t="str">
        <v>6L3725</v>
      </c>
      <c r="J689" s="6" t="str">
        <v>BigBox VR Inc</v>
      </c>
      <c r="K689" s="6" t="str">
        <v>BigBox VR Inc</v>
      </c>
      <c r="L689" s="7">
        <f>=DATE(2021,6,11)</f>
        <v>44357.99949074074</v>
      </c>
      <c r="M689" s="7">
        <f>=DATE(2021,6,11)</f>
        <v>44357.99949074074</v>
      </c>
      <c r="W689" s="6" t="str">
        <v>Programming Services;Applications Software(Business;Communication/Network Software;Applications Software(Home)</v>
      </c>
      <c r="X689" s="6" t="str">
        <v>Other Software (inq. Games);Other Computer Related Svcs;Desktop Publishing</v>
      </c>
      <c r="Y689" s="6" t="str">
        <v>Desktop Publishing;Other Software (inq. Games);Other Computer Related Svcs</v>
      </c>
      <c r="Z689" s="6" t="str">
        <v>Other Software (inq. Games);Desktop Publishing;Other Computer Related Svcs</v>
      </c>
      <c r="AA689" s="6" t="str">
        <v>Internet Services &amp; Software</v>
      </c>
      <c r="AB689" s="6" t="str">
        <v>Internet Services &amp; Software</v>
      </c>
    </row>
    <row r="690">
      <c r="A690" s="6" t="str">
        <v>4C7902</v>
      </c>
      <c r="B690" s="6" t="str">
        <v>United States</v>
      </c>
      <c r="C690" s="6" t="str">
        <v>Amazon Web Services Inc</v>
      </c>
      <c r="D690" s="6" t="str">
        <v>Amazon.com Inc</v>
      </c>
      <c r="F690" s="6" t="str">
        <v>United States</v>
      </c>
      <c r="G690" s="6" t="str">
        <v>Wickr Inc</v>
      </c>
      <c r="H690" s="6" t="str">
        <v>Prepackaged Software</v>
      </c>
      <c r="I690" s="6" t="str">
        <v>5E5574</v>
      </c>
      <c r="J690" s="6" t="str">
        <v>Wickr Inc</v>
      </c>
      <c r="K690" s="6" t="str">
        <v>Wickr Inc</v>
      </c>
      <c r="L690" s="7">
        <f>=DATE(2021,6,25)</f>
        <v>44371.99949074074</v>
      </c>
      <c r="M690" s="7">
        <f>=DATE(2021,6,25)</f>
        <v>44371.99949074074</v>
      </c>
      <c r="W690" s="6" t="str">
        <v>Primary Business not Hi-Tech;Other Computer Related Svcs;Data Processing Services;Computer Consulting Services;Internet Services &amp; Software</v>
      </c>
      <c r="X690" s="6" t="str">
        <v>Applications Software(Business;Applications Software(Home);Communication/Network Software</v>
      </c>
      <c r="Y690" s="6" t="str">
        <v>Applications Software(Business;Applications Software(Home);Communication/Network Software</v>
      </c>
      <c r="Z690" s="6" t="str">
        <v>Applications Software(Home);Communication/Network Software;Applications Software(Business</v>
      </c>
      <c r="AA690" s="6" t="str">
        <v>Primary Business not Hi-Tech</v>
      </c>
      <c r="AB690" s="6" t="str">
        <v>Primary Business not Hi-Tech</v>
      </c>
    </row>
    <row r="691">
      <c r="A691" s="6" t="str">
        <v>6K8017</v>
      </c>
      <c r="B691" s="6" t="str">
        <v>United States</v>
      </c>
      <c r="C691" s="6" t="str">
        <v>Amazon.com Inc-Music</v>
      </c>
      <c r="D691" s="6" t="str">
        <v>Amazon.com Inc</v>
      </c>
      <c r="F691" s="6" t="str">
        <v>United States</v>
      </c>
      <c r="G691" s="6" t="str">
        <v>Art19 Inc</v>
      </c>
      <c r="H691" s="6" t="str">
        <v>Printing, Publishing, and Allied Services</v>
      </c>
      <c r="I691" s="6" t="str">
        <v>9J3229</v>
      </c>
      <c r="J691" s="6" t="str">
        <v>Art19 Inc</v>
      </c>
      <c r="K691" s="6" t="str">
        <v>Art19 Inc</v>
      </c>
      <c r="L691" s="7">
        <f>=DATE(2021,6,25)</f>
        <v>44371.99949074074</v>
      </c>
      <c r="M691" s="7">
        <f>=DATE(2021,6,25)</f>
        <v>44371.99949074074</v>
      </c>
      <c r="W691" s="6" t="str">
        <v>Primary Business not Hi-Tech</v>
      </c>
      <c r="X691" s="6" t="str">
        <v>Internet Services &amp; Software;Networking Systems (LAN,WAN);Primary Business not Hi-Tech;Other Software (inq. Games);Utilities/File Mgmt Software;Computer Consulting Services;Communication/Network Software;Desktop Publishing;Applications Software(Home);Applications Software(Business;Other Computer Related Svcs</v>
      </c>
      <c r="Y691" s="6" t="str">
        <v>Desktop Publishing;Internet Services &amp; Software;Applications Software(Business;Applications Software(Home);Computer Consulting Services;Primary Business not Hi-Tech;Other Computer Related Svcs;Other Software (inq. Games);Communication/Network Software;Utilities/File Mgmt Software;Networking Systems (LAN,WAN)</v>
      </c>
      <c r="Z691" s="6" t="str">
        <v>Networking Systems (LAN,WAN);Other Computer Related Svcs;Utilities/File Mgmt Software;Desktop Publishing;Other Software (inq. Games);Primary Business not Hi-Tech;Applications Software(Business;Applications Software(Home);Computer Consulting Services;Internet Services &amp; Software;Communication/Network Software</v>
      </c>
      <c r="AA691" s="6" t="str">
        <v>Primary Business not Hi-Tech</v>
      </c>
      <c r="AB691" s="6" t="str">
        <v>Primary Business not Hi-Tech</v>
      </c>
    </row>
    <row r="692">
      <c r="A692" s="6" t="str">
        <v>594918</v>
      </c>
      <c r="B692" s="6" t="str">
        <v>United States</v>
      </c>
      <c r="C692" s="6" t="str">
        <v>Microsoft Corp</v>
      </c>
      <c r="D692" s="6" t="str">
        <v>Microsoft Corp</v>
      </c>
      <c r="F692" s="6" t="str">
        <v>United States</v>
      </c>
      <c r="G692" s="6" t="str">
        <v>CloudKnox Security Inc</v>
      </c>
      <c r="H692" s="6" t="str">
        <v>Business Services</v>
      </c>
      <c r="I692" s="6" t="str">
        <v>3K3352</v>
      </c>
      <c r="J692" s="6" t="str">
        <v>CloudKnox Security Inc</v>
      </c>
      <c r="K692" s="6" t="str">
        <v>CloudKnox Security Inc</v>
      </c>
      <c r="L692" s="7">
        <f>=DATE(2021,7,21)</f>
        <v>44397.99949074074</v>
      </c>
      <c r="M692" s="7">
        <f>=DATE(2021,7,21)</f>
        <v>44397.99949074074</v>
      </c>
      <c r="W692" s="6" t="str">
        <v>Applications Software(Business;Monitors/Terminals;Internet Services &amp; Software;Operating Systems;Computer Consulting Services;Other Peripherals</v>
      </c>
      <c r="X692" s="6" t="str">
        <v>Networking Systems (LAN,WAN);Turnkey Systems;Database Software/Programming;Operating Systems;Communication/Network Software;CAD/CAM/CAE/Graphics Systems;Other Computer Related Svcs;Data Commun(Exclude networking;Workstations;Programming Services;Internet Services &amp; Software;Computer Consulting Services;Other Computer Systems</v>
      </c>
      <c r="Y692" s="6" t="str">
        <v>Workstations;Programming Services;CAD/CAM/CAE/Graphics Systems;Other Computer Systems;Turnkey Systems;Networking Systems (LAN,WAN);Communication/Network Software;Internet Services &amp; Software;Data Commun(Exclude networking;Computer Consulting Services;Operating Systems;Other Computer Related Svcs;Database Software/Programming</v>
      </c>
      <c r="Z692" s="6" t="str">
        <v>Programming Services;Networking Systems (LAN,WAN);CAD/CAM/CAE/Graphics Systems;Workstations;Computer Consulting Services;Communication/Network Software;Turnkey Systems;Other Computer Related Svcs;Data Commun(Exclude networking;Other Computer Systems;Internet Services &amp; Software;Database Software/Programming;Operating Systems</v>
      </c>
      <c r="AA692" s="6" t="str">
        <v>Other Peripherals;Operating Systems;Computer Consulting Services;Internet Services &amp; Software;Applications Software(Business;Monitors/Terminals</v>
      </c>
      <c r="AB692" s="6" t="str">
        <v>Internet Services &amp; Software;Computer Consulting Services;Operating Systems;Other Peripherals;Applications Software(Business;Monitors/Terminals</v>
      </c>
    </row>
    <row r="693">
      <c r="A693" s="6" t="str">
        <v>594918</v>
      </c>
      <c r="B693" s="6" t="str">
        <v>United States</v>
      </c>
      <c r="C693" s="6" t="str">
        <v>Microsoft Corp</v>
      </c>
      <c r="D693" s="6" t="str">
        <v>Microsoft Corp</v>
      </c>
      <c r="F693" s="6" t="str">
        <v>United States</v>
      </c>
      <c r="G693" s="6" t="str">
        <v>Suplari Inc</v>
      </c>
      <c r="H693" s="6" t="str">
        <v>Prepackaged Software</v>
      </c>
      <c r="I693" s="6" t="str">
        <v>7L3075</v>
      </c>
      <c r="J693" s="6" t="str">
        <v>Suplari Inc</v>
      </c>
      <c r="K693" s="6" t="str">
        <v>Suplari Inc</v>
      </c>
      <c r="L693" s="7">
        <f>=DATE(2021,7,28)</f>
        <v>44404.99949074074</v>
      </c>
      <c r="M693" s="7">
        <f>=DATE(2021,7,28)</f>
        <v>44404.99949074074</v>
      </c>
      <c r="W693" s="6" t="str">
        <v>Internet Services &amp; Software;Other Peripherals;Computer Consulting Services;Operating Systems;Monitors/Terminals;Applications Software(Business</v>
      </c>
      <c r="X693" s="6" t="str">
        <v>Applications Software(Business;Other Software (inq. Games);Communication/Network Software;Utilities/File Mgmt Software;Internet Services &amp; Software;Applications Software(Home);Desktop Publishing</v>
      </c>
      <c r="Y693" s="6" t="str">
        <v>Applications Software(Home);Communication/Network Software;Internet Services &amp; Software;Other Software (inq. Games);Utilities/File Mgmt Software;Applications Software(Business;Desktop Publishing</v>
      </c>
      <c r="Z693" s="6" t="str">
        <v>Applications Software(Home);Desktop Publishing;Communication/Network Software;Utilities/File Mgmt Software;Other Software (inq. Games);Internet Services &amp; Software;Applications Software(Business</v>
      </c>
      <c r="AA693" s="6" t="str">
        <v>Operating Systems;Internet Services &amp; Software;Monitors/Terminals;Applications Software(Business;Computer Consulting Services;Other Peripherals</v>
      </c>
      <c r="AB693" s="6" t="str">
        <v>Monitors/Terminals;Other Peripherals;Internet Services &amp; Software;Operating Systems;Applications Software(Business;Computer Consulting Services</v>
      </c>
    </row>
    <row r="694">
      <c r="A694" s="6" t="str">
        <v>594918</v>
      </c>
      <c r="B694" s="6" t="str">
        <v>United States</v>
      </c>
      <c r="C694" s="6" t="str">
        <v>Microsoft Corp</v>
      </c>
      <c r="D694" s="6" t="str">
        <v>Microsoft Corp</v>
      </c>
      <c r="F694" s="6" t="str">
        <v>United States</v>
      </c>
      <c r="G694" s="6" t="str">
        <v>Rubrik Inc</v>
      </c>
      <c r="H694" s="6" t="str">
        <v>Business Services</v>
      </c>
      <c r="I694" s="6" t="str">
        <v>8F6387</v>
      </c>
      <c r="J694" s="6" t="str">
        <v>Rubrik Inc</v>
      </c>
      <c r="K694" s="6" t="str">
        <v>Rubrik Inc</v>
      </c>
      <c r="L694" s="7">
        <f>=DATE(2021,8,17)</f>
        <v>44424.99949074074</v>
      </c>
      <c r="M694" s="7">
        <f>=DATE(2021,8,17)</f>
        <v>44424.99949074074</v>
      </c>
      <c r="R694" s="8">
        <v>-213.088</v>
      </c>
      <c r="S694" s="8">
        <v>387.751</v>
      </c>
      <c r="T694" s="8">
        <v>137.514</v>
      </c>
      <c r="U694" s="8">
        <v>-1.597</v>
      </c>
      <c r="V694" s="8">
        <v>-58.742</v>
      </c>
      <c r="W694" s="6" t="str">
        <v>Monitors/Terminals;Computer Consulting Services;Applications Software(Business;Operating Systems;Internet Services &amp; Software;Other Peripherals</v>
      </c>
      <c r="X694" s="6" t="str">
        <v>Data Processing Services;Internet Services &amp; Software;Other Computer Related Svcs;Computer Consulting Services</v>
      </c>
      <c r="Y694" s="6" t="str">
        <v>Other Computer Related Svcs;Data Processing Services;Internet Services &amp; Software;Computer Consulting Services</v>
      </c>
      <c r="Z694" s="6" t="str">
        <v>Data Processing Services;Other Computer Related Svcs;Internet Services &amp; Software;Computer Consulting Services</v>
      </c>
      <c r="AA694" s="6" t="str">
        <v>Other Peripherals;Operating Systems;Applications Software(Business;Monitors/Terminals;Computer Consulting Services;Internet Services &amp; Software</v>
      </c>
      <c r="AB694" s="6" t="str">
        <v>Internet Services &amp; Software;Other Peripherals;Operating Systems;Monitors/Terminals;Computer Consulting Services;Applications Software(Business</v>
      </c>
    </row>
    <row r="695">
      <c r="A695" s="6" t="str">
        <v>594918</v>
      </c>
      <c r="B695" s="6" t="str">
        <v>United States</v>
      </c>
      <c r="C695" s="6" t="str">
        <v>Microsoft Corp</v>
      </c>
      <c r="D695" s="6" t="str">
        <v>Microsoft Corp</v>
      </c>
      <c r="F695" s="6" t="str">
        <v>United States</v>
      </c>
      <c r="G695" s="6" t="str">
        <v>Ally Technologies Inc</v>
      </c>
      <c r="H695" s="6" t="str">
        <v>Prepackaged Software</v>
      </c>
      <c r="I695" s="6" t="str">
        <v>2L4834</v>
      </c>
      <c r="J695" s="6" t="str">
        <v>Ally Technologies Inc</v>
      </c>
      <c r="K695" s="6" t="str">
        <v>Ally Technologies Inc</v>
      </c>
      <c r="L695" s="7">
        <f>=DATE(2021,10,7)</f>
        <v>44475.99949074074</v>
      </c>
      <c r="M695" s="7">
        <f>=DATE(2021,10,7)</f>
        <v>44475.99949074074</v>
      </c>
      <c r="W695" s="6" t="str">
        <v>Internet Services &amp; Software;Other Peripherals;Computer Consulting Services;Applications Software(Business;Monitors/Terminals;Operating Systems</v>
      </c>
      <c r="X695" s="6" t="str">
        <v>Other Software (inq. Games)</v>
      </c>
      <c r="Y695" s="6" t="str">
        <v>Other Software (inq. Games)</v>
      </c>
      <c r="Z695" s="6" t="str">
        <v>Other Software (inq. Games)</v>
      </c>
      <c r="AA695" s="6" t="str">
        <v>Operating Systems;Computer Consulting Services;Monitors/Terminals;Internet Services &amp; Software;Other Peripherals;Applications Software(Business</v>
      </c>
      <c r="AB695" s="6" t="str">
        <v>Applications Software(Business;Computer Consulting Services;Other Peripherals;Operating Systems;Monitors/Terminals;Internet Services &amp; Software</v>
      </c>
    </row>
    <row r="696">
      <c r="A696" s="6" t="str">
        <v>594918</v>
      </c>
      <c r="B696" s="6" t="str">
        <v>United States</v>
      </c>
      <c r="C696" s="6" t="str">
        <v>Microsoft Corp</v>
      </c>
      <c r="D696" s="6" t="str">
        <v>Microsoft Corp</v>
      </c>
      <c r="F696" s="6" t="str">
        <v>United States</v>
      </c>
      <c r="G696" s="6" t="str">
        <v>Clear Software LLC</v>
      </c>
      <c r="H696" s="6" t="str">
        <v>Prepackaged Software</v>
      </c>
      <c r="I696" s="6" t="str">
        <v>18509C</v>
      </c>
      <c r="J696" s="6" t="str">
        <v>Clear Software LLC</v>
      </c>
      <c r="K696" s="6" t="str">
        <v>Clear Software LLC</v>
      </c>
      <c r="L696" s="7">
        <f>=DATE(2021,10,22)</f>
        <v>44490.99949074074</v>
      </c>
      <c r="M696" s="7">
        <f>=DATE(2021,10,22)</f>
        <v>44490.99949074074</v>
      </c>
      <c r="W696" s="6" t="str">
        <v>Other Peripherals;Operating Systems;Internet Services &amp; Software;Applications Software(Business;Monitors/Terminals;Computer Consulting Services</v>
      </c>
      <c r="X696" s="6" t="str">
        <v>Applications Software(Business</v>
      </c>
      <c r="Y696" s="6" t="str">
        <v>Applications Software(Business</v>
      </c>
      <c r="Z696" s="6" t="str">
        <v>Applications Software(Business</v>
      </c>
      <c r="AA696" s="6" t="str">
        <v>Other Peripherals;Operating Systems;Internet Services &amp; Software;Applications Software(Business;Monitors/Terminals;Computer Consulting Services</v>
      </c>
      <c r="AB696" s="6" t="str">
        <v>Applications Software(Business;Other Peripherals;Operating Systems;Computer Consulting Services;Monitors/Terminals;Internet Services &amp; Software</v>
      </c>
    </row>
    <row r="697">
      <c r="A697" s="6" t="str">
        <v>30303M</v>
      </c>
      <c r="B697" s="6" t="str">
        <v>United States</v>
      </c>
      <c r="C697" s="6" t="str">
        <v>Meta Platforms Inc</v>
      </c>
      <c r="D697" s="6" t="str">
        <v>Meta Platforms Inc</v>
      </c>
      <c r="F697" s="6" t="str">
        <v>United States</v>
      </c>
      <c r="G697" s="6" t="str">
        <v>Within Unlimited Inc</v>
      </c>
      <c r="H697" s="6" t="str">
        <v>Prepackaged Software</v>
      </c>
      <c r="I697" s="6" t="str">
        <v>9F6812</v>
      </c>
      <c r="J697" s="6" t="str">
        <v>Within Unlimited Inc</v>
      </c>
      <c r="K697" s="6" t="str">
        <v>Within Unlimited Inc</v>
      </c>
      <c r="L697" s="7">
        <f>=DATE(2021,10,29)</f>
        <v>44497.99949074074</v>
      </c>
      <c r="M697" s="7">
        <f>=DATE(2023,2,2)</f>
        <v>44958.99949074074</v>
      </c>
      <c r="W697" s="6" t="str">
        <v>Internet Services &amp; Software</v>
      </c>
      <c r="X697" s="6" t="str">
        <v>Other Software (inq. Games)</v>
      </c>
      <c r="Y697" s="6" t="str">
        <v>Other Software (inq. Games)</v>
      </c>
      <c r="Z697" s="6" t="str">
        <v>Other Software (inq. Games)</v>
      </c>
      <c r="AA697" s="6" t="str">
        <v>Internet Services &amp; Software</v>
      </c>
      <c r="AB697" s="6" t="str">
        <v>Internet Services &amp; Software</v>
      </c>
    </row>
    <row r="698">
      <c r="A698" s="6" t="str">
        <v>037833</v>
      </c>
      <c r="B698" s="6" t="str">
        <v>United States</v>
      </c>
      <c r="C698" s="6" t="str">
        <v>Apple Inc</v>
      </c>
      <c r="D698" s="6" t="str">
        <v>Apple Inc</v>
      </c>
      <c r="F698" s="6" t="str">
        <v>United States</v>
      </c>
      <c r="G698" s="6" t="str">
        <v>Apple Inc</v>
      </c>
      <c r="H698" s="6" t="str">
        <v>Computer and Office Equipment</v>
      </c>
      <c r="I698" s="6" t="str">
        <v>037833</v>
      </c>
      <c r="J698" s="6" t="str">
        <v>Apple Inc</v>
      </c>
      <c r="K698" s="6" t="str">
        <v>Apple Inc</v>
      </c>
      <c r="L698" s="7">
        <f>=DATE(2021,11,30)</f>
        <v>44529.99949074074</v>
      </c>
      <c r="M698" s="7">
        <f>=DATE(2022,1,30)</f>
        <v>44590.99949074074</v>
      </c>
      <c r="N698" s="8">
        <v>6000</v>
      </c>
      <c r="O698" s="8">
        <v>6000</v>
      </c>
      <c r="P698" s="8" t="str">
        <v>2,875,453.20</v>
      </c>
      <c r="R698" s="8">
        <v>94680</v>
      </c>
      <c r="S698" s="8">
        <v>365817</v>
      </c>
      <c r="T698" s="8">
        <v>-93353</v>
      </c>
      <c r="U698" s="8">
        <v>-14545</v>
      </c>
      <c r="V698" s="8">
        <v>104038</v>
      </c>
      <c r="W698" s="6" t="str">
        <v>Disk Drives;Other Peripherals;Monitors/Terminals;Mainframes &amp; Super Computers;Portable Computers;Printers;Micro-Computers (PCs);Other Software (inq. Games)</v>
      </c>
      <c r="X698" s="6" t="str">
        <v>Disk Drives;Printers;Portable Computers;Mainframes &amp; Super Computers;Other Peripherals;Monitors/Terminals;Micro-Computers (PCs);Other Software (inq. Games)</v>
      </c>
      <c r="Y698" s="6" t="str">
        <v>Printers;Micro-Computers (PCs);Portable Computers;Other Peripherals;Monitors/Terminals;Mainframes &amp; Super Computers;Other Software (inq. Games);Disk Drives</v>
      </c>
      <c r="Z698" s="6" t="str">
        <v>Printers;Mainframes &amp; Super Computers;Other Software (inq. Games);Disk Drives;Portable Computers;Monitors/Terminals;Micro-Computers (PCs);Other Peripherals</v>
      </c>
      <c r="AA698" s="6" t="str">
        <v>Mainframes &amp; Super Computers;Portable Computers;Other Software (inq. Games);Micro-Computers (PCs);Monitors/Terminals;Other Peripherals;Printers;Disk Drives</v>
      </c>
      <c r="AB698" s="6" t="str">
        <v>Printers;Other Software (inq. Games);Monitors/Terminals;Other Peripherals;Portable Computers;Disk Drives;Micro-Computers (PCs);Mainframes &amp; Super Computers</v>
      </c>
      <c r="AC698" s="8">
        <v>6000</v>
      </c>
      <c r="AD698" s="7">
        <f>=DATE(2021,11,30)</f>
        <v>44529.99949074074</v>
      </c>
      <c r="AF698" s="8" t="str">
        <v>2,875,453.20</v>
      </c>
      <c r="AG698" s="8" t="str">
        <v>2,875,453.20</v>
      </c>
    </row>
    <row r="699">
      <c r="A699" s="6" t="str">
        <v>30303M</v>
      </c>
      <c r="B699" s="6" t="str">
        <v>United States</v>
      </c>
      <c r="C699" s="6" t="str">
        <v>Meta Platforms Inc</v>
      </c>
      <c r="D699" s="6" t="str">
        <v>Meta Platforms Inc</v>
      </c>
      <c r="F699" s="6" t="str">
        <v>United States</v>
      </c>
      <c r="G699" s="6" t="str">
        <v>BlinkAI Technologies Inc</v>
      </c>
      <c r="H699" s="6" t="str">
        <v>Prepackaged Software</v>
      </c>
      <c r="I699" s="6" t="str">
        <v>5M5489</v>
      </c>
      <c r="J699" s="6" t="str">
        <v>BlinkAI Technologies Inc</v>
      </c>
      <c r="K699" s="6" t="str">
        <v>BlinkAI Technologies Inc</v>
      </c>
      <c r="L699" s="7">
        <f>=DATE(2021,12,4)</f>
        <v>44533.99949074074</v>
      </c>
      <c r="M699" s="7">
        <f>=DATE(2021,12,4)</f>
        <v>44533.99949074074</v>
      </c>
      <c r="W699" s="6" t="str">
        <v>Internet Services &amp; Software</v>
      </c>
      <c r="X699" s="6" t="str">
        <v>Other Software (inq. Games)</v>
      </c>
      <c r="Y699" s="6" t="str">
        <v>Other Software (inq. Games)</v>
      </c>
      <c r="Z699" s="6" t="str">
        <v>Other Software (inq. Games)</v>
      </c>
      <c r="AA699" s="6" t="str">
        <v>Internet Services &amp; Software</v>
      </c>
      <c r="AB699" s="6" t="str">
        <v>Internet Services &amp; Software</v>
      </c>
    </row>
    <row r="700">
      <c r="A700" s="6" t="str">
        <v>30303M</v>
      </c>
      <c r="B700" s="6" t="str">
        <v>United States</v>
      </c>
      <c r="C700" s="6" t="str">
        <v>Meta Platforms Inc</v>
      </c>
      <c r="D700" s="6" t="str">
        <v>Meta Platforms Inc</v>
      </c>
      <c r="F700" s="6" t="str">
        <v>United States</v>
      </c>
      <c r="G700" s="6" t="str">
        <v>ImagineOptix Corp</v>
      </c>
      <c r="H700" s="6" t="str">
        <v>Electronic and Electrical Equipment</v>
      </c>
      <c r="I700" s="6" t="str">
        <v>4N7175</v>
      </c>
      <c r="J700" s="6" t="str">
        <v>ImagineOptix Corp</v>
      </c>
      <c r="K700" s="6" t="str">
        <v>ImagineOptix Corp</v>
      </c>
      <c r="L700" s="7">
        <f>=DATE(2021,12,21)</f>
        <v>44550.99949074074</v>
      </c>
      <c r="M700" s="7">
        <f>=DATE(2021,12,21)</f>
        <v>44550.99949074074</v>
      </c>
      <c r="W700" s="6" t="str">
        <v>Internet Services &amp; Software</v>
      </c>
      <c r="X700" s="6" t="str">
        <v>Superconductors;Lasers(Excluding Medical);Semiconductors;Robotics;Other Electronics</v>
      </c>
      <c r="Y700" s="6" t="str">
        <v>Robotics;Lasers(Excluding Medical);Other Electronics;Superconductors;Semiconductors</v>
      </c>
      <c r="Z700" s="6" t="str">
        <v>Robotics;Other Electronics;Lasers(Excluding Medical);Superconductors;Semiconductors</v>
      </c>
      <c r="AA700" s="6" t="str">
        <v>Internet Services &amp; Software</v>
      </c>
      <c r="AB700" s="6" t="str">
        <v>Internet Services &amp; Software</v>
      </c>
    </row>
    <row r="701">
      <c r="A701" s="6" t="str">
        <v>594918</v>
      </c>
      <c r="B701" s="6" t="str">
        <v>United States</v>
      </c>
      <c r="C701" s="6" t="str">
        <v>Microsoft Corp</v>
      </c>
      <c r="D701" s="6" t="str">
        <v>Microsoft Corp</v>
      </c>
      <c r="F701" s="6" t="str">
        <v>United States</v>
      </c>
      <c r="G701" s="6" t="str">
        <v>Xandr Inc</v>
      </c>
      <c r="H701" s="6" t="str">
        <v>Prepackaged Software</v>
      </c>
      <c r="I701" s="6" t="str">
        <v>5J9777</v>
      </c>
      <c r="J701" s="6" t="str">
        <v>AT&amp;T Inc</v>
      </c>
      <c r="K701" s="6" t="str">
        <v>AT&amp;T Inc</v>
      </c>
      <c r="L701" s="7">
        <f>=DATE(2021,12,21)</f>
        <v>44550.99949074074</v>
      </c>
      <c r="M701" s="7">
        <f>=DATE(2022,6,6)</f>
        <v>44717.99949074074</v>
      </c>
      <c r="W701" s="6" t="str">
        <v>Internet Services &amp; Software;Other Peripherals;Monitors/Terminals;Applications Software(Business;Computer Consulting Services;Operating Systems</v>
      </c>
      <c r="X701" s="6" t="str">
        <v>Other Software (inq. Games)</v>
      </c>
      <c r="Y701" s="6" t="str">
        <v>Networking Systems (LAN,WAN);Data Commun(Exclude networking;Internet Services &amp; Software;Cellular Communications;Satellite Communications</v>
      </c>
      <c r="Z701" s="6" t="str">
        <v>Satellite Communications;Data Commun(Exclude networking;Cellular Communications;Networking Systems (LAN,WAN);Internet Services &amp; Software</v>
      </c>
      <c r="AA701" s="6" t="str">
        <v>Operating Systems;Internet Services &amp; Software;Applications Software(Business;Computer Consulting Services;Other Peripherals;Monitors/Terminals</v>
      </c>
      <c r="AB701" s="6" t="str">
        <v>Internet Services &amp; Software;Computer Consulting Services;Monitors/Terminals;Operating Systems;Other Peripherals;Applications Software(Business</v>
      </c>
    </row>
    <row r="702">
      <c r="A702" s="6" t="str">
        <v>594918</v>
      </c>
      <c r="B702" s="6" t="str">
        <v>United States</v>
      </c>
      <c r="C702" s="6" t="str">
        <v>Microsoft Corp</v>
      </c>
      <c r="D702" s="6" t="str">
        <v>Microsoft Corp</v>
      </c>
      <c r="E702" s="6" t="str">
        <v>Ubisoft Entertainment SA</v>
      </c>
      <c r="F702" s="6" t="str">
        <v>United States</v>
      </c>
      <c r="G702" s="6" t="str">
        <v>Activision Blizzard Inc</v>
      </c>
      <c r="H702" s="6" t="str">
        <v>Prepackaged Software</v>
      </c>
      <c r="I702" s="6" t="str">
        <v>00507V</v>
      </c>
      <c r="J702" s="6" t="str">
        <v>Activision Blizzard Inc</v>
      </c>
      <c r="K702" s="6" t="str">
        <v>Activision Blizzard Inc</v>
      </c>
      <c r="L702" s="7">
        <f>=DATE(2022,1,18)</f>
        <v>44578.99949074074</v>
      </c>
      <c r="M702" s="7">
        <f>=DATE(2023,10,13)</f>
        <v>45211.99949074074</v>
      </c>
      <c r="N702" s="8">
        <v>75621.309</v>
      </c>
      <c r="O702" s="8">
        <v>75621.309</v>
      </c>
      <c r="P702" s="8" t="str">
        <v>67,427.44</v>
      </c>
      <c r="R702" s="8">
        <v>2699</v>
      </c>
      <c r="S702" s="8">
        <v>8803</v>
      </c>
      <c r="T702" s="8">
        <v>-521</v>
      </c>
      <c r="U702" s="8">
        <v>-59</v>
      </c>
      <c r="V702" s="8">
        <v>2414</v>
      </c>
      <c r="W702" s="6" t="str">
        <v>Applications Software(Business;Other Peripherals;Operating Systems;Computer Consulting Services;Internet Services &amp; Software;Monitors/Terminals</v>
      </c>
      <c r="X702" s="6" t="str">
        <v>Other Software (inq. Games);Operating Systems;Other Computer Systems</v>
      </c>
      <c r="Y702" s="6" t="str">
        <v>Other Software (inq. Games);Operating Systems;Other Computer Systems</v>
      </c>
      <c r="Z702" s="6" t="str">
        <v>Other Software (inq. Games);Operating Systems;Other Computer Systems</v>
      </c>
      <c r="AA702" s="6" t="str">
        <v>Applications Software(Business;Computer Consulting Services;Other Peripherals;Monitors/Terminals;Internet Services &amp; Software;Operating Systems</v>
      </c>
      <c r="AB702" s="6" t="str">
        <v>Other Peripherals;Monitors/Terminals;Internet Services &amp; Software;Operating Systems;Applications Software(Business;Computer Consulting Services</v>
      </c>
      <c r="AC702" s="8">
        <v>75621.309</v>
      </c>
      <c r="AD702" s="7">
        <f>=DATE(2022,1,18)</f>
        <v>44578.99949074074</v>
      </c>
      <c r="AE702" s="8">
        <v>76176.23925</v>
      </c>
      <c r="AF702" s="8" t="str">
        <v>67,427.84</v>
      </c>
      <c r="AG702" s="8" t="str">
        <v>67,427.44</v>
      </c>
    </row>
    <row r="703">
      <c r="A703" s="6" t="str">
        <v>30303M</v>
      </c>
      <c r="B703" s="6" t="str">
        <v>United States</v>
      </c>
      <c r="C703" s="6" t="str">
        <v>Meta Platforms Inc</v>
      </c>
      <c r="D703" s="6" t="str">
        <v>Meta Platforms Inc</v>
      </c>
      <c r="F703" s="6" t="str">
        <v>United States</v>
      </c>
      <c r="G703" s="6" t="str">
        <v>Kustomer Inc</v>
      </c>
      <c r="H703" s="6" t="str">
        <v>Prepackaged Software</v>
      </c>
      <c r="I703" s="6" t="str">
        <v>4H9237</v>
      </c>
      <c r="J703" s="6" t="str">
        <v>Kustomer Inc</v>
      </c>
      <c r="K703" s="6" t="str">
        <v>Kustomer Inc</v>
      </c>
      <c r="L703" s="7">
        <f>=DATE(2022,2,16)</f>
        <v>44607.99949074074</v>
      </c>
      <c r="M703" s="7">
        <f>=DATE(2022,2,16)</f>
        <v>44607.99949074074</v>
      </c>
      <c r="W703" s="6" t="str">
        <v>Internet Services &amp; Software</v>
      </c>
      <c r="X703" s="6" t="str">
        <v>Primary Business not Hi-Tech;Workstations;CAD/CAM/CAE/Graphics Systems;Turnkey Systems;Operating Systems;Other Software (inq. Games);Utilities/File Mgmt Software;Communication/Network Software;Desktop Publishing;Applications Software(Home);Computer Consulting Services;Internet Services &amp; Software;Applications Software(Business;Data Commun(Exclude networking;Other Computer Related Svcs;Networking Systems (LAN,WAN);Other Computer Systems</v>
      </c>
      <c r="Y703" s="6" t="str">
        <v>Workstations;Primary Business not Hi-Tech;Turnkey Systems;Networking Systems (LAN,WAN);Internet Services &amp; Software;Applications Software(Home);Data Commun(Exclude networking;Other Computer Related Svcs;Applications Software(Business;Computer Consulting Services;Communication/Network Software;Other Computer Systems;Operating Systems;Desktop Publishing;Utilities/File Mgmt Software;Other Software (inq. Games);CAD/CAM/CAE/Graphics Systems</v>
      </c>
      <c r="Z703" s="6" t="str">
        <v>Primary Business not Hi-Tech;Networking Systems (LAN,WAN);Internet Services &amp; Software;Utilities/File Mgmt Software;Applications Software(Business;Other Computer Systems;Turnkey Systems;Data Commun(Exclude networking;Other Computer Related Svcs;Applications Software(Home);Desktop Publishing;Operating Systems;Communication/Network Software;Computer Consulting Services;Workstations;Other Software (inq. Games);CAD/CAM/CAE/Graphics Systems</v>
      </c>
      <c r="AA703" s="6" t="str">
        <v>Internet Services &amp; Software</v>
      </c>
      <c r="AB703" s="6" t="str">
        <v>Internet Services &amp; Software</v>
      </c>
      <c r="AD703" s="7">
        <f>=DATE(2020,11,30)</f>
        <v>44164.99949074074</v>
      </c>
    </row>
    <row r="704">
      <c r="A704" s="6" t="str">
        <v>7J8440</v>
      </c>
      <c r="B704" s="6" t="str">
        <v>United States</v>
      </c>
      <c r="C704" s="6" t="str">
        <v>Google LLC</v>
      </c>
      <c r="D704" s="6" t="str">
        <v>Alphabet Inc</v>
      </c>
      <c r="F704" s="6" t="str">
        <v>United States</v>
      </c>
      <c r="G704" s="6" t="str">
        <v>Mandiant Inc</v>
      </c>
      <c r="H704" s="6" t="str">
        <v>Prepackaged Software</v>
      </c>
      <c r="I704" s="6" t="str">
        <v>562662</v>
      </c>
      <c r="J704" s="6" t="str">
        <v>Mandiant Inc</v>
      </c>
      <c r="K704" s="6" t="str">
        <v>Mandiant Inc</v>
      </c>
      <c r="L704" s="7">
        <f>=DATE(2022,3,8)</f>
        <v>44627.99949074074</v>
      </c>
      <c r="M704" s="7">
        <f>=DATE(2022,9,12)</f>
        <v>44815.99949074074</v>
      </c>
      <c r="N704" s="8">
        <v>5914.604</v>
      </c>
      <c r="O704" s="8">
        <v>5914.604</v>
      </c>
      <c r="P704" s="8" t="str">
        <v>4,576.46</v>
      </c>
      <c r="R704" s="8">
        <v>-412.1</v>
      </c>
      <c r="S704" s="8">
        <v>483.455</v>
      </c>
      <c r="T704" s="8">
        <v>-273.393</v>
      </c>
      <c r="U704" s="8">
        <v>705.752</v>
      </c>
      <c r="V704" s="8">
        <v>-62.389</v>
      </c>
      <c r="W704" s="6" t="str">
        <v>Internet Services &amp; Software;Programming Services</v>
      </c>
      <c r="X704" s="6" t="str">
        <v>Other Peripherals;Applications Software(Business</v>
      </c>
      <c r="Y704" s="6" t="str">
        <v>Other Peripherals;Applications Software(Business</v>
      </c>
      <c r="Z704" s="6" t="str">
        <v>Other Peripherals;Applications Software(Business</v>
      </c>
      <c r="AA704" s="6" t="str">
        <v>Primary Business not Hi-Tech;Telecommunications Equipment;Computer Consulting Services;Programming Services;Internet Services &amp; Software</v>
      </c>
      <c r="AB704" s="6" t="str">
        <v>Telecommunications Equipment;Programming Services;Internet Services &amp; Software;Primary Business not Hi-Tech;Computer Consulting Services</v>
      </c>
      <c r="AC704" s="8">
        <v>5914.604</v>
      </c>
      <c r="AD704" s="7">
        <f>=DATE(2022,3,8)</f>
        <v>44627.99949074074</v>
      </c>
      <c r="AE704" s="8">
        <v>5926.729125</v>
      </c>
      <c r="AF704" s="8" t="str">
        <v>4,637.92</v>
      </c>
      <c r="AG704" s="8" t="str">
        <v>4,576.46</v>
      </c>
    </row>
    <row r="705">
      <c r="A705" s="6" t="str">
        <v>6M0301</v>
      </c>
      <c r="B705" s="6" t="str">
        <v>United States</v>
      </c>
      <c r="C705" s="6" t="str">
        <v>Amazon Industrial Innovation Fund</v>
      </c>
      <c r="D705" s="6" t="str">
        <v>Amazon.com Inc</v>
      </c>
      <c r="F705" s="6" t="str">
        <v>United States</v>
      </c>
      <c r="G705" s="6" t="str">
        <v>Mantis Robotics Inc</v>
      </c>
      <c r="H705" s="6" t="str">
        <v>Business Services</v>
      </c>
      <c r="I705" s="6" t="str">
        <v>0N1758</v>
      </c>
      <c r="J705" s="6" t="str">
        <v>Mantis Robotics Inc</v>
      </c>
      <c r="K705" s="6" t="str">
        <v>Mantis Robotics Inc</v>
      </c>
      <c r="L705" s="7">
        <f>=DATE(2022,4,21)</f>
        <v>44671.99949074074</v>
      </c>
      <c r="M705" s="7">
        <f>=DATE(2022,4,21)</f>
        <v>44671.99949074074</v>
      </c>
      <c r="W705" s="6" t="str">
        <v>Primary Business not Hi-Tech</v>
      </c>
      <c r="X705" s="6" t="str">
        <v>Database Software/Programming;Programming Services</v>
      </c>
      <c r="Y705" s="6" t="str">
        <v>Programming Services;Database Software/Programming</v>
      </c>
      <c r="Z705" s="6" t="str">
        <v>Programming Services;Database Software/Programming</v>
      </c>
      <c r="AA705" s="6" t="str">
        <v>Primary Business not Hi-Tech</v>
      </c>
      <c r="AB705" s="6" t="str">
        <v>Primary Business not Hi-Tech</v>
      </c>
    </row>
    <row r="706">
      <c r="A706" s="6" t="str">
        <v>7J8440</v>
      </c>
      <c r="B706" s="6" t="str">
        <v>United States</v>
      </c>
      <c r="C706" s="6" t="str">
        <v>Google LLC</v>
      </c>
      <c r="D706" s="6" t="str">
        <v>Alphabet Inc</v>
      </c>
      <c r="F706" s="6" t="str">
        <v>United States</v>
      </c>
      <c r="G706" s="6" t="str">
        <v>Raxium Inc</v>
      </c>
      <c r="H706" s="6" t="str">
        <v>Electronic and Electrical Equipment</v>
      </c>
      <c r="I706" s="6" t="str">
        <v>6M4704</v>
      </c>
      <c r="J706" s="6" t="str">
        <v>Raxium Inc</v>
      </c>
      <c r="K706" s="6" t="str">
        <v>Raxium Inc</v>
      </c>
      <c r="L706" s="7">
        <f>=DATE(2022,5,4)</f>
        <v>44684.99949074074</v>
      </c>
      <c r="M706" s="7">
        <f>=DATE(2022,5,4)</f>
        <v>44684.99949074074</v>
      </c>
      <c r="W706" s="6" t="str">
        <v>Internet Services &amp; Software;Programming Services</v>
      </c>
      <c r="X706" s="6" t="str">
        <v>Semiconductors;Other Electronics</v>
      </c>
      <c r="Y706" s="6" t="str">
        <v>Semiconductors;Other Electronics</v>
      </c>
      <c r="Z706" s="6" t="str">
        <v>Semiconductors;Other Electronics</v>
      </c>
      <c r="AA706" s="6" t="str">
        <v>Computer Consulting Services;Telecommunications Equipment;Programming Services;Primary Business not Hi-Tech;Internet Services &amp; Software</v>
      </c>
      <c r="AB706" s="6" t="str">
        <v>Primary Business not Hi-Tech;Computer Consulting Services;Telecommunications Equipment;Internet Services &amp; Software;Programming Services</v>
      </c>
      <c r="AD706" s="7">
        <f>=DATE(2022,5,4)</f>
        <v>44684.99949074074</v>
      </c>
    </row>
    <row r="707">
      <c r="A707" s="6" t="str">
        <v>09362H</v>
      </c>
      <c r="B707" s="6" t="str">
        <v>United States</v>
      </c>
      <c r="C707" s="6" t="str">
        <v>Blizzard Entertainment Inc</v>
      </c>
      <c r="D707" s="6" t="str">
        <v>Activision Blizzard Inc</v>
      </c>
      <c r="F707" s="6" t="str">
        <v>United States</v>
      </c>
      <c r="G707" s="6" t="str">
        <v>Proletariat Inc</v>
      </c>
      <c r="H707" s="6" t="str">
        <v>Prepackaged Software</v>
      </c>
      <c r="I707" s="6" t="str">
        <v>8K6753</v>
      </c>
      <c r="J707" s="6" t="str">
        <v>Proletariat Inc</v>
      </c>
      <c r="K707" s="6" t="str">
        <v>Proletariat Inc</v>
      </c>
      <c r="L707" s="7">
        <f>=DATE(2022,7,1)</f>
        <v>44742.99949074074</v>
      </c>
      <c r="M707" s="7">
        <f>=DATE(2022,7,1)</f>
        <v>44742.99949074074</v>
      </c>
      <c r="W707" s="6" t="str">
        <v>Other Software (inq. Games)</v>
      </c>
      <c r="X707" s="6" t="str">
        <v>Other Software (inq. Games);Communication/Network Software;Applications Software(Home);Applications Software(Business;Desktop Publishing;Internet Services &amp; Software;Utilities/File Mgmt Software</v>
      </c>
      <c r="Y707" s="6" t="str">
        <v>Communication/Network Software;Other Software (inq. Games);Applications Software(Home);Desktop Publishing;Utilities/File Mgmt Software;Internet Services &amp; Software;Applications Software(Business</v>
      </c>
      <c r="Z707" s="6" t="str">
        <v>Internet Services &amp; Software;Applications Software(Home);Communication/Network Software;Other Software (inq. Games);Applications Software(Business;Desktop Publishing;Utilities/File Mgmt Software</v>
      </c>
      <c r="AA707" s="6" t="str">
        <v>Operating Systems;Other Computer Systems;Other Software (inq. Games)</v>
      </c>
      <c r="AB707" s="6" t="str">
        <v>Operating Systems;Other Computer Systems;Other Software (inq. Games)</v>
      </c>
    </row>
    <row r="708">
      <c r="A708" s="6" t="str">
        <v>30303M</v>
      </c>
      <c r="B708" s="6" t="str">
        <v>United States</v>
      </c>
      <c r="C708" s="6" t="str">
        <v>Meta Platforms Inc</v>
      </c>
      <c r="D708" s="6" t="str">
        <v>Meta Platforms Inc</v>
      </c>
      <c r="F708" s="6" t="str">
        <v>United States</v>
      </c>
      <c r="G708" s="6" t="str">
        <v>Camouflaj</v>
      </c>
      <c r="H708" s="6" t="str">
        <v>Prepackaged Software</v>
      </c>
      <c r="I708" s="6" t="str">
        <v>2N4113</v>
      </c>
      <c r="J708" s="6" t="str">
        <v>Camouflaj</v>
      </c>
      <c r="K708" s="6" t="str">
        <v>Camouflaj</v>
      </c>
      <c r="L708" s="7">
        <f>=DATE(2022,10,11)</f>
        <v>44844.99949074074</v>
      </c>
      <c r="M708" s="7">
        <f>=DATE(2022,10,11)</f>
        <v>44844.99949074074</v>
      </c>
      <c r="W708" s="6" t="str">
        <v>Internet Services &amp; Software</v>
      </c>
      <c r="X708" s="6" t="str">
        <v>Other Software (inq. Games)</v>
      </c>
      <c r="Y708" s="6" t="str">
        <v>Other Software (inq. Games)</v>
      </c>
      <c r="Z708" s="6" t="str">
        <v>Other Software (inq. Games)</v>
      </c>
      <c r="AA708" s="6" t="str">
        <v>Internet Services &amp; Software</v>
      </c>
      <c r="AB708" s="6" t="str">
        <v>Internet Services &amp; Software</v>
      </c>
    </row>
    <row r="709">
      <c r="A709" s="6" t="str">
        <v>7J8440</v>
      </c>
      <c r="B709" s="6" t="str">
        <v>United States</v>
      </c>
      <c r="C709" s="6" t="str">
        <v>Google LLC</v>
      </c>
      <c r="D709" s="6" t="str">
        <v>Alphabet Inc</v>
      </c>
      <c r="F709" s="6" t="str">
        <v>United States</v>
      </c>
      <c r="G709" s="6" t="str">
        <v>BrightBytes Inc</v>
      </c>
      <c r="H709" s="6" t="str">
        <v>Prepackaged Software</v>
      </c>
      <c r="I709" s="6" t="str">
        <v>6F4094</v>
      </c>
      <c r="J709" s="6" t="str">
        <v>BrightBytes Inc</v>
      </c>
      <c r="K709" s="6" t="str">
        <v>BrightBytes Inc</v>
      </c>
      <c r="L709" s="7">
        <f>=DATE(2022,10,11)</f>
        <v>44844.99949074074</v>
      </c>
      <c r="M709" s="7">
        <f>=DATE(2022,10,11)</f>
        <v>44844.99949074074</v>
      </c>
      <c r="W709" s="6" t="str">
        <v>Programming Services;Internet Services &amp; Software</v>
      </c>
      <c r="X709" s="6" t="str">
        <v>Communication/Network Software</v>
      </c>
      <c r="Y709" s="6" t="str">
        <v>Communication/Network Software</v>
      </c>
      <c r="Z709" s="6" t="str">
        <v>Communication/Network Software</v>
      </c>
      <c r="AA709" s="6" t="str">
        <v>Programming Services;Telecommunications Equipment;Computer Consulting Services;Primary Business not Hi-Tech;Internet Services &amp; Software</v>
      </c>
      <c r="AB709" s="6" t="str">
        <v>Telecommunications Equipment;Primary Business not Hi-Tech;Programming Services;Computer Consulting Services;Internet Services &amp; Software</v>
      </c>
    </row>
    <row r="710">
      <c r="A710" s="6" t="str">
        <v>023135</v>
      </c>
      <c r="B710" s="6" t="str">
        <v>United States</v>
      </c>
      <c r="C710" s="6" t="str">
        <v>Amazon.com Inc</v>
      </c>
      <c r="D710" s="6" t="str">
        <v>Amazon.com Inc</v>
      </c>
      <c r="F710" s="6" t="str">
        <v>United States</v>
      </c>
      <c r="G710" s="6" t="str">
        <v>Snackable.AI</v>
      </c>
      <c r="H710" s="6" t="str">
        <v>Prepackaged Software</v>
      </c>
      <c r="I710" s="6" t="str">
        <v>7N4480</v>
      </c>
      <c r="J710" s="6" t="str">
        <v>Snackable.AI</v>
      </c>
      <c r="K710" s="6" t="str">
        <v>Snackable.AI</v>
      </c>
      <c r="L710" s="7">
        <f>=DATE(2022,12,31)</f>
        <v>44925.99949074074</v>
      </c>
      <c r="M710" s="7">
        <f>=DATE(2022,12,31)</f>
        <v>44925.99949074074</v>
      </c>
      <c r="W710" s="6" t="str">
        <v>Primary Business not Hi-Tech</v>
      </c>
      <c r="X710" s="6" t="str">
        <v>Other Software (inq. Games)</v>
      </c>
      <c r="Y710" s="6" t="str">
        <v>Other Software (inq. Games)</v>
      </c>
      <c r="Z710" s="6" t="str">
        <v>Other Software (inq. Games)</v>
      </c>
      <c r="AA710" s="6" t="str">
        <v>Primary Business not Hi-Tech</v>
      </c>
      <c r="AB710" s="6" t="str">
        <v>Primary Business not Hi-Tech</v>
      </c>
    </row>
    <row r="711">
      <c r="A711" s="6" t="str">
        <v>594918</v>
      </c>
      <c r="B711" s="6" t="str">
        <v>United States</v>
      </c>
      <c r="C711" s="6" t="str">
        <v>Microsoft Corp</v>
      </c>
      <c r="D711" s="6" t="str">
        <v>Microsoft Corp</v>
      </c>
      <c r="F711" s="6" t="str">
        <v>United States</v>
      </c>
      <c r="G711" s="6" t="str">
        <v>Fungible Inc</v>
      </c>
      <c r="H711" s="6" t="str">
        <v>Prepackaged Software</v>
      </c>
      <c r="I711" s="6" t="str">
        <v>4J8001</v>
      </c>
      <c r="J711" s="6" t="str">
        <v>Fungible Inc</v>
      </c>
      <c r="K711" s="6" t="str">
        <v>Fungible Inc</v>
      </c>
      <c r="L711" s="7">
        <f>=DATE(2023,1,9)</f>
        <v>44934.99949074074</v>
      </c>
      <c r="M711" s="7">
        <f>=DATE(2023,1,9)</f>
        <v>44934.99949074074</v>
      </c>
      <c r="W711" s="6" t="str">
        <v>Other Peripherals;Internet Services &amp; Software;Operating Systems;Monitors/Terminals;Applications Software(Business;Computer Consulting Services</v>
      </c>
      <c r="X711" s="6" t="str">
        <v>Other Software (inq. Games);Other Computer Related Svcs;Data Processing Services;Computer Consulting Services</v>
      </c>
      <c r="Y711" s="6" t="str">
        <v>Other Computer Related Svcs;Other Software (inq. Games);Computer Consulting Services;Data Processing Services</v>
      </c>
      <c r="Z711" s="6" t="str">
        <v>Data Processing Services;Other Software (inq. Games);Other Computer Related Svcs;Computer Consulting Services</v>
      </c>
      <c r="AA711" s="6" t="str">
        <v>Applications Software(Business;Monitors/Terminals;Internet Services &amp; Software;Operating Systems;Other Peripherals;Computer Consulting Services</v>
      </c>
      <c r="AB711" s="6" t="str">
        <v>Other Peripherals;Operating Systems;Computer Consulting Services;Applications Software(Business;Monitors/Terminals;Internet Services &amp; Software</v>
      </c>
      <c r="AD711" s="7">
        <f>=DATE(2023,1,9)</f>
        <v>44934.99949074074</v>
      </c>
    </row>
    <row r="712">
      <c r="A712" s="6" t="str">
        <v>594918</v>
      </c>
      <c r="B712" s="6" t="str">
        <v>United States</v>
      </c>
      <c r="C712" s="6" t="str">
        <v>Microsoft Corp</v>
      </c>
      <c r="D712" s="6" t="str">
        <v>Microsoft Corp</v>
      </c>
      <c r="F712" s="6" t="str">
        <v>United States</v>
      </c>
      <c r="G712" s="6" t="str">
        <v>OpenAI LLC</v>
      </c>
      <c r="H712" s="6" t="str">
        <v>Prepackaged Software</v>
      </c>
      <c r="I712" s="6" t="str">
        <v>1N4489</v>
      </c>
      <c r="J712" s="6" t="str">
        <v>OpenAI LLC</v>
      </c>
      <c r="K712" s="6" t="str">
        <v>OpenAI LLC</v>
      </c>
      <c r="L712" s="7">
        <f>=DATE(2023,1,23)</f>
        <v>44948.99949074074</v>
      </c>
      <c r="M712" s="7">
        <f>=DATE(2023,1,23)</f>
        <v>44948.99949074074</v>
      </c>
      <c r="W712" s="6" t="str">
        <v>Internet Services &amp; Software;Computer Consulting Services;Monitors/Terminals;Other Peripherals;Operating Systems;Applications Software(Business</v>
      </c>
      <c r="X712" s="6" t="str">
        <v>Other Software (inq. Games)</v>
      </c>
      <c r="Y712" s="6" t="str">
        <v>Other Software (inq. Games)</v>
      </c>
      <c r="Z712" s="6" t="str">
        <v>Other Software (inq. Games)</v>
      </c>
      <c r="AA712" s="6" t="str">
        <v>Operating Systems;Internet Services &amp; Software;Computer Consulting Services;Other Peripherals;Monitors/Terminals;Applications Software(Business</v>
      </c>
      <c r="AB712" s="6" t="str">
        <v>Internet Services &amp; Software;Applications Software(Business;Operating Systems;Computer Consulting Services;Other Peripherals;Monitors/Terminals</v>
      </c>
      <c r="AD712" s="7">
        <f>=DATE(2023,1,10)</f>
        <v>44935.99949074074</v>
      </c>
    </row>
    <row r="713">
      <c r="A713" s="6" t="str">
        <v>037833</v>
      </c>
      <c r="B713" s="6" t="str">
        <v>United States</v>
      </c>
      <c r="C713" s="6" t="str">
        <v>Apple Inc</v>
      </c>
      <c r="D713" s="6" t="str">
        <v>Apple Inc</v>
      </c>
      <c r="F713" s="6" t="str">
        <v>United States</v>
      </c>
      <c r="G713" s="6" t="str">
        <v>WaveOne Inc</v>
      </c>
      <c r="H713" s="6" t="str">
        <v>Prepackaged Software</v>
      </c>
      <c r="I713" s="6" t="str">
        <v>6N1386</v>
      </c>
      <c r="J713" s="6" t="str">
        <v>WaveOne Inc</v>
      </c>
      <c r="K713" s="6" t="str">
        <v>WaveOne Inc</v>
      </c>
      <c r="L713" s="7">
        <f>=DATE(2023,3,27)</f>
        <v>45011.99949074074</v>
      </c>
      <c r="M713" s="7">
        <f>=DATE(2023,3,27)</f>
        <v>45011.99949074074</v>
      </c>
      <c r="W713" s="6" t="str">
        <v>Printers;Disk Drives;Other Peripherals;Monitors/Terminals;Micro-Computers (PCs);Mainframes &amp; Super Computers;Portable Computers;Other Software (inq. Games)</v>
      </c>
      <c r="X713" s="6" t="str">
        <v>Communication/Network Software;Utilities/File Mgmt Software;Applications Software(Business;Internet Services &amp; Software;Applications Software(Home);Other Software (inq. Games);Desktop Publishing</v>
      </c>
      <c r="Y713" s="6" t="str">
        <v>Communication/Network Software;Internet Services &amp; Software;Desktop Publishing;Applications Software(Home);Utilities/File Mgmt Software;Other Software (inq. Games);Applications Software(Business</v>
      </c>
      <c r="Z713" s="6" t="str">
        <v>Internet Services &amp; Software;Desktop Publishing;Applications Software(Business;Applications Software(Home);Communication/Network Software;Utilities/File Mgmt Software;Other Software (inq. Games)</v>
      </c>
      <c r="AA713" s="6" t="str">
        <v>Disk Drives;Micro-Computers (PCs);Monitors/Terminals;Other Software (inq. Games);Other Peripherals;Mainframes &amp; Super Computers;Portable Computers;Printers</v>
      </c>
      <c r="AB713" s="6" t="str">
        <v>Monitors/Terminals;Other Peripherals;Portable Computers;Other Software (inq. Games);Micro-Computers (PCs);Disk Drives;Printers;Mainframes &amp; Super Computers</v>
      </c>
    </row>
    <row r="714">
      <c r="A714" s="6" t="str">
        <v>73959W</v>
      </c>
      <c r="B714" s="6" t="str">
        <v>United States</v>
      </c>
      <c r="C714" s="6" t="str">
        <v>PowerSchool Group LLC</v>
      </c>
      <c r="D714" s="6" t="str">
        <v>Powerschool Holdings Inc</v>
      </c>
      <c r="F714" s="6" t="str">
        <v>United States</v>
      </c>
      <c r="G714" s="6" t="str">
        <v>Ellucian Co LP</v>
      </c>
      <c r="H714" s="6" t="str">
        <v>Prepackaged Software</v>
      </c>
      <c r="I714" s="6" t="str">
        <v>8A7882</v>
      </c>
      <c r="J714" s="6" t="str">
        <v>Blackstone Inc</v>
      </c>
      <c r="K714" s="6" t="str">
        <v>Ellucian Co LP SPV</v>
      </c>
      <c r="L714" s="7">
        <f>=DATE(2023,3,29)</f>
        <v>45013.99949074074</v>
      </c>
      <c r="M714" s="7">
        <f>=DATE(2023,3,29)</f>
        <v>45013.99949074074</v>
      </c>
      <c r="W714" s="6" t="str">
        <v>Other Software (inq. Games)</v>
      </c>
      <c r="X714" s="6" t="str">
        <v>Other Software (inq. Games)</v>
      </c>
      <c r="Y714" s="6" t="str">
        <v>Primary Business not Hi-Tech</v>
      </c>
      <c r="Z714" s="6" t="str">
        <v>Primary Business not Hi-Tech</v>
      </c>
      <c r="AA714" s="6" t="str">
        <v>Communication/Network Software;Utilities/File Mgmt Software;Desktop Publishing;Primary Business not Hi-Tech;Other Software (inq. Games);Applications Software(Home);Applications Software(Business;Internet Services &amp; Software</v>
      </c>
      <c r="AB714" s="6" t="str">
        <v>Utilities/File Mgmt Software;Other Software (inq. Games);Applications Software(Home);Communication/Network Software;Internet Services &amp; Software;Applications Software(Business;Desktop Publishing;Primary Business not Hi-Tech</v>
      </c>
    </row>
    <row r="715">
      <c r="A715" s="6" t="str">
        <v>5L0908</v>
      </c>
      <c r="B715" s="6" t="str">
        <v>United States</v>
      </c>
      <c r="C715" s="6" t="str">
        <v>Climate Innovation Fund</v>
      </c>
      <c r="D715" s="6" t="str">
        <v>Microsoft Corp</v>
      </c>
      <c r="F715" s="6" t="str">
        <v>United States</v>
      </c>
      <c r="G715" s="6" t="str">
        <v>AMP Robotics Corp</v>
      </c>
      <c r="H715" s="6" t="str">
        <v>Machinery</v>
      </c>
      <c r="I715" s="6" t="str">
        <v>8J4473</v>
      </c>
      <c r="J715" s="6" t="str">
        <v>AMP Robotics Corp</v>
      </c>
      <c r="K715" s="6" t="str">
        <v>AMP Robotics Corp</v>
      </c>
      <c r="L715" s="7">
        <f>=DATE(2023,5,9)</f>
        <v>45054.99949074074</v>
      </c>
      <c r="M715" s="7">
        <f>=DATE(2023,5,9)</f>
        <v>45054.99949074074</v>
      </c>
      <c r="W715" s="6" t="str">
        <v>Primary Business not Hi-Tech</v>
      </c>
      <c r="X715" s="6" t="str">
        <v>Other Software (inq. Games)</v>
      </c>
      <c r="Y715" s="6" t="str">
        <v>Other Software (inq. Games)</v>
      </c>
      <c r="Z715" s="6" t="str">
        <v>Other Software (inq. Games)</v>
      </c>
      <c r="AA715" s="6" t="str">
        <v>Applications Software(Business;Other Peripherals;Internet Services &amp; Software;Computer Consulting Services;Operating Systems;Monitors/Terminals</v>
      </c>
      <c r="AB715" s="6" t="str">
        <v>Computer Consulting Services;Other Peripherals;Monitors/Terminals;Internet Services &amp; Software;Operating Systems;Applications Software(Business</v>
      </c>
    </row>
    <row r="716">
      <c r="A716" s="6" t="str">
        <v>30303M</v>
      </c>
      <c r="B716" s="6" t="str">
        <v>United States</v>
      </c>
      <c r="C716" s="6" t="str">
        <v>Meta Platforms Inc</v>
      </c>
      <c r="D716" s="6" t="str">
        <v>Meta Platforms Inc</v>
      </c>
      <c r="F716" s="6" t="str">
        <v>United States</v>
      </c>
      <c r="G716" s="6" t="str">
        <v>Whisper.AI Inc</v>
      </c>
      <c r="H716" s="6" t="str">
        <v>Measuring, Medical, Photo Equipment; Clocks</v>
      </c>
      <c r="I716" s="6" t="str">
        <v>9P2793</v>
      </c>
      <c r="J716" s="6" t="str">
        <v>Whisper.AI Inc</v>
      </c>
      <c r="K716" s="6" t="str">
        <v>Whisper.AI Inc</v>
      </c>
      <c r="L716" s="7">
        <f>=DATE(2023,5,31)</f>
        <v>45076.99949074074</v>
      </c>
      <c r="M716" s="7">
        <f>=DATE(2023,5,31)</f>
        <v>45076.99949074074</v>
      </c>
      <c r="W716" s="6" t="str">
        <v>Internet Services &amp; Software</v>
      </c>
      <c r="X716" s="6" t="str">
        <v>Medical Monitoring Systems;General Med. Instruments/Supp.;Healthcare Services;Rehabilitation Equipment;Surgical Instruments/Equipment;Medical Lasers;Artificial Organs/Limbs;Medical Imaging Systems;Drug Delivery Sys(Not IV Sys)</v>
      </c>
      <c r="Y716" s="6" t="str">
        <v>Healthcare Services;Drug Delivery Sys(Not IV Sys);General Med. Instruments/Supp.;Medical Monitoring Systems;Surgical Instruments/Equipment;Medical Imaging Systems;Medical Lasers;Artificial Organs/Limbs;Rehabilitation Equipment</v>
      </c>
      <c r="Z716" s="6" t="str">
        <v>General Med. Instruments/Supp.;Artificial Organs/Limbs;Drug Delivery Sys(Not IV Sys);Healthcare Services;Surgical Instruments/Equipment;Rehabilitation Equipment;Medical Monitoring Systems;Medical Lasers;Medical Imaging Systems</v>
      </c>
      <c r="AA716" s="6" t="str">
        <v>Internet Services &amp; Software</v>
      </c>
      <c r="AB716" s="6" t="str">
        <v>Internet Services &amp; Software</v>
      </c>
    </row>
    <row r="717">
      <c r="A717" s="6" t="str">
        <v>037833</v>
      </c>
      <c r="B717" s="6" t="str">
        <v>United States</v>
      </c>
      <c r="C717" s="6" t="str">
        <v>Apple Inc</v>
      </c>
      <c r="D717" s="6" t="str">
        <v>Apple Inc</v>
      </c>
      <c r="F717" s="6" t="str">
        <v>United States</v>
      </c>
      <c r="G717" s="6" t="str">
        <v>Mira Labs Inc</v>
      </c>
      <c r="H717" s="6" t="str">
        <v>Prepackaged Software</v>
      </c>
      <c r="I717" s="6" t="str">
        <v>6J2685</v>
      </c>
      <c r="J717" s="6" t="str">
        <v>Mira Labs Inc</v>
      </c>
      <c r="K717" s="6" t="str">
        <v>Mira Labs Inc</v>
      </c>
      <c r="L717" s="7">
        <f>=DATE(2023,6,6)</f>
        <v>45082.99949074074</v>
      </c>
      <c r="M717" s="7">
        <f>=DATE(2023,6,6)</f>
        <v>45082.99949074074</v>
      </c>
      <c r="W717" s="6" t="str">
        <v>Portable Computers;Monitors/Terminals;Printers;Mainframes &amp; Super Computers;Disk Drives;Other Peripherals;Micro-Computers (PCs);Other Software (inq. Games)</v>
      </c>
      <c r="X717" s="6" t="str">
        <v>Applications Software(Business;Applications Software(Home);Communication/Network Software;Internet Services &amp; Software;Primary Business not Hi-Tech;Desktop Publishing;Utilities/File Mgmt Software;Other Software (inq. Games)</v>
      </c>
      <c r="Y717" s="6" t="str">
        <v>Primary Business not Hi-Tech;Internet Services &amp; Software;Other Software (inq. Games);Applications Software(Business;Applications Software(Home);Desktop Publishing;Communication/Network Software;Utilities/File Mgmt Software</v>
      </c>
      <c r="Z717" s="6" t="str">
        <v>Primary Business not Hi-Tech;Internet Services &amp; Software;Utilities/File Mgmt Software;Applications Software(Business;Communication/Network Software;Applications Software(Home);Desktop Publishing;Other Software (inq. Games)</v>
      </c>
      <c r="AA717" s="6" t="str">
        <v>Mainframes &amp; Super Computers;Disk Drives;Printers;Monitors/Terminals;Portable Computers;Other Software (inq. Games);Other Peripherals;Micro-Computers (PCs)</v>
      </c>
      <c r="AB717" s="6" t="str">
        <v>Portable Computers;Printers;Monitors/Terminals;Mainframes &amp; Super Computers;Micro-Computers (PCs);Other Peripherals;Other Software (inq. Games);Disk Drives</v>
      </c>
    </row>
    <row r="718">
      <c r="A718" s="6" t="str">
        <v>5L1951</v>
      </c>
      <c r="B718" s="6" t="str">
        <v>United States</v>
      </c>
      <c r="C718" s="6" t="str">
        <v>Google For Startups</v>
      </c>
      <c r="D718" s="6" t="str">
        <v>Google For Startups</v>
      </c>
      <c r="F718" s="6" t="str">
        <v>United States</v>
      </c>
      <c r="G718" s="6" t="str">
        <v>Rocket Systems Inc</v>
      </c>
      <c r="H718" s="6" t="str">
        <v>Prepackaged Software</v>
      </c>
      <c r="I718" s="6" t="str">
        <v>1P5237</v>
      </c>
      <c r="J718" s="6" t="str">
        <v>Rocket Systems Inc</v>
      </c>
      <c r="K718" s="6" t="str">
        <v>Rocket Systems Inc</v>
      </c>
      <c r="L718" s="7">
        <f>=DATE(2023,7,17)</f>
        <v>45123.99949074074</v>
      </c>
      <c r="M718" s="7">
        <f>=DATE(2023,7,17)</f>
        <v>45123.99949074074</v>
      </c>
      <c r="N718" s="8">
        <v>0.25</v>
      </c>
      <c r="O718" s="8">
        <v>0.25</v>
      </c>
      <c r="W718" s="6" t="str">
        <v>Primary Business not Hi-Tech</v>
      </c>
      <c r="X718" s="6" t="str">
        <v>Other Software (inq. Games);Internet Services &amp; Software;Communication/Network Software;Desktop Publishing;Applications Software(Business;Utilities/File Mgmt Software;Applications Software(Home)</v>
      </c>
      <c r="Y718" s="6" t="str">
        <v>Other Software (inq. Games);Applications Software(Home);Desktop Publishing;Internet Services &amp; Software;Communication/Network Software;Utilities/File Mgmt Software;Applications Software(Business</v>
      </c>
      <c r="Z718" s="6" t="str">
        <v>Applications Software(Home);Desktop Publishing;Internet Services &amp; Software;Communication/Network Software;Other Software (inq. Games);Utilities/File Mgmt Software;Applications Software(Business</v>
      </c>
      <c r="AA718" s="6" t="str">
        <v>Primary Business not Hi-Tech</v>
      </c>
      <c r="AB718" s="6" t="str">
        <v>Primary Business not Hi-Tech</v>
      </c>
      <c r="AC718" s="8">
        <v>0.25</v>
      </c>
      <c r="AD718" s="7">
        <f>=DATE(2023,7,17)</f>
        <v>45123.99949074074</v>
      </c>
    </row>
    <row r="719">
      <c r="A719" s="6" t="str">
        <v>4C7902</v>
      </c>
      <c r="B719" s="6" t="str">
        <v>United States</v>
      </c>
      <c r="C719" s="6" t="str">
        <v>Amazon Web Services Inc</v>
      </c>
      <c r="D719" s="6" t="str">
        <v>Amazon.com Inc</v>
      </c>
      <c r="F719" s="6" t="str">
        <v>United States</v>
      </c>
      <c r="G719" s="6" t="str">
        <v>Hercules Labs Inc</v>
      </c>
      <c r="H719" s="6" t="str">
        <v>Prepackaged Software</v>
      </c>
      <c r="I719" s="6" t="str">
        <v>4P9615</v>
      </c>
      <c r="J719" s="6" t="str">
        <v>Hercules Labs Inc</v>
      </c>
      <c r="K719" s="6" t="str">
        <v>Hercules Labs Inc</v>
      </c>
      <c r="L719" s="7">
        <f>=DATE(2023,8,28)</f>
        <v>45165.99949074074</v>
      </c>
      <c r="M719" s="7">
        <f>=DATE(2023,8,28)</f>
        <v>45165.99949074074</v>
      </c>
      <c r="W719" s="6" t="str">
        <v>Computer Consulting Services;Data Processing Services;Other Computer Related Svcs;Internet Services &amp; Software;Primary Business not Hi-Tech</v>
      </c>
      <c r="X719" s="6" t="str">
        <v>Applications Software(Home);Other Software (inq. Games)</v>
      </c>
      <c r="Y719" s="6" t="str">
        <v>Applications Software(Home);Other Software (inq. Games)</v>
      </c>
      <c r="Z719" s="6" t="str">
        <v>Other Software (inq. Games);Applications Software(Home)</v>
      </c>
      <c r="AA719" s="6" t="str">
        <v>Primary Business not Hi-Tech</v>
      </c>
      <c r="AB719" s="6" t="str">
        <v>Primary Business not Hi-Tech</v>
      </c>
    </row>
    <row r="720">
      <c r="A720" s="6" t="str">
        <v>037833</v>
      </c>
      <c r="B720" s="6" t="str">
        <v>United States</v>
      </c>
      <c r="C720" s="6" t="str">
        <v>Apple Inc</v>
      </c>
      <c r="D720" s="6" t="str">
        <v>Apple Inc</v>
      </c>
      <c r="F720" s="6" t="str">
        <v>United States</v>
      </c>
      <c r="G720" s="6" t="str">
        <v>Apple Inc</v>
      </c>
      <c r="H720" s="6" t="str">
        <v>Computer and Office Equipment</v>
      </c>
      <c r="I720" s="6" t="str">
        <v>037833</v>
      </c>
      <c r="J720" s="6" t="str">
        <v>Apple Inc</v>
      </c>
      <c r="K720" s="6" t="str">
        <v>Apple Inc</v>
      </c>
      <c r="L720" s="7">
        <f>=DATE(2023,8,31)</f>
        <v>45168.99949074074</v>
      </c>
      <c r="M720" s="7">
        <f>=DATE(2023,8,31)</f>
        <v>45168.99949074074</v>
      </c>
      <c r="N720" s="8">
        <v>5000</v>
      </c>
      <c r="O720" s="8">
        <v>5000</v>
      </c>
      <c r="P720" s="8" t="str">
        <v>2,754,214.97</v>
      </c>
      <c r="R720" s="8">
        <v>99803</v>
      </c>
      <c r="S720" s="8">
        <v>394328</v>
      </c>
      <c r="T720" s="8">
        <v>-110749</v>
      </c>
      <c r="U720" s="8">
        <v>-22354</v>
      </c>
      <c r="V720" s="8">
        <v>122151</v>
      </c>
      <c r="W720" s="6" t="str">
        <v>Mainframes &amp; Super Computers;Other Software (inq. Games);Printers;Disk Drives;Portable Computers;Monitors/Terminals;Micro-Computers (PCs);Other Peripherals</v>
      </c>
      <c r="X720" s="6" t="str">
        <v>Disk Drives;Portable Computers;Other Peripherals;Micro-Computers (PCs);Monitors/Terminals;Other Software (inq. Games);Printers;Mainframes &amp; Super Computers</v>
      </c>
      <c r="Y720" s="6" t="str">
        <v>Printers;Portable Computers;Mainframes &amp; Super Computers;Other Software (inq. Games);Monitors/Terminals;Micro-Computers (PCs);Disk Drives;Other Peripherals</v>
      </c>
      <c r="Z720" s="6" t="str">
        <v>Portable Computers;Micro-Computers (PCs);Monitors/Terminals;Other Software (inq. Games);Other Peripherals;Printers;Mainframes &amp; Super Computers;Disk Drives</v>
      </c>
      <c r="AA720" s="6" t="str">
        <v>Printers;Monitors/Terminals;Mainframes &amp; Super Computers;Micro-Computers (PCs);Other Peripherals;Disk Drives;Other Software (inq. Games);Portable Computers</v>
      </c>
      <c r="AB720" s="6" t="str">
        <v>Monitors/Terminals;Mainframes &amp; Super Computers;Portable Computers;Printers;Disk Drives;Other Software (inq. Games);Other Peripherals;Micro-Computers (PCs)</v>
      </c>
      <c r="AC720" s="8">
        <v>5000</v>
      </c>
      <c r="AD720" s="7">
        <f>=DATE(2023,8,31)</f>
        <v>45168.99949074074</v>
      </c>
      <c r="AF720" s="8" t="str">
        <v>2,754,214.97</v>
      </c>
      <c r="AG720" s="8" t="str">
        <v>2,754,214.97</v>
      </c>
    </row>
    <row r="721">
      <c r="A721" s="6" t="str">
        <v>023135</v>
      </c>
      <c r="B721" s="6" t="str">
        <v>United States</v>
      </c>
      <c r="C721" s="6" t="str">
        <v>Amazon.com Inc</v>
      </c>
      <c r="D721" s="6" t="str">
        <v>Amazon.com Inc</v>
      </c>
      <c r="E721" s="6" t="str">
        <v>Amazon.com Inc</v>
      </c>
      <c r="F721" s="6" t="str">
        <v>United States</v>
      </c>
      <c r="G721" s="6" t="str">
        <v>Anthropic PBC</v>
      </c>
      <c r="H721" s="6" t="str">
        <v>Business Services</v>
      </c>
      <c r="I721" s="6" t="str">
        <v>5P0185</v>
      </c>
      <c r="J721" s="6" t="str">
        <v>Anthropic PBC</v>
      </c>
      <c r="K721" s="6" t="str">
        <v>Anthropic PBC</v>
      </c>
      <c r="L721" s="7">
        <f>=DATE(2023,9,25)</f>
        <v>45193.99949074074</v>
      </c>
      <c r="M721" s="7">
        <f>=DATE(2023,9,30)</f>
        <v>45198.99949074074</v>
      </c>
      <c r="N721" s="8">
        <v>1250</v>
      </c>
      <c r="O721" s="8">
        <v>1250</v>
      </c>
      <c r="Q721" s="8" t="str">
        <v>2,750.00</v>
      </c>
      <c r="W721" s="6" t="str">
        <v>Primary Business not Hi-Tech</v>
      </c>
      <c r="X721" s="6" t="str">
        <v>Computer Consulting Services;Other Computer Related Svcs;Internet Services &amp; Software</v>
      </c>
      <c r="Y721" s="6" t="str">
        <v>Internet Services &amp; Software;Computer Consulting Services;Other Computer Related Svcs</v>
      </c>
      <c r="Z721" s="6" t="str">
        <v>Other Computer Related Svcs;Computer Consulting Services;Internet Services &amp; Software</v>
      </c>
      <c r="AA721" s="6" t="str">
        <v>Primary Business not Hi-Tech</v>
      </c>
      <c r="AB721" s="6" t="str">
        <v>Primary Business not Hi-Tech</v>
      </c>
      <c r="AC721" s="8">
        <v>1250</v>
      </c>
      <c r="AD721" s="7">
        <f>=DATE(2023,9,25)</f>
        <v>45193.99949074074</v>
      </c>
    </row>
    <row r="722">
      <c r="A722" s="6" t="str">
        <v>023135</v>
      </c>
      <c r="B722" s="6" t="str">
        <v>United States</v>
      </c>
      <c r="C722" s="6" t="str">
        <v>Amazon.com Inc</v>
      </c>
      <c r="D722" s="6" t="str">
        <v>Amazon.com Inc</v>
      </c>
      <c r="E722" s="6" t="str">
        <v>Amazon.com Inc</v>
      </c>
      <c r="F722" s="6" t="str">
        <v>United States</v>
      </c>
      <c r="G722" s="6" t="str">
        <v>Anthropic PBC</v>
      </c>
      <c r="H722" s="6" t="str">
        <v>Business Services</v>
      </c>
      <c r="I722" s="6" t="str">
        <v>5P0185</v>
      </c>
      <c r="J722" s="6" t="str">
        <v>Anthropic PBC</v>
      </c>
      <c r="K722" s="6" t="str">
        <v>Anthropic PBC</v>
      </c>
      <c r="L722" s="7">
        <f>=DATE(2023,9,25)</f>
        <v>45193.99949074074</v>
      </c>
      <c r="M722" s="7">
        <f>=DATE(2024,3,28)</f>
        <v>45378.99949074074</v>
      </c>
      <c r="N722" s="8">
        <v>2750</v>
      </c>
      <c r="O722" s="8">
        <v>2750</v>
      </c>
      <c r="Q722" s="8" t="str">
        <v>1,250.00</v>
      </c>
      <c r="W722" s="6" t="str">
        <v>Primary Business not Hi-Tech</v>
      </c>
      <c r="X722" s="6" t="str">
        <v>Other Computer Related Svcs;Computer Consulting Services;Internet Services &amp; Software</v>
      </c>
      <c r="Y722" s="6" t="str">
        <v>Computer Consulting Services;Other Computer Related Svcs;Internet Services &amp; Software</v>
      </c>
      <c r="Z722" s="6" t="str">
        <v>Computer Consulting Services;Other Computer Related Svcs;Internet Services &amp; Software</v>
      </c>
      <c r="AA722" s="6" t="str">
        <v>Primary Business not Hi-Tech</v>
      </c>
      <c r="AB722" s="6" t="str">
        <v>Primary Business not Hi-Tech</v>
      </c>
      <c r="AC722" s="8">
        <v>2750</v>
      </c>
      <c r="AD722" s="7">
        <f>=DATE(2023,9,25)</f>
        <v>45193.99949074074</v>
      </c>
    </row>
    <row r="723">
      <c r="A723" s="6" t="str">
        <v>4C7902</v>
      </c>
      <c r="B723" s="6" t="str">
        <v>United States</v>
      </c>
      <c r="C723" s="6" t="str">
        <v>Amazon Web Services Inc</v>
      </c>
      <c r="D723" s="6" t="str">
        <v>Amazon.com Inc</v>
      </c>
      <c r="F723" s="6" t="str">
        <v>United States</v>
      </c>
      <c r="G723" s="6" t="str">
        <v>Talen Energy Corp-Data Center</v>
      </c>
      <c r="H723" s="6" t="str">
        <v>Business Services</v>
      </c>
      <c r="I723" s="6" t="str">
        <v>2Q0813</v>
      </c>
      <c r="J723" s="6" t="str">
        <v>Riverstone Holdings LLC</v>
      </c>
      <c r="K723" s="6" t="str">
        <v>Talen Energy Corp</v>
      </c>
      <c r="L723" s="7">
        <f>=DATE(2024,3,4)</f>
        <v>45354.99949074074</v>
      </c>
      <c r="M723" s="7">
        <f>=DATE(2024,3,4)</f>
        <v>45354.99949074074</v>
      </c>
      <c r="W723" s="6" t="str">
        <v>Primary Business not Hi-Tech;Data Processing Services;Internet Services &amp; Software;Other Computer Related Svcs;Computer Consulting Services</v>
      </c>
      <c r="X723" s="6" t="str">
        <v>Other Computer Related Svcs;Computer Consulting Services;Primary Business not Hi-Tech;Data Processing Services;Internet Services &amp; Software</v>
      </c>
      <c r="Y723" s="6" t="str">
        <v>Primary Business not Hi-Tech</v>
      </c>
      <c r="Z723" s="6" t="str">
        <v>Primary Business not Hi-Tech</v>
      </c>
      <c r="AA723" s="6" t="str">
        <v>Primary Business not Hi-Tech</v>
      </c>
      <c r="AB723" s="6" t="str">
        <v>Primary Business not Hi-Tech</v>
      </c>
    </row>
    <row r="724">
      <c r="A724" s="6" t="str">
        <v>4C7902</v>
      </c>
      <c r="B724" s="6" t="str">
        <v>United States</v>
      </c>
      <c r="C724" s="6" t="str">
        <v>Amazon Web Services Inc</v>
      </c>
      <c r="D724" s="6" t="str">
        <v>Amazon.com Inc</v>
      </c>
      <c r="F724" s="6" t="str">
        <v>United States</v>
      </c>
      <c r="G724" s="6" t="str">
        <v>Cumulus Digital LLC</v>
      </c>
      <c r="H724" s="6" t="str">
        <v>Business Services</v>
      </c>
      <c r="I724" s="6" t="str">
        <v>8L2740</v>
      </c>
      <c r="J724" s="6" t="str">
        <v>Riverstone Holdings LLC</v>
      </c>
      <c r="K724" s="6" t="str">
        <v>Talen Energy Corp</v>
      </c>
      <c r="L724" s="7">
        <f>=DATE(2024,3,4)</f>
        <v>45354.99949074074</v>
      </c>
      <c r="M724" s="7">
        <f>=DATE(2024,3,4)</f>
        <v>45354.99949074074</v>
      </c>
      <c r="N724" s="8">
        <v>650</v>
      </c>
      <c r="O724" s="8">
        <v>650</v>
      </c>
      <c r="W724" s="6" t="str">
        <v>Other Computer Related Svcs;Primary Business not Hi-Tech;Data Processing Services;Computer Consulting Services;Internet Services &amp; Software</v>
      </c>
      <c r="X724" s="6" t="str">
        <v>Other Computer Related Svcs</v>
      </c>
      <c r="Y724" s="6" t="str">
        <v>Primary Business not Hi-Tech</v>
      </c>
      <c r="Z724" s="6" t="str">
        <v>Primary Business not Hi-Tech</v>
      </c>
      <c r="AA724" s="6" t="str">
        <v>Primary Business not Hi-Tech</v>
      </c>
      <c r="AB724" s="6" t="str">
        <v>Primary Business not Hi-Tech</v>
      </c>
      <c r="AC724" s="8">
        <v>650</v>
      </c>
      <c r="AD724" s="7">
        <f>=DATE(2024,3,4)</f>
        <v>45354.99949074074</v>
      </c>
    </row>
    <row r="725">
      <c r="A725" s="6" t="str">
        <v>3H5923</v>
      </c>
      <c r="B725" s="6" t="str">
        <v>United States</v>
      </c>
      <c r="C725" s="6" t="str">
        <v>Armis Inc</v>
      </c>
      <c r="D725" s="6" t="str">
        <v>Insight Holdings Group LLC</v>
      </c>
      <c r="F725" s="6" t="str">
        <v>United States</v>
      </c>
      <c r="G725" s="6" t="str">
        <v>Silk Security Inc</v>
      </c>
      <c r="H725" s="6" t="str">
        <v>Prepackaged Software</v>
      </c>
      <c r="I725" s="6" t="str">
        <v>2P2884</v>
      </c>
      <c r="J725" s="6" t="str">
        <v>Silk Security Inc</v>
      </c>
      <c r="K725" s="6" t="str">
        <v>Silk Security Inc</v>
      </c>
      <c r="L725" s="7">
        <f>=DATE(2024,4,17)</f>
        <v>45398.99949074074</v>
      </c>
      <c r="M725" s="7">
        <f>=DATE(2024,4,17)</f>
        <v>45398.99949074074</v>
      </c>
      <c r="N725" s="8">
        <v>150</v>
      </c>
      <c r="O725" s="8">
        <v>150</v>
      </c>
      <c r="S725" s="8">
        <v>5</v>
      </c>
      <c r="W725" s="6" t="str">
        <v>Data Processing Services;Programming Services;Other Computer Related Svcs;Database Software/Programming;Computer Consulting Services;Internet Services &amp; Software</v>
      </c>
      <c r="X725" s="6" t="str">
        <v>Workstations;Data Commun(Exclude networking;Computer Consulting Services;Networking Systems (LAN,WAN);Turnkey Systems;Utilities/File Mgmt Software;Other Computer Related Svcs;Communication/Network Software;CAD/CAM/CAE/Graphics Systems;Other Computer Systems;Internet Services &amp; Software;Operating Systems;Applications Software(Business;Other Software (inq. Games);Desktop Publishing;Applications Software(Home)</v>
      </c>
      <c r="Y725" s="6" t="str">
        <v>Data Commun(Exclude networking;Other Computer Systems;Computer Consulting Services;Turnkey Systems;CAD/CAM/CAE/Graphics Systems;Internet Services &amp; Software;Other Computer Related Svcs;Workstations;Desktop Publishing;Applications Software(Business;Networking Systems (LAN,WAN);Utilities/File Mgmt Software;Communication/Network Software;Other Software (inq. Games);Applications Software(Home);Operating Systems</v>
      </c>
      <c r="Z725" s="6" t="str">
        <v>Turnkey Systems;Networking Systems (LAN,WAN);Other Computer Systems;Computer Consulting Services;Workstations;CAD/CAM/CAE/Graphics Systems;Utilities/File Mgmt Software;Other Computer Related Svcs;Communication/Network Software;Internet Services &amp; Software;Desktop Publishing;Data Commun(Exclude networking;Operating Systems;Applications Software(Home);Applications Software(Business;Other Software (inq. Games)</v>
      </c>
      <c r="AA725" s="6" t="str">
        <v>Primary Business not Hi-Tech</v>
      </c>
      <c r="AB725" s="6" t="str">
        <v>Primary Business not Hi-Tech</v>
      </c>
      <c r="AC725" s="8">
        <v>150</v>
      </c>
      <c r="AD725" s="7">
        <f>=DATE(2024,4,17)</f>
        <v>45398.99949074074</v>
      </c>
    </row>
    <row r="726">
      <c r="A726" s="6" t="str">
        <v>7J8440</v>
      </c>
      <c r="B726" s="6" t="str">
        <v>United States</v>
      </c>
      <c r="C726" s="6" t="str">
        <v>Google LLC</v>
      </c>
      <c r="D726" s="6" t="str">
        <v>Alphabet Inc</v>
      </c>
      <c r="F726" s="6" t="str">
        <v>United States</v>
      </c>
      <c r="G726" s="6" t="str">
        <v>Cameyo Inc</v>
      </c>
      <c r="H726" s="6" t="str">
        <v>Prepackaged Software</v>
      </c>
      <c r="I726" s="6" t="str">
        <v>4Q6117</v>
      </c>
      <c r="J726" s="6" t="str">
        <v>Cameyo Inc</v>
      </c>
      <c r="K726" s="6" t="str">
        <v>Cameyo Inc</v>
      </c>
      <c r="L726" s="7">
        <f>=DATE(2024,6,5)</f>
        <v>45447.99949074074</v>
      </c>
      <c r="M726" s="7">
        <f>=DATE(2024,6,5)</f>
        <v>45447.99949074074</v>
      </c>
      <c r="W726" s="6" t="str">
        <v>Programming Services;Internet Services &amp; Software</v>
      </c>
      <c r="X726" s="6" t="str">
        <v>Operating Systems;Data Commun(Exclude networking;Other Computer Systems;Networking Systems (LAN,WAN);Computer Consulting Services;Other Computer Related Svcs;CAD/CAM/CAE/Graphics Systems;Internet Services &amp; Software;Utilities/File Mgmt Software;Communication/Network Software;Desktop Publishing;Workstations;Turnkey Systems;Applications Software(Home);Applications Software(Business;Other Software (inq. Games)</v>
      </c>
      <c r="Y726" s="6" t="str">
        <v>Applications Software(Business;Turnkey Systems;Other Computer Systems;Operating Systems;Utilities/File Mgmt Software;Communication/Network Software;Other Computer Related Svcs;Networking Systems (LAN,WAN);Other Software (inq. Games);CAD/CAM/CAE/Graphics Systems;Applications Software(Home);Computer Consulting Services;Data Commun(Exclude networking;Workstations;Internet Services &amp; Software;Desktop Publishing</v>
      </c>
      <c r="Z726" s="6" t="str">
        <v>Applications Software(Business;Utilities/File Mgmt Software;Internet Services &amp; Software;Operating Systems;Applications Software(Home);Computer Consulting Services;Desktop Publishing;Data Commun(Exclude networking;Other Software (inq. Games);Networking Systems (LAN,WAN);CAD/CAM/CAE/Graphics Systems;Communication/Network Software;Other Computer Related Svcs;Workstations;Turnkey Systems;Other Computer Systems</v>
      </c>
      <c r="AA726" s="6" t="str">
        <v>Programming Services;Computer Consulting Services;Primary Business not Hi-Tech;Internet Services &amp; Software;Telecommunications Equipment</v>
      </c>
      <c r="AB726" s="6" t="str">
        <v>Primary Business not Hi-Tech;Computer Consulting Services;Telecommunications Equipment;Internet Services &amp; Software;Programming Services</v>
      </c>
    </row>
    <row r="727">
      <c r="A727" s="6" t="str">
        <v>3F8100</v>
      </c>
      <c r="B727" s="6" t="str">
        <v>United States</v>
      </c>
      <c r="C727" s="6" t="str">
        <v>GV Management Co LLC</v>
      </c>
      <c r="D727" s="6" t="str">
        <v>Alphabet Inc</v>
      </c>
      <c r="F727" s="6" t="str">
        <v>United States</v>
      </c>
      <c r="G727" s="6" t="str">
        <v>Mechanical Orchard Inc</v>
      </c>
      <c r="H727" s="6" t="str">
        <v>Prepackaged Software</v>
      </c>
      <c r="I727" s="6" t="str">
        <v>2N7938</v>
      </c>
      <c r="J727" s="6" t="str">
        <v>Mechanical Orchard Inc</v>
      </c>
      <c r="K727" s="6" t="str">
        <v>Mechanical Orchard Inc</v>
      </c>
      <c r="L727" s="7">
        <f>=DATE(2024,8,6)</f>
        <v>45509.99949074074</v>
      </c>
      <c r="M727" s="7">
        <f>=DATE(2024,8,6)</f>
        <v>45509.99949074074</v>
      </c>
      <c r="N727" s="8">
        <v>50</v>
      </c>
      <c r="O727" s="8">
        <v>50</v>
      </c>
      <c r="W727" s="6" t="str">
        <v>Primary Business not Hi-Tech</v>
      </c>
      <c r="X727" s="6" t="str">
        <v>Communication/Network Software;Desktop Publishing;Internet Services &amp; Software;Utilities/File Mgmt Software;Applications Software(Business;Other Software (inq. Games);Applications Software(Home)</v>
      </c>
      <c r="Y727" s="6" t="str">
        <v>Communication/Network Software;Other Software (inq. Games);Utilities/File Mgmt Software;Desktop Publishing;Applications Software(Home);Applications Software(Business;Internet Services &amp; Software</v>
      </c>
      <c r="Z727" s="6" t="str">
        <v>Applications Software(Business;Applications Software(Home);Desktop Publishing;Internet Services &amp; Software;Utilities/File Mgmt Software;Other Software (inq. Games);Communication/Network Software</v>
      </c>
      <c r="AA727" s="6" t="str">
        <v>Programming Services;Internet Services &amp; Software</v>
      </c>
      <c r="AB727" s="6" t="str">
        <v>Primary Business not Hi-Tech;Computer Consulting Services;Programming Services;Internet Services &amp; Software;Telecommunications Equipment</v>
      </c>
      <c r="AC727" s="8">
        <v>50</v>
      </c>
      <c r="AD727" s="7">
        <f>=DATE(2024,8,6)</f>
        <v>45509.99949074074</v>
      </c>
    </row>
    <row r="728">
      <c r="A728" s="6" t="str">
        <v>9H1420</v>
      </c>
      <c r="B728" s="6" t="str">
        <v>United States</v>
      </c>
      <c r="C728" s="6" t="str">
        <v>Google Cloud Platform</v>
      </c>
      <c r="D728" s="6" t="str">
        <v>Alphabet Inc</v>
      </c>
      <c r="F728" s="6" t="str">
        <v>United States</v>
      </c>
      <c r="G728" s="6" t="str">
        <v>Augmented Intelligence Inc</v>
      </c>
      <c r="H728" s="6" t="str">
        <v>Prepackaged Software</v>
      </c>
      <c r="I728" s="6" t="str">
        <v>8Q2278</v>
      </c>
      <c r="J728" s="6" t="str">
        <v>Augmented Intelligence Inc</v>
      </c>
      <c r="K728" s="6" t="str">
        <v>Augmented Intelligence Inc</v>
      </c>
      <c r="L728" s="7">
        <f>=DATE(2024,9,30)</f>
        <v>45564.99949074074</v>
      </c>
      <c r="M728" s="7">
        <f>=DATE(2024,9,30)</f>
        <v>45564.99949074074</v>
      </c>
      <c r="W728" s="6" t="str">
        <v>Other Software (inq. Games)</v>
      </c>
      <c r="X728" s="6" t="str">
        <v>Other Software (inq. Games)</v>
      </c>
      <c r="Y728" s="6" t="str">
        <v>Other Software (inq. Games)</v>
      </c>
      <c r="Z728" s="6" t="str">
        <v>Other Software (inq. Games)</v>
      </c>
      <c r="AA728" s="6" t="str">
        <v>Internet Services &amp; Software;Programming Services</v>
      </c>
      <c r="AB728" s="6" t="str">
        <v>Internet Services &amp; Software;Primary Business not Hi-Tech;Computer Consulting Services;Telecommunications Equipment;Programming Services</v>
      </c>
    </row>
  </sheetData>
  <ignoredErrors>
    <ignoredError numberStoredAsText="1" sqref="A1:AG728"/>
  </ignoredErrors>
</worksheet>
</file>

<file path=xl/worksheets/sheet2.xml><?xml version="1.0" encoding="utf-8"?>
<worksheet xmlns="http://schemas.openxmlformats.org/spreadsheetml/2006/main" xmlns:r="http://schemas.openxmlformats.org/officeDocument/2006/relationships">
  <dimension ref="A1:F13"/>
  <sheetViews>
    <sheetView workbookViewId="0"/>
  </sheetViews>
  <cols>
    <col min="1" max="1" width="15.00390625" customWidth="1"/>
    <col min="2" max="2" width="15.00390625" customWidth="1"/>
    <col min="3" max="3" width="20.00390625" customWidth="1"/>
    <col min="4" max="4" width="66.6640625" customWidth="1"/>
    <col min="5" max="5" width="25.00390625" customWidth="1"/>
    <col min="6" max="6" width="140.00390625" customWidth="1"/>
  </cols>
  <sheetData>
    <row r="1">
      <c r="A1" s="3" t="str">
        <v>Source: LSEG   Date: 10/10/2024</v>
      </c>
    </row>
    <row r="2">
      <c r="A2" s="4" t="str">
        <v>Request</v>
      </c>
      <c r="B2" s="5" t="str">
        <v>Results</v>
      </c>
      <c r="C2" s="4" t="str">
        <v>Type</v>
      </c>
      <c r="D2" s="4" t="str">
        <v>Description</v>
      </c>
      <c r="E2" s="4" t="str">
        <v>Operator</v>
      </c>
      <c r="F2" s="4" t="str">
        <v>Value</v>
      </c>
    </row>
    <row r="3">
      <c r="A3" s="9">
        <v>0</v>
      </c>
      <c r="C3" s="10" t="str">
        <v>Content Set</v>
      </c>
      <c r="D3" s="6" t="str">
        <v>Mergers &amp; Acquisitions</v>
      </c>
      <c r="F3" s="6" t="str">
        <v>M&amp;A</v>
      </c>
    </row>
    <row r="4">
      <c r="A4" s="9">
        <v>1</v>
      </c>
      <c r="B4" s="11">
        <v>1465957</v>
      </c>
      <c r="C4" s="10" t="str">
        <v>Data Items</v>
      </c>
      <c r="D4" s="6" t="str">
        <v>Date Announced</v>
      </c>
      <c r="E4" s="10" t="str">
        <v>Between</v>
      </c>
      <c r="F4" s="6" t="str">
        <v>1 Jan 1990 - 10 Oct 2024</v>
      </c>
    </row>
    <row r="5">
      <c r="A5" s="9">
        <v>2</v>
      </c>
      <c r="B5" s="11">
        <v>1558</v>
      </c>
      <c r="C5" s="10" t="str">
        <v>Data Items</v>
      </c>
      <c r="D5" s="6" t="str">
        <v>Acquiror</v>
      </c>
      <c r="E5" s="10" t="str">
        <v>Include</v>
      </c>
      <c r="F5" s="6" t="str">
        <v>Name: gafam_companies. Values: Strobe Inc, Involver Inc, Oculus VR LLC(NOW 8J8006), Facebook Inc, Facebook Inc, Facebook Inc, Facebook Inc-Ballsbridge Office Complex, Facebook Solar Energy Center Portfolio Project, Facebook Warren County Solar Project, Facebook Wind-Powered Data Centre, Facebook Inc-(fluff)Friends, Facebook Technologies Inc, Facebook Watch, Facebook Audience Network, Facebook FZ-LLC, FriendFeed Inc, iStorez Inc, Divvyshot Inc, Sharegrove Inc, Nextstop.com, HotPotato Media Inc, Chai Labs Inc, Walletin, Beluga Inc, Push Pop Press, Friend.ly, Gowalla Inc, GazeHawk Inc, Instagram Inc, Malbec Labs Inc, Glancee Inc, Karma Science Inc, Spool Inc, Threadsy Inc, WhatsApp Inc, Mixtent Inc, Parse Inc, Onavo Inc, SportStream, Branch Media Inc, Glimpse.com, Nimble VR, Wit.ai Inc, Nonstop Games Inc, QuickFire Networks Corp, Nascent Objects Inc, CrowdTangle Inc, FacioMetrics LLC, BidClix Inc, Source3 Inc, Confirm Inc, Giphy Inc, Kustomer Inc, Dumbarton Corridor Improvement, Vidpresso Inc, Grokstyle Inc, CTRL-Labs Corp, Packagd Corp, Sanzaru Games Inc, Jaadhu Holdings LLC, BigBox VR Inc, BlinkAI Technologies Inc, Camouflaj, ImagineOptix Corp, Meta Dekalb Data Center Project, Whisper.AI Inc, Meta Mesa Data Center Project, Meta Jeffersonville Data Center Project, Sidecat LLC, Accipiter Solutions Inc, Atlas Advertiser Suite, TheFind Inc, Meta Platforms Inc, Parakey Inc, Google For Startups, Google Latino Founders Fund, Google Inc, Google Inc-Radio Automation Business, Google Acquisition Holdings Inc, Google Ventures, Google Ventures 2011 LP, Google Capital 2016 LP, Google Fiber Inc, Google Developer - Launchpad, Google Cloud Platform, Google Assistant Investments, Google News Initiative, Google My Business, Google Nest, Google International LLC, Google Payment Corp, Google Inc-Ad Tech Business, Google Midlothian Data Center Project, Google Brain, Google LLC-Adtech Business, Google Inc-Google Domains Assets, Google Lancaster Data Center Project, Google Inc, Google Inc, Google Inc, Google Inc, Google Inc, Google LLC, Google &amp; Fervo Geothermal Project, Google Moffett Park Solar Project, Google Moffett Park Solar Project - GMSP2, Fabric.com, Shelfari, Lexcycle Inc, A9.com Inc, Quidsi Inc, Touchco Inc, United Artists Pictures Inc (MGM/UA Communications Co), Reflexive Entertainment, MGM Holdings Inc, Quorus Inc, Egghead University(Egghead Inc), Goodreads Inc, Starkey Hot Springs LLC, TenMarks Education Inc, Iconology Inc, Twitch Interactive Inc, Elemental Technologies Inc, MGM/UA Communications Corp- Film Rights, UAMG LLC, Good Game Agency, Amazon Web Services Inc, 2lemetry Inc, Trellis Automation Inc, Safaba Translation Solutions Inc, Amazon Corporate LLC, Wickr Inc, Net Power &amp; Light Inc, Curse Inc, Cloud9 IDE Inc, Mrs Gooch's Natural Food Markets Inc, Whole Foods Market Pacific Northwest Inc, WFM IP Investments Inc, Whole Foods Market IP LP, WFM Southern Nevada Inc, WFM Hawaii LLC, WFM Northern Nevada Inc, WFM Nebraska LLC, WFM Kansas LLC, Studio 3 Partners LLC, EPIX Entertainment LLC, Iora Health Inc, Sqrrl Data Inc, ClipMine Inc, IMDb.com Inc, Alexa Fund, Egghead Discount Software Inc, Evolution Media, Amazon.com NV Investment Holdings LLC, Body Labs Inc, PeakMed Colorado LLC, Immedia Semiconductor Inc, Whole Foods Market Inc, Ring Inc, Wireless Environment LLC, Big Fish Entertainment LLC, 1Life Healthcare Inc, Zoox Inc, Amazonfresh, Canvas Technology LLC, INLT, Health Navigator Inc, DataRow, Curse TV, Acorn Development LLC, Residence Inn by Marriott International Inc,Pentagon City,Virginia, The Climate Pledge Fund, Amazon Technologies Inc, Bread &amp; Circus Inc (Whole Foods Market Inc), Cumulus Digital LLC, Amazon Industrial Innovation Fund, Nashville Affordable Homes Project, Amazon Smbhav Venture Fund, Amazon Hq2 Project, Industrial Innovation Fund, The Source, Snackable.AI, Mrs Gooch's Natural Foods Supermarkets(Whole Foods Market Inc), Amazon Air Hub, Hercules Labs Inc, Amazon Data Services Inc, Egghead.com Inc, Amazon.com Services LLC, Metro-Goldwyn-Mayer-European Theaters(Pathe Communications), Fresh Fields Markets Inc (Whole Foods Market Inc), Organic Coffee Co(Allegro Coffee Co), Allegro Coffee Co(Whole Foods Market Inc), Metro-Goldwyn-Mayer Inc, Oak Street Market(Whole Foods Market), Egghead.com Inc, Bread of Life(Whole Foods Market Inc), Amazon.com Inc, Amazon.com Inc, Surplus Software Inc (Egghead Inc), Audible Inc, Merchant of Vino(Whole Foods Market), Orion Pictures Corp (Metro-Goldwyn-Mayer Inc), Internet Movie Database Inc, Telebook Inc(Amazon.com Inc), PlanetAll(Amazon.com Inc), Junglee Corp(Amazon.com Inc), Nature's Heartland Inc(Whole Foods Market Inc), Livebid.com, Exchange.com(Amazon.com Inc), Accept.com Financial Services Corp(Amazon.com Inc), Alexa Internet(Amazon.com Inc), Convergence Corp(Amazon.com Inc), Tool Crib of the North(Amazon. com Inc), Without A Box Inc, Back To Basics Toys, Natural Abilities Inc (Whole Foods Market Inc), Amrion Inc, MGM Telecommunications Group (Metro-Goldwyn-Mayer)un, Novko LLC, 6pm.com, Metro-Goldwyn-Mayer Studios Inc, Whole Foods Market Services, WFM Beverage Corp, Whole Foods Market Southwest I, Whole Foods Market California, Whole Foods Market Group Inc, Mrs Goochs Natural Food Markets Inc, Whole Foods Market Distribution Inc, Whole Food Co Inc, Whole Foods Market Brand 365 LLC, wholefoods.com, WPcom Colorado Inc, Sourdough A European Bakery Inc, Whole Foods Market Southwest Investments Inc, Select Fish, Brilliance Audio Inc, BookSurge LLC, Amazon Services Inc, MGM Holdings II, Inc, BookFinder.com, Zappos.com Inc, Shopbop.com, Microsoft Alumni Network, Microsoft CIHC Inc, Komoku Inc, Farecast Inc, Crisp Acquisition Corp, VirtuOz Inc, Budcat Creations, DeVenture Global Partners Inc, 7 Studios, Jott Networks Inc, Interactive Supercomputing, MacSpeech Inc, AppTrigger Inc, ChoiceVendor Inc, Microsoft China Investment Holding Co Ltd, mSpoke Inc, Shapewriter Inc, AVIcode Inc, Perceptive Pixel Inc, Montage Healthcare Solutions Inc, iVirtuoso Inc, Qik Inc, CardMunch Inc, DTS America Inc, Caere Corp(ScanSoft Inc/ Visioneer Inc), GroupMe Inc, Swype Inc, Sonic Acquisition Corp, RealWorld Corp(Great Plains Software Inc), IndexTank Inc, Twisted Pixel Games LLC, Connected, Transcend Services Inc, eScription Inc, VideoSurf Inc, GitHub Inc, Ordered List, The New Class-Five Inc, Escalation Studios, Z2Live Inc, Townsend Merger Corp, Activision Publishing Inc, Yammer Inc, SlideShare Inc, JA Thomas &amp; Associates Inc, PhoneFactor Inc, StorSimple Inc, MarketingPilot Software LLC, International Consumer Technologies Corp (Activision), Fliptop Inc, Activision Blizzard Inc, Occu-Care Inc(TriCare Inc), Pulse, Apiphany Inc, Bright Media Corp Inc, Easel Inc, Neurostar Solutions Inc, InMage Systems Inc, Newsle Inc, Bizo Inc, Xbox Entertainment Studios, Acompli Inc, Conant &amp; Associates Inc, Revolution Analytics Inc, LiveLoop Inc, Refresh Inc, BlueStripe Software Inc, Adallom Inc, Incent Games Inc, Double Labs Inc, Mobile Data Labs Inc, Dictaphone Corp, Talko Inc, Metanautix Inc, Connectifier, Beam, PointDrive Holdings LLC, Netwise Inc(Microsoft Corp), Microsoft Online Services, Microsoft Ventures Inc, M12 Venture, Bethesda Softworks LLC, Calera Recognition Systems Inc (Caere Corp), Intentional Software Corp, Primordial Design Inc, inXile Entertainment Inc, Cycle Computing LLC, Microsoft Technology Licensing LLC, Heighten Software Inc, Microsoft Great Plains Business Solutions, Altspace VR, Microsoft Accelerator, PlayFab Inc, CyberX Inc, Drawbridge Inc, Semantic Machines Inc, Undead Labs LLC, Flipgrid Inc, Saykara Inc, Semmle Inc, Glint Inc, Lobe Artificial Intelligence Inc, FSLogix Inc, Microsoft Azure, Citus Data Inc, Disc Co(International Consumer Technologies), Fox Software Inc(Microsoft Corp), Overwatch League, Affirmed Networks Inc, Express Logic Inc, Clypd Inc, Good Software LLC, Fungible Inc, Xandr Inc, Spotfront Inc, Double Fine Productions Inc, Movere Inc, ReFirm Labs Inc, ADRM Software Inc, Proletariat Inc, Ally Technologies Inc, The Marsden Group Inc, FRx Software Corp, Climate Innovation Fund, Xbox Game Studios, Suplari Inc, Microsoft For Startups, Edubrite Systems Inc, Expert Software Inc(Activision Inc), Omniata Inc, Microsoft Boydton Data Center Project, Microsoft Viva, GitHub Fund, Brookfield / Microsoft US and Europe Renewable Energy Portfolio Project, Biomass Carbon Capture &amp; Sequestration Project, eShop Inc(Microsoft Corp), Nuance Communications Inc, Vocada Inc, Altamira Software Corp (Microsoft Corp), Dictaphone Corp(Pitney Bowes), Monarch Marking Systems (Pitney Bowes), Colloquis Inc, Microsoft Corp-Microsoft Money Product Line, One Tree Software(Microsoft Corp), Microsoft Federal Systems (Microsoft Corp), Microsoft Network LLC{MSN}, Bungie Software, Dictaphone Acquisition Inc, Pacific Microsonics Inc (Microsoft Corp), Sullivan Health Management Services(Transcend Services), Dictaphone Corp(Dictaphone Corp/Pitney Bowes), Visio Corp(Microsoft Corp), Vermeer Technologies(Microsoft Corp), Blue Ribbon SoundWorks Ltd (Microsoft Corp), Sentillion vBusiness, Bruce Artwick Organization (Microsoft Corp), Colusa Software(Microsoft Corp), Aspect Software Engineering (Microsoft Corp), Exos Inc(Microsoft Corp), Electric Gravity Inc(Microsoft Corp), Express Medical Transcription Inc(Transcend Services Inc), Dimension X Inc(Microsoft Corp), Hotmail Corp(Microsoft Corp), Clear Software LLC, Avenue A Razorfish, Razorfish Inc, Anyware Fast Inc(Dimension X), WebTV Networks Inc(Microsoft Corp), Microsoft Corp, Microsoft Corp, NetCarta Corp(Microsoft Corp), Heartland Information Systems Inc, VXtreme Inc(Microsoft Corp), Interse Corp(Microsoft Corp), DocuMedX Inc(Transcend Services Inc), LinkExchange(TM) Inc (Microsoft Corp), FireFly Network Inc(Microsoft Corp), Cooper &amp; Peters Inc (Microsoft Inc), PlaceWare Inc, Raven Software Corp(Activision Inc), Solomon Software(Great Plains Software Inc), Smith Dennis &amp; Gaylord Inc (Solomon Software), Pluto Technologies International Inc, Dictaphone Healthcare Solution, Forminix Inc(Caere Corp), MobileVoiceControl Inc, TransPoint LLC(Microsoft Corp, First Data Corp), Tegic Communications Inc, DreamWorks Interactive LLC (Microsoft Corp,Dreamworks SKG), Transcend Case Management Inc (Transcend Services Inc), Atlas Advertiser Suite, MESA Group Inc(Microsoft Corp), Health Care Information Systems Inc(Transcend Services Inc), Internet Start Group(Micrpsoft Corp), Head Games Publishing (Activision Inc), Kaspia Systems Inc(Visio Corp), Valence Research Inc (Microsoft Corp), ScanSoft Inc, FASA Interactive Inc(Microsoft Corp), CompareNet Inc (Microsoft Corp), Numinous Technologies Inc (Microsoft Corp), Match Data Systems (Great Plains Software Inc), Vicinity Corp, Jump Networks Inc(Microsoft Corp), Yupi Internet Inc(T1MSN.com), Wireless Knowledge LLC, Omnibrowse Inc(Microsoft Corp), Powerset Inc, Elsinore Multimedia (Activision Inc), MoneyCentral(Microsoft Corp), Merchant Planet(LinkExchange Inc), BeVocal Inc, Expedia Inc, iballs(Avenue A), aQuantive Inc, Entropic Inc, Medstory Inc, Southern Plains Software LLC (Great Plains Software LLC), Calista Technologies Inc, ZeniMax Media Inc, Softway Systems Inc, HomeAdvisor Technologies, Greenfield Online Inc, SpeechWorks International Inc, Tellme Networks Inc, NetGames USA, Placeware Event Services Division, Zing Wireless Inc, MongoMusic Inc(Microsoft Corp), Focus Informatics Inc, MSBET(Bet Holdings Inc, Microsoft Corp), NetCreate Systems(Vicinity Corp), Eloquent Technology Inc (Speechworks International), ProClarity Corp, Unisolve Inc(Great Plains Software Inc), ebudgets.com(FRX Software Corp), Avanade Inc, MSN MoneyCentral(Microsoft Corp), Treyarch Invention (Activision Inc), devBiz Business Solutions LLC, Gray Matter Interactive Studios(Activision Inc), KPE Inc(Mobilocity Inc), Mobilocity Inc, Shaba Games LLC (Activision Inc), Stratature Inc, Data Management Solutions Inc, Z-Axis Ltd(Activision Inc), Sales Management Systems Inc(Microsoft Corp), Softricity Inc, Go Toast LLC, Heartland Information Services (NOW 42417Z), XDegrees Inc(Microsoft Corp), Luxoflux Corp(Activision Inc), Telelogue Inc, i-FRONTIER Corp (Avenue A Inc), eCopy Inc, MSN Autos, Microsoft Business Solutions, Microsoft Dynamics Inc, Notable Solutions Inc, Danger Inc, Sentillion Inc, Viecore Federal Systems Division, Winternals Software LP, Phonetic Systems Inc, Canesta Inc, Microsoft Game Studios, Infinity Ward, LinkedIn Corp, Atlas DMT, NetConversions Inc, Activision Value Publishing Inc, Engyro Corp, Lookout Software LLC, Vexcel Corp, FrontBridge Technologies Inc, MessageRite Inc, ART Advanced Recoginition Technologies Inc, GIANT Co Software Inc, Slate, Vicarious Visions Inc, Rapidata.net Inc, Medical Dictation Inc, Sybari Software Inc, Groove Networks Inc, Forethought Inc(Microsoft Corp), Toys For Bob, MessageCast Inc, MedRemote Inc, Blizzard Entertainment Inc, Swingin' Ape Studios, Flashforward, Lynda.com Inc, Teleo Inc, RedOctane Inc, AgentArts Inc, VoiceSignal Technologies Inc, 5th Finger, MSN Music, DATAllegro Inc, Seadragon Software, Navic Networks, Apptimum Inc, Onfolio Inc, Kidaro, Whale Communications Ltd, AdECN Inc, Corporate Radar, Massive Inc, Franchise Gator LLC, Microsoft Learning, Microsoft Holdings V  Inc, Microsoft Project Users Group, Apple, Orion Network Systems Inc (Apple Computer Inc), Orion Network Systems Inc, Claris Corp(Apple Computer Inc), PowerSchool Inc, Apple Computer Inc, Apple Computer Inc, Quattro Wireless Inc, FileMaker Inc(Apple Computer Inc), la la Media Inc, Coral Software Corp(Apple Computer Inc), Agnilux Inc, SIRI Inc, Placebase, Beats Electronics LLC, PeerSec Networks Inc, Proxure Inc, Chomp Inc, Burstly Inc, TestFlight App Inc, MOG Inc, WifiSLAM, Passif Semiconductor Corp, Matcha Inc, Embark Inc, Cue, Topsy Labs Inc, SnappyLabs, TopSpin Media Inc, Beats Music LLC, Coherent Navigation Inc, NextVR Inc, Network Innovations Corp (Apple Computer Inc), Perceptio Inc, Emotient Inc, LearnSprout Inc, Flyby Media Inc, Turi, Bonnybrooke Solar, Lattice Data Inc, DeskConnect LLC, Apple Computer/Sobrato, Akonia Holographics LLC, PullString Inc, Drive.ai Inc, Mira Labs Inc, Xnor.Ai Inc, Dark Sky Co LLC, Rasier LLC, Fleetsmith Inc, Spaces Inc, Laserlike Inc, Gliimpse, Icloud.Net, Union Bay Networks, Booklamp, Catch.Com, Broadmap, Apple USA(Apple Computer Inc), Kaleida Labs (Apple Computer; IBM Corp), WaveOne Inc, NeXT Computer Inc(Apple Computer Inc), Apple Data Center - Pv1 Project, Apple Data Center - Pv2 Project, Apple Data Center - Pv3 Project, Silicon Color Inc, Spruce Technologies Inc(Apple Computer Inc), Interactive Media Group (Apple Computer Inc), AuthenTec Inc, PA Semi Inc, Raycer Graphics (Apple Computer), NetSelector, Zayante Inc (Apple Computer Inc), Apple Inc, bluebuzz.com Inc(Network Innovations Corp), Propel Software Corp, Prismo Graphics (Apple Computer Inc), Nothing Real LLC, UPEK Inc, Varatouch Technology Inc, PowerSchool, Atrua Technologies Inc</v>
      </c>
    </row>
    <row r="6">
      <c r="A6" s="9">
        <v>3</v>
      </c>
      <c r="B6" s="11">
        <v>1496</v>
      </c>
      <c r="C6" s="10" t="str">
        <v>Data Items</v>
      </c>
      <c r="D6" s="6" t="str">
        <v>Acquiror Nation</v>
      </c>
      <c r="E6" s="10" t="str">
        <v>Include</v>
      </c>
      <c r="F6" s="6" t="str">
        <v>Name: &lt;Untitled&gt;. Values: United States</v>
      </c>
    </row>
    <row r="7">
      <c r="A7" s="9">
        <v>4</v>
      </c>
      <c r="B7" s="11">
        <v>1038</v>
      </c>
      <c r="C7" s="10" t="str">
        <v>Data Items</v>
      </c>
      <c r="D7" s="6" t="str">
        <v>Target Nation</v>
      </c>
      <c r="E7" s="10" t="str">
        <v>Include</v>
      </c>
      <c r="F7" s="6" t="str">
        <v>Name: &lt;Untitled&gt;. Values: United States</v>
      </c>
    </row>
    <row r="8">
      <c r="A8" s="9">
        <v>5</v>
      </c>
      <c r="B8" s="11">
        <v>838</v>
      </c>
      <c r="C8" s="10" t="str">
        <v>Data Items</v>
      </c>
      <c r="D8" s="6" t="str">
        <v>Deal Status</v>
      </c>
      <c r="E8" s="10" t="str">
        <v>Include</v>
      </c>
      <c r="F8" s="6" t="str">
        <v>Name: &lt;Untitled&gt;. Values: Unconditional, Completed</v>
      </c>
    </row>
    <row r="9">
      <c r="A9" s="9">
        <v>6</v>
      </c>
      <c r="B9" s="11">
        <v>725</v>
      </c>
      <c r="C9" s="10" t="str">
        <v>Data Items</v>
      </c>
      <c r="D9" s="6" t="str">
        <v>Target High Tech Industry</v>
      </c>
      <c r="E9" s="10" t="str">
        <v>Include</v>
      </c>
      <c r="F9" s="6" t="str">
        <v>Name: &lt;Untitled&gt;. Values: Robotics, Other High Technology Industry, Advanced Manufacturing Systems, Defense Related, Advanced Materials, Satellites (Non-Communications), Propulsion Systems, Nuclear(Excluding Medical), Lasers(Excluding Medical), Workstations, Printers, Portable Computers, Other Peripherals, Data Processing Services, Other Computer Related Svcs, Computer Consulting Services, Programming Services, Other Software (inq. Games), Utilities/File Mgmt Software, Communication/Network Software, Desktop Publishing, Applications Software(Home), Applications Software(Business, Operating Systems, Database Software/Programming, Modems, Scanning Devices, Monitors/Terminals, Networking Systems (LAN,WAN), CD Rom Drives, Disk Drives, Other Computer Systems, CAD/CAM/CAE/Graphics Systems, Turnkey Systems, Micro-Computers (PCs), Mainframes &amp; Super Computers, Healthcare Services, General Med. Instruments/Supp., Medical Monitoring Systems, Artificial Organs/Limbs, Rehabilitation Equipment, Lab Equipment, Surgical Instruments/Equipment, Medical Imaging Systems, Medical Lasers, Other Biotechnology, Research &amp; Development Firm, Blood Derivatives, Drug Delivery Sys(Not IV Sys), Medicinal Chemicals, Nuclear Medicines, Over-The-Counter Drugs, General Pharmaceuticals, Vaccines/Specialty Drugs, Genetically Eng. Prod(Animal), Genetically Eng. Prod(Human), In-Vitro Diagnostic Products, In-Vivo Diagnostic Products, Internet Services &amp; Software, Other Telecommunications Equip, Data Commun(Exclude networking, Facsimile Equipment, Alarm Systems, Microwave Communications, Satellite Communications, Cellular Communications, Messaging Systems, Telephone Interconnect Equip, Telecommunications Equipment, Semiconductors, Other Electronics, Search, Detection, Navigation, Process Control Systems, Printed Circuit Boards, Superconductors, Precision/Measuring Test Equip</v>
      </c>
    </row>
    <row r="10">
      <c r="A10" s="9">
        <v>7</v>
      </c>
      <c r="B10" s="11">
        <v>725</v>
      </c>
      <c r="C10" s="10" t="str">
        <v>Output</v>
      </c>
      <c r="D10" s="6" t="str">
        <v>Report: sdc_report (Columnar Grid)</v>
      </c>
      <c r="F10" s="6" t="str">
        <v/>
      </c>
    </row>
    <row r="11">
      <c r="D11" s="6" t="str">
        <v>Billing Ref # : 10511677</v>
      </c>
    </row>
    <row r="12">
      <c r="D12" s="6" t="str">
        <v>Capture File : business@uc3m.es.10511677</v>
      </c>
    </row>
    <row r="13">
      <c r="D13" s="6" t="str">
        <v>Session Name: sdc_gafam_filter</v>
      </c>
    </row>
  </sheetData>
  <ignoredErrors>
    <ignoredError numberStoredAsText="1" sqref="A1:F13"/>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vt:i4>
      </vt:variant>
    </vt:vector>
  </HeadingPairs>
  <TitlesOfParts>
    <vt:vector size="2" baseType="lpstr">
      <vt:lpstr>Request 7</vt:lpstr>
      <vt:lpstr>Session 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