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1654" documentId="8_{F53C90D2-0365-4FFE-B83C-A64B747E4A0D}" xr6:coauthVersionLast="47" xr6:coauthVersionMax="47" xr10:uidLastSave="{7C42A7E2-4393-41A2-AA4A-7A71B064E526}"/>
  <bookViews>
    <workbookView xWindow="-90" yWindow="0" windowWidth="12660" windowHeight="16010" firstSheet="5" activeTab="7" xr2:uid="{61C2BC6E-EE60-412D-B102-A7A420EF0676}"/>
  </bookViews>
  <sheets>
    <sheet name="1" sheetId="1" r:id="rId1"/>
    <sheet name="2" sheetId="2" r:id="rId2"/>
    <sheet name="3" sheetId="3" r:id="rId3"/>
    <sheet name="4" sheetId="4" r:id="rId4"/>
    <sheet name="14" sheetId="5" r:id="rId5"/>
    <sheet name="10" sheetId="10" r:id="rId6"/>
    <sheet name="16" sheetId="11" r:id="rId7"/>
    <sheet name="9" sheetId="6" r:id="rId8"/>
    <sheet name="15" sheetId="12" r:id="rId9"/>
    <sheet name="5" sheetId="13" r:id="rId10"/>
    <sheet name="6" sheetId="14" r:id="rId11"/>
    <sheet name="7" sheetId="8" r:id="rId12"/>
    <sheet name="8" sheetId="9" r:id="rId1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6" l="1"/>
  <c r="D73" i="6"/>
  <c r="D75" i="6"/>
  <c r="D74" i="6"/>
  <c r="D72" i="6"/>
  <c r="D68" i="6"/>
  <c r="D67" i="6"/>
  <c r="D66" i="6"/>
  <c r="D64" i="6"/>
  <c r="D63" i="6"/>
  <c r="D62" i="6"/>
  <c r="D60" i="6"/>
  <c r="D54" i="6"/>
  <c r="G51" i="6"/>
  <c r="D49" i="6"/>
  <c r="D50" i="6"/>
  <c r="D51" i="6"/>
  <c r="D52" i="6"/>
  <c r="D48" i="6"/>
  <c r="C50" i="6"/>
  <c r="C41" i="6"/>
  <c r="I28" i="6"/>
  <c r="F30" i="6"/>
  <c r="I30" i="6"/>
  <c r="I29" i="6"/>
  <c r="I27" i="6"/>
  <c r="I25" i="6"/>
  <c r="I23" i="6"/>
  <c r="I24" i="6"/>
  <c r="I21" i="6"/>
  <c r="I20" i="6"/>
  <c r="I19" i="6"/>
  <c r="I17" i="6"/>
  <c r="A12" i="6"/>
  <c r="F28" i="6"/>
  <c r="F29" i="6"/>
  <c r="F27" i="6"/>
  <c r="F25" i="6"/>
  <c r="F24" i="6"/>
  <c r="F23" i="6"/>
  <c r="F21" i="6"/>
  <c r="F19" i="6"/>
  <c r="F20" i="6"/>
  <c r="F17" i="6"/>
  <c r="A13" i="6"/>
  <c r="D13" i="6"/>
  <c r="D12" i="6"/>
  <c r="G47" i="11"/>
  <c r="F47" i="11"/>
  <c r="G51" i="11"/>
  <c r="F51" i="11"/>
  <c r="G58" i="11"/>
  <c r="F58" i="11"/>
  <c r="G42" i="11"/>
  <c r="F42" i="11"/>
  <c r="H57" i="11"/>
  <c r="G57" i="11"/>
  <c r="F57" i="11"/>
  <c r="E57" i="11"/>
  <c r="D57" i="11"/>
  <c r="H50" i="11"/>
  <c r="G50" i="11"/>
  <c r="F50" i="11"/>
  <c r="E50" i="11"/>
  <c r="D50" i="11"/>
  <c r="D49" i="11"/>
  <c r="H46" i="11"/>
  <c r="G46" i="11"/>
  <c r="F46" i="11"/>
  <c r="E46" i="11"/>
  <c r="D46" i="11"/>
  <c r="E45" i="11"/>
  <c r="D41" i="11"/>
  <c r="E41" i="11"/>
  <c r="H41" i="11" s="1"/>
  <c r="H32" i="11"/>
  <c r="G41" i="11"/>
  <c r="F41" i="11"/>
  <c r="G37" i="11"/>
  <c r="F37" i="11"/>
  <c r="E37" i="11"/>
  <c r="D37" i="11"/>
  <c r="E35" i="11"/>
  <c r="F35" i="11"/>
  <c r="G35" i="11"/>
  <c r="D35" i="11"/>
  <c r="H27" i="11"/>
  <c r="G27" i="11"/>
  <c r="F27" i="11"/>
  <c r="E27" i="11"/>
  <c r="D27" i="11"/>
  <c r="H20" i="11"/>
  <c r="G20" i="11"/>
  <c r="F20" i="11"/>
  <c r="E20" i="11"/>
  <c r="D20" i="11"/>
  <c r="D19" i="11"/>
  <c r="G17" i="11"/>
  <c r="F17" i="11"/>
  <c r="H17" i="11" s="1"/>
  <c r="D17" i="11"/>
  <c r="E17" i="11"/>
  <c r="E16" i="11"/>
  <c r="H4" i="11"/>
  <c r="G12" i="11"/>
  <c r="F12" i="11"/>
  <c r="H12" i="11" s="1"/>
  <c r="D12" i="11"/>
  <c r="E12" i="11"/>
  <c r="E95" i="10"/>
  <c r="E94" i="10"/>
  <c r="D95" i="10"/>
  <c r="D94" i="10"/>
  <c r="D91" i="10"/>
  <c r="D89" i="10"/>
  <c r="D87" i="10"/>
  <c r="D74" i="10"/>
  <c r="E74" i="10"/>
  <c r="F73" i="10"/>
  <c r="F71" i="10"/>
  <c r="F69" i="10"/>
  <c r="E71" i="10"/>
  <c r="D71" i="10"/>
  <c r="E69" i="10"/>
  <c r="D69" i="10"/>
  <c r="E66" i="10"/>
  <c r="E68" i="10" s="1"/>
  <c r="D66" i="10"/>
  <c r="E67" i="10"/>
  <c r="D67" i="10"/>
  <c r="E53" i="10"/>
  <c r="D53" i="10"/>
  <c r="D70" i="10"/>
  <c r="E70" i="10"/>
  <c r="E63" i="10"/>
  <c r="D63" i="10"/>
  <c r="D58" i="10"/>
  <c r="F72" i="10" s="1"/>
  <c r="F38" i="10"/>
  <c r="F30" i="10"/>
  <c r="F33" i="10" s="1"/>
  <c r="F34" i="10" s="1"/>
  <c r="E38" i="10"/>
  <c r="E30" i="10"/>
  <c r="E33" i="10" s="1"/>
  <c r="E34" i="10" s="1"/>
  <c r="D38" i="10"/>
  <c r="D30" i="10"/>
  <c r="D33" i="10" s="1"/>
  <c r="D34" i="10" s="1"/>
  <c r="E39" i="10"/>
  <c r="F39" i="10"/>
  <c r="D39" i="10"/>
  <c r="D37" i="10"/>
  <c r="D21" i="10"/>
  <c r="D19" i="10"/>
  <c r="C11" i="4"/>
  <c r="D77" i="5"/>
  <c r="D76" i="5"/>
  <c r="D75" i="5"/>
  <c r="D74" i="5"/>
  <c r="D72" i="5"/>
  <c r="D73" i="5"/>
  <c r="C69" i="5"/>
  <c r="C66" i="5"/>
  <c r="C56" i="5"/>
  <c r="C54" i="5"/>
  <c r="C52" i="5"/>
  <c r="C51" i="5"/>
  <c r="C38" i="5"/>
  <c r="D40" i="5"/>
  <c r="D32" i="5"/>
  <c r="D30" i="5"/>
  <c r="D29" i="5"/>
  <c r="C37" i="5"/>
  <c r="C26" i="5"/>
  <c r="C24" i="5"/>
  <c r="C23" i="5"/>
  <c r="C14" i="5"/>
  <c r="C13" i="5"/>
  <c r="D45" i="9"/>
  <c r="D46" i="9" s="1"/>
  <c r="D37" i="9"/>
  <c r="D36" i="9"/>
  <c r="F32" i="9"/>
  <c r="F30" i="9"/>
  <c r="D35" i="9"/>
  <c r="D34" i="9"/>
  <c r="E30" i="9"/>
  <c r="F31" i="9"/>
  <c r="F28" i="9"/>
  <c r="F27" i="9"/>
  <c r="D27" i="9"/>
  <c r="D24" i="9"/>
  <c r="D23" i="9"/>
  <c r="D22" i="9"/>
  <c r="D21" i="9"/>
  <c r="J16" i="9"/>
  <c r="J19" i="9"/>
  <c r="G19" i="9"/>
  <c r="D19" i="9"/>
  <c r="J18" i="9"/>
  <c r="J17" i="9"/>
  <c r="G18" i="9"/>
  <c r="G17" i="9"/>
  <c r="G16" i="9"/>
  <c r="D18" i="9"/>
  <c r="D17" i="9"/>
  <c r="D16" i="9"/>
  <c r="H39" i="8"/>
  <c r="G39" i="8"/>
  <c r="H37" i="8"/>
  <c r="G37" i="8"/>
  <c r="F37" i="8"/>
  <c r="E37" i="8"/>
  <c r="D37" i="8"/>
  <c r="D31" i="8"/>
  <c r="D32" i="8" s="1"/>
  <c r="D30" i="8"/>
  <c r="D19" i="8"/>
  <c r="D21" i="8" s="1"/>
  <c r="D18" i="8"/>
  <c r="E4" i="8"/>
  <c r="F5" i="8" s="1"/>
  <c r="F7" i="8" s="1"/>
  <c r="D4" i="8"/>
  <c r="E5" i="8" s="1"/>
  <c r="E7" i="8" s="1"/>
  <c r="D9" i="5"/>
  <c r="D8" i="5"/>
  <c r="D7" i="5"/>
  <c r="C6" i="4"/>
  <c r="D4" i="4"/>
  <c r="D3" i="4"/>
  <c r="C59" i="3"/>
  <c r="C60" i="3"/>
  <c r="C58" i="3"/>
  <c r="C57" i="3"/>
  <c r="C56" i="3"/>
  <c r="C55" i="3"/>
  <c r="C54" i="3"/>
  <c r="C53" i="3"/>
  <c r="C52" i="3"/>
  <c r="C50" i="3"/>
  <c r="C49" i="3"/>
  <c r="C47" i="3"/>
  <c r="C42" i="3"/>
  <c r="D37" i="3"/>
  <c r="C37" i="3"/>
  <c r="D36" i="3"/>
  <c r="C36" i="3"/>
  <c r="D29" i="3"/>
  <c r="D27" i="3"/>
  <c r="D26" i="3"/>
  <c r="D28" i="3"/>
  <c r="D23" i="3"/>
  <c r="D22" i="3"/>
  <c r="D21" i="3"/>
  <c r="D20" i="3"/>
  <c r="D19" i="3"/>
  <c r="D18" i="3"/>
  <c r="D17" i="3"/>
  <c r="C20" i="2"/>
  <c r="C24" i="2" s="1"/>
  <c r="E24" i="2"/>
  <c r="D24" i="2"/>
  <c r="D21" i="2"/>
  <c r="D20" i="2"/>
  <c r="D13" i="2"/>
  <c r="C13" i="2"/>
  <c r="D12" i="2"/>
  <c r="C29" i="1"/>
  <c r="D23" i="1"/>
  <c r="E21" i="1"/>
  <c r="D21" i="1"/>
  <c r="E23" i="1" s="1"/>
  <c r="E12" i="1"/>
  <c r="D12" i="1"/>
  <c r="C12" i="1"/>
  <c r="D68" i="10" l="1"/>
  <c r="F67" i="10"/>
  <c r="G39" i="10"/>
  <c r="D40" i="10" s="1"/>
  <c r="D41" i="10" s="1"/>
  <c r="D42" i="10" s="1"/>
  <c r="F63" i="10"/>
  <c r="F70" i="10"/>
  <c r="F66" i="10"/>
  <c r="D7" i="8"/>
  <c r="E40" i="10" l="1"/>
  <c r="E41" i="10" s="1"/>
  <c r="E42" i="10" s="1"/>
  <c r="F40" i="10"/>
  <c r="F41" i="10" s="1"/>
  <c r="F42" i="10" s="1"/>
  <c r="F68" i="10"/>
</calcChain>
</file>

<file path=xl/sharedStrings.xml><?xml version="1.0" encoding="utf-8"?>
<sst xmlns="http://schemas.openxmlformats.org/spreadsheetml/2006/main" count="560" uniqueCount="387">
  <si>
    <t>300 glazed</t>
  </si>
  <si>
    <t>250 jelly</t>
  </si>
  <si>
    <t>200 chocolate</t>
  </si>
  <si>
    <t>sell</t>
  </si>
  <si>
    <t>make</t>
  </si>
  <si>
    <t>1.5 * 250</t>
  </si>
  <si>
    <t>1.2 * 350</t>
  </si>
  <si>
    <t>a</t>
  </si>
  <si>
    <t>Angela would like to maximize profits</t>
  </si>
  <si>
    <t>b</t>
  </si>
  <si>
    <t>Angela could either keep the same production amounts, or produce 100 more jelly donuts and 100 less chocolate donuts or increase the price of jelly donuts</t>
  </si>
  <si>
    <t>c</t>
  </si>
  <si>
    <t>d</t>
  </si>
  <si>
    <t>she should raise the price to make this cash flow 445</t>
  </si>
  <si>
    <t>2 because the value is greater than opportunity cost</t>
  </si>
  <si>
    <t>Sunk costs don't affect opportunity costs</t>
  </si>
  <si>
    <t>underage/overage, opportunity cost</t>
  </si>
  <si>
    <t>Passengers would prefer to be bumped if the value is greater than their opportunity cost</t>
  </si>
  <si>
    <t>Maximized value</t>
  </si>
  <si>
    <t>They incur the cost of potential lost future sales to dissatisfied customers</t>
  </si>
  <si>
    <t>A</t>
  </si>
  <si>
    <t>B</t>
  </si>
  <si>
    <t>C</t>
  </si>
  <si>
    <t>No, it is equivalent for each class</t>
  </si>
  <si>
    <t>The text is cheaper and same time/grading</t>
  </si>
  <si>
    <t>A and C have different times but A and B are the same. Important to factor in opportunity costs and relevant scheduling</t>
  </si>
  <si>
    <t>exp</t>
  </si>
  <si>
    <t>rev</t>
  </si>
  <si>
    <t>The salary is better at job 2 but more risky because commission based, transportation costs are equal, commisions greater in 2 but less in 1, rent and utilities equal</t>
  </si>
  <si>
    <t>Olivia should work job 2</t>
  </si>
  <si>
    <t>fixed costs</t>
  </si>
  <si>
    <t>exp rev</t>
  </si>
  <si>
    <t>add rev</t>
  </si>
  <si>
    <t>sold rev</t>
  </si>
  <si>
    <t>relevant costs</t>
  </si>
  <si>
    <t>Buy the new one and sell the old one because this is the option with the highest value</t>
  </si>
  <si>
    <t>controllable costs</t>
  </si>
  <si>
    <t>everything but 300k original fixed costs and 0 salvage</t>
  </si>
  <si>
    <t>same</t>
  </si>
  <si>
    <t>if not status quo then just the costs of selling or keeping the original lathe are relevant and controllable</t>
  </si>
  <si>
    <t>COGM = Beg WIP - End WIP + Overhead + DL + direct materials</t>
  </si>
  <si>
    <t xml:space="preserve">COGS = Beg WIP - End WIP + Overhead + DL + direct materials + beg inventory - end inventory </t>
  </si>
  <si>
    <t>DM beg</t>
  </si>
  <si>
    <t>DM end</t>
  </si>
  <si>
    <t>Beg WIP</t>
  </si>
  <si>
    <t>End WIP</t>
  </si>
  <si>
    <t>Beg FG inv</t>
  </si>
  <si>
    <t>End FG inv</t>
  </si>
  <si>
    <t>manf costs</t>
  </si>
  <si>
    <t>sga</t>
  </si>
  <si>
    <t>cost DM</t>
  </si>
  <si>
    <t>cost DL</t>
  </si>
  <si>
    <t>manf overhead</t>
  </si>
  <si>
    <t>prime costs</t>
  </si>
  <si>
    <t>e</t>
  </si>
  <si>
    <t>conv costs</t>
  </si>
  <si>
    <t>f</t>
  </si>
  <si>
    <t>COGM</t>
  </si>
  <si>
    <t>g</t>
  </si>
  <si>
    <t>COGS</t>
  </si>
  <si>
    <t>DM issued</t>
  </si>
  <si>
    <t>prime costs = DM + DL</t>
  </si>
  <si>
    <t>COGS = manf overhead + DL + DM + beg inv - end inv + beg WIP - end WIP</t>
  </si>
  <si>
    <t>conv cost = DL + manf overhead</t>
  </si>
  <si>
    <t>cost materials</t>
  </si>
  <si>
    <t>beg wip</t>
  </si>
  <si>
    <t>reg</t>
  </si>
  <si>
    <t>deluxe</t>
  </si>
  <si>
    <t>raw materials used</t>
  </si>
  <si>
    <t>DL</t>
  </si>
  <si>
    <t>end wip</t>
  </si>
  <si>
    <t>materials beg</t>
  </si>
  <si>
    <t>materials end</t>
  </si>
  <si>
    <t>mater prod</t>
  </si>
  <si>
    <t>wip beg</t>
  </si>
  <si>
    <t>wip end</t>
  </si>
  <si>
    <t>fin goods beg</t>
  </si>
  <si>
    <t>margin</t>
  </si>
  <si>
    <t>sga exp</t>
  </si>
  <si>
    <t>materials purchased</t>
  </si>
  <si>
    <t>DM to production</t>
  </si>
  <si>
    <t>overhead</t>
  </si>
  <si>
    <t>h</t>
  </si>
  <si>
    <t>i</t>
  </si>
  <si>
    <t>fin good end</t>
  </si>
  <si>
    <t>m</t>
  </si>
  <si>
    <t>c = 2.5x + 15000</t>
  </si>
  <si>
    <t>total budget</t>
  </si>
  <si>
    <t>fixed ov</t>
  </si>
  <si>
    <t>machine hours</t>
  </si>
  <si>
    <t>var ov rate</t>
  </si>
  <si>
    <t>fixed ov rate</t>
  </si>
  <si>
    <t>total ov rate</t>
  </si>
  <si>
    <t>units beg</t>
  </si>
  <si>
    <t>units produced</t>
  </si>
  <si>
    <t>units sold</t>
  </si>
  <si>
    <t>price</t>
  </si>
  <si>
    <t>fixed manf costs</t>
  </si>
  <si>
    <t>fixed sga</t>
  </si>
  <si>
    <t>var manf costs</t>
  </si>
  <si>
    <t>var sga</t>
  </si>
  <si>
    <t>variable costing</t>
  </si>
  <si>
    <t>absorption costing</t>
  </si>
  <si>
    <t>only include variable costs as variable costs, then subtract whole fixed costs</t>
  </si>
  <si>
    <t>labor costs</t>
  </si>
  <si>
    <t>batches made</t>
  </si>
  <si>
    <t>batches sold</t>
  </si>
  <si>
    <t>var costs</t>
  </si>
  <si>
    <t>var costing</t>
  </si>
  <si>
    <t>profit</t>
  </si>
  <si>
    <t>windows</t>
  </si>
  <si>
    <t>February</t>
  </si>
  <si>
    <t>March</t>
  </si>
  <si>
    <t>April</t>
  </si>
  <si>
    <t>Desired ending inventory</t>
  </si>
  <si>
    <t>Beg Inventory</t>
  </si>
  <si>
    <t>Budgeted Sales</t>
  </si>
  <si>
    <t>Budgeted Production</t>
  </si>
  <si>
    <t>expected sales</t>
  </si>
  <si>
    <t>current inventory</t>
  </si>
  <si>
    <t>pounds/unit</t>
  </si>
  <si>
    <t>pounds</t>
  </si>
  <si>
    <t>end pounds</t>
  </si>
  <si>
    <t>vases made</t>
  </si>
  <si>
    <t>end inventory</t>
  </si>
  <si>
    <t>pounds made</t>
  </si>
  <si>
    <t>budgeted pounds purchased</t>
  </si>
  <si>
    <t>hours/unit</t>
  </si>
  <si>
    <t>pay/hour</t>
  </si>
  <si>
    <t>budgeted units made</t>
  </si>
  <si>
    <t>budgeted hours</t>
  </si>
  <si>
    <t>budgeted DL</t>
  </si>
  <si>
    <t>revenues</t>
  </si>
  <si>
    <t>cash inflows</t>
  </si>
  <si>
    <t>members</t>
  </si>
  <si>
    <t>monthly fee</t>
  </si>
  <si>
    <t>monthly variable costs</t>
  </si>
  <si>
    <t>budg monthly fixed costs</t>
  </si>
  <si>
    <t>budgeted</t>
  </si>
  <si>
    <t>act members</t>
  </si>
  <si>
    <t>fc</t>
  </si>
  <si>
    <t>original budget</t>
  </si>
  <si>
    <t>flexible budget</t>
  </si>
  <si>
    <t>actual results</t>
  </si>
  <si>
    <t>sales volume variance</t>
  </si>
  <si>
    <t>sales price variance</t>
  </si>
  <si>
    <t>var cost variance</t>
  </si>
  <si>
    <t>fc variance</t>
  </si>
  <si>
    <t>budgeted costs</t>
  </si>
  <si>
    <t>labor</t>
  </si>
  <si>
    <t>produced</t>
  </si>
  <si>
    <t>materials used</t>
  </si>
  <si>
    <t>Materials price variance</t>
  </si>
  <si>
    <t>Materials Quantity variance</t>
  </si>
  <si>
    <t>Labor price variance</t>
  </si>
  <si>
    <t>Labor efficiency quantity variance</t>
  </si>
  <si>
    <t>materials price variance</t>
  </si>
  <si>
    <t>materials quantity variance</t>
  </si>
  <si>
    <t>flexible budget quantity</t>
  </si>
  <si>
    <t>budgeted price</t>
  </si>
  <si>
    <t>actual price per pound</t>
  </si>
  <si>
    <t>1. Accounting: Information for Decision Making</t>
  </si>
  <si>
    <t>2. Identifying and Estimating Cost Benefits</t>
  </si>
  <si>
    <t>3. Cost Flows and Cost Terminology</t>
  </si>
  <si>
    <t>total monthly shipping cost = 15,320.95 + 2.446x</t>
  </si>
  <si>
    <t>budgeted overhead</t>
  </si>
  <si>
    <t>budgeted dl</t>
  </si>
  <si>
    <t>actual overhead</t>
  </si>
  <si>
    <t>actual dl</t>
  </si>
  <si>
    <t>overhead application rate</t>
  </si>
  <si>
    <t>Applied overhead</t>
  </si>
  <si>
    <t>Underapplied</t>
  </si>
  <si>
    <t>Finished goods</t>
  </si>
  <si>
    <t>Raw materials</t>
  </si>
  <si>
    <t>WIP</t>
  </si>
  <si>
    <t>overapplied</t>
  </si>
  <si>
    <t>actual - applied</t>
  </si>
  <si>
    <t>overhead applied</t>
  </si>
  <si>
    <t>rem raw materials are just variable costs</t>
  </si>
  <si>
    <t>actual ov</t>
  </si>
  <si>
    <t>percentage of ov</t>
  </si>
  <si>
    <t>Adjusted WIP</t>
  </si>
  <si>
    <t>applied manf overhead</t>
  </si>
  <si>
    <t>actual manf overhead</t>
  </si>
  <si>
    <t>finished goods inv</t>
  </si>
  <si>
    <t>raw materials inv</t>
  </si>
  <si>
    <t>WIP inv</t>
  </si>
  <si>
    <t>overapplied overhead</t>
  </si>
  <si>
    <t>final COGS</t>
  </si>
  <si>
    <t>percent to COGS</t>
  </si>
  <si>
    <t>Adjusted COGS value</t>
  </si>
  <si>
    <t>dm beg</t>
  </si>
  <si>
    <t>dm end</t>
  </si>
  <si>
    <t>WIP beg</t>
  </si>
  <si>
    <t>WIP end</t>
  </si>
  <si>
    <t>finished goods beg</t>
  </si>
  <si>
    <t>finished goods end</t>
  </si>
  <si>
    <t>dm issued to prod</t>
  </si>
  <si>
    <t>total manf costs</t>
  </si>
  <si>
    <t>dl</t>
  </si>
  <si>
    <t>COG available for sale</t>
  </si>
  <si>
    <t>Actual overhead</t>
  </si>
  <si>
    <t>raw materials purchased</t>
  </si>
  <si>
    <t xml:space="preserve">dl </t>
  </si>
  <si>
    <t>overhead under/overapplied</t>
  </si>
  <si>
    <t>COGS final</t>
  </si>
  <si>
    <t>use linear regression tool</t>
  </si>
  <si>
    <t>units/batch</t>
  </si>
  <si>
    <t>unit cost</t>
  </si>
  <si>
    <t>vc/unit</t>
  </si>
  <si>
    <t>ABC ov/unit</t>
  </si>
  <si>
    <t>overhead/batch</t>
  </si>
  <si>
    <t>product level costs</t>
  </si>
  <si>
    <t>target volume</t>
  </si>
  <si>
    <t>variety a</t>
  </si>
  <si>
    <t>variety b</t>
  </si>
  <si>
    <t>variety c</t>
  </si>
  <si>
    <t>max batch size</t>
  </si>
  <si>
    <t>old total cost</t>
  </si>
  <si>
    <t>new total cost</t>
  </si>
  <si>
    <t>hand held</t>
  </si>
  <si>
    <t>estate</t>
  </si>
  <si>
    <t>lawn</t>
  </si>
  <si>
    <t>units</t>
  </si>
  <si>
    <t>price/unit</t>
  </si>
  <si>
    <t>var cost/unit</t>
  </si>
  <si>
    <t>labor hours/unit</t>
  </si>
  <si>
    <t>batch size</t>
  </si>
  <si>
    <t>ov/unit</t>
  </si>
  <si>
    <t>profit margin per unit</t>
  </si>
  <si>
    <t>profit margin total</t>
  </si>
  <si>
    <t>overhead labor related</t>
  </si>
  <si>
    <t>overhead batch related</t>
  </si>
  <si>
    <t>ov/unit labor</t>
  </si>
  <si>
    <t>ov/unit batch</t>
  </si>
  <si>
    <t>batches</t>
  </si>
  <si>
    <t>profit margin/unit</t>
  </si>
  <si>
    <t>standard</t>
  </si>
  <si>
    <t>units/year</t>
  </si>
  <si>
    <t>price per unit</t>
  </si>
  <si>
    <t>materials</t>
  </si>
  <si>
    <t>total overhead</t>
  </si>
  <si>
    <t>ov per unit by labor hours</t>
  </si>
  <si>
    <t>ov labor</t>
  </si>
  <si>
    <t>ov batch</t>
  </si>
  <si>
    <t>ov product level</t>
  </si>
  <si>
    <t>other</t>
  </si>
  <si>
    <t>Income Statement</t>
  </si>
  <si>
    <t>total</t>
  </si>
  <si>
    <t>expenses</t>
  </si>
  <si>
    <t>revenue sales</t>
  </si>
  <si>
    <t>labor ov</t>
  </si>
  <si>
    <t>batch ov</t>
  </si>
  <si>
    <t>product ov</t>
  </si>
  <si>
    <t>product profit</t>
  </si>
  <si>
    <t>profit per unit</t>
  </si>
  <si>
    <t>total profit</t>
  </si>
  <si>
    <t>that she might wish to deemphasize the production of standard frames or raise the prices since the margins are much higher on the deluxe frames</t>
  </si>
  <si>
    <t>regular room rate</t>
  </si>
  <si>
    <t>var cost</t>
  </si>
  <si>
    <t>3 days</t>
  </si>
  <si>
    <t>1 day</t>
  </si>
  <si>
    <t>room maintenance</t>
  </si>
  <si>
    <t>Check in</t>
  </si>
  <si>
    <t>check out</t>
  </si>
  <si>
    <t>concierge days 1-3</t>
  </si>
  <si>
    <t>concierge days 4+</t>
  </si>
  <si>
    <t>Avg guest spending meals</t>
  </si>
  <si>
    <t>var cost of above</t>
  </si>
  <si>
    <t>Misc guest sp short term</t>
  </si>
  <si>
    <t>stay</t>
  </si>
  <si>
    <t>Misc guest sp long term</t>
  </si>
  <si>
    <t>12 day stay (long)</t>
  </si>
  <si>
    <t>2 day stay (short)</t>
  </si>
  <si>
    <t>daily margin</t>
  </si>
  <si>
    <t>She can offer a heavy discount of the long term stay since the clientele is more focused on spending at the hotel than paying for a room. On the other side, though, these customers may see the hotel as cheap and go elsewhere. In that case, she should increase her regular room rate</t>
  </si>
  <si>
    <t>HR</t>
  </si>
  <si>
    <t>General Administration</t>
  </si>
  <si>
    <t>Facilities Maintenance</t>
  </si>
  <si>
    <t>Parks and rec</t>
  </si>
  <si>
    <t>Initial cost in pool</t>
  </si>
  <si>
    <t>Service consumption pattern</t>
  </si>
  <si>
    <t>services provided by HR</t>
  </si>
  <si>
    <t>services provided by General administration</t>
  </si>
  <si>
    <t>consumed by:</t>
  </si>
  <si>
    <t>Final balances</t>
  </si>
  <si>
    <t>direct method</t>
  </si>
  <si>
    <t>step down method</t>
  </si>
  <si>
    <t>Management Accounting Practice Problems</t>
  </si>
  <si>
    <t>HR then General Administration</t>
  </si>
  <si>
    <t>after first step</t>
  </si>
  <si>
    <t>GA then HR</t>
  </si>
  <si>
    <t>reciprocal method</t>
  </si>
  <si>
    <t xml:space="preserve">GA = 60000 + 0.4 * HR </t>
  </si>
  <si>
    <t>HR = 103000 + 0.2 * GA</t>
  </si>
  <si>
    <t>solved amounts</t>
  </si>
  <si>
    <t>Maintenance</t>
  </si>
  <si>
    <t>Administration</t>
  </si>
  <si>
    <t>Limo</t>
  </si>
  <si>
    <t>Shuttle</t>
  </si>
  <si>
    <t>Initial Cost in Pool</t>
  </si>
  <si>
    <t>service consumption pattern</t>
  </si>
  <si>
    <t>provided by Maintenance</t>
  </si>
  <si>
    <t>provided by Administration</t>
  </si>
  <si>
    <t>hours</t>
  </si>
  <si>
    <t>people</t>
  </si>
  <si>
    <t>percentage</t>
  </si>
  <si>
    <t>Expected hours offered</t>
  </si>
  <si>
    <t>final balances</t>
  </si>
  <si>
    <t>hourly rate</t>
  </si>
  <si>
    <t>step down maintenance then administration</t>
  </si>
  <si>
    <t>step down administration then maintenance</t>
  </si>
  <si>
    <t>M = 94000 + 0.1 * A</t>
  </si>
  <si>
    <t>A = 50000 + 0.1 * M</t>
  </si>
  <si>
    <t>the hourly costs are all pretty similar because they are all calculated from patitioning of maintenance and administration services but with slightly difference amounts</t>
  </si>
  <si>
    <t>4. Techniques for Estimating Fixed and Variable Costs</t>
  </si>
  <si>
    <t>14. Job Costing</t>
  </si>
  <si>
    <t>10. Activity-Based Costing and Management</t>
  </si>
  <si>
    <t>16. Support Department Activity</t>
  </si>
  <si>
    <t>9. Cost Allocations: Theory and Applications</t>
  </si>
  <si>
    <t>15. Process Costing</t>
  </si>
  <si>
    <t>5. Cost-Volume-Profit Analysis</t>
  </si>
  <si>
    <t>6. Decision-Making in the Short Term</t>
  </si>
  <si>
    <t>7. Operating Budgets: Bridging Planning and Control</t>
  </si>
  <si>
    <t>8. Budgetary Control and Variance Analysis</t>
  </si>
  <si>
    <t>variable costing profit</t>
  </si>
  <si>
    <t>absorption costing profit</t>
  </si>
  <si>
    <t>cost of ending inventory</t>
  </si>
  <si>
    <t>that but adjust fixed manf costs and only report percent of that used but still subtract fixed sga whole</t>
  </si>
  <si>
    <t>difference is the lack of including the fixed costs associated with unsold 400 units in costing</t>
  </si>
  <si>
    <t>tiles per batch</t>
  </si>
  <si>
    <t>contribution margin statement</t>
  </si>
  <si>
    <t>revenue</t>
  </si>
  <si>
    <t>var COGS</t>
  </si>
  <si>
    <t>var SG&amp;A</t>
  </si>
  <si>
    <t>materials cost</t>
  </si>
  <si>
    <t>var sg&amp;a</t>
  </si>
  <si>
    <t>contribution margin</t>
  </si>
  <si>
    <t>fixed manf</t>
  </si>
  <si>
    <t>fixed sg&amp;a</t>
  </si>
  <si>
    <t>operating income</t>
  </si>
  <si>
    <t>inventory</t>
  </si>
  <si>
    <t>units in ending inventory</t>
  </si>
  <si>
    <t>value per unit</t>
  </si>
  <si>
    <t>value of ending inventory</t>
  </si>
  <si>
    <t>so operating income you subtract appropriate var costs then subtract entire fixed costs</t>
  </si>
  <si>
    <t>and value of ending inventory you just multiply # leftover units by the sum of their var costs but rem not with SG&amp;A</t>
  </si>
  <si>
    <t>allocated fixed manf costs</t>
  </si>
  <si>
    <t>gross margin</t>
  </si>
  <si>
    <t>period costs</t>
  </si>
  <si>
    <t>GAAP gross margin statement</t>
  </si>
  <si>
    <t>non-GAAP contribution margin statement</t>
  </si>
  <si>
    <t>inventoriable cost per unit</t>
  </si>
  <si>
    <t>diff</t>
  </si>
  <si>
    <t>profit you allocate appropriate manf overhead expenses to subtract from revenue instead of enitre manf overhead</t>
  </si>
  <si>
    <t>and value of ending inventory you add the unallocated overhead expenses to this</t>
  </si>
  <si>
    <t xml:space="preserve">reported income is higher with absorption costing when regular units sold in a period because the cost of units sold absorbs only the appropriate amount (in this case less than) of cost </t>
  </si>
  <si>
    <t>initial fare</t>
  </si>
  <si>
    <t>extra fee</t>
  </si>
  <si>
    <t>final fare</t>
  </si>
  <si>
    <t>he should allocate these costs of 400 to school 1 and 100 to school 2 because he was already to be reimbursed 400 from school 1. the additional cost to school 2 is just the $100 penalty</t>
  </si>
  <si>
    <t>Sales volume</t>
  </si>
  <si>
    <t>per unit</t>
  </si>
  <si>
    <t>sg&amp;a</t>
  </si>
  <si>
    <t>profit before taxes</t>
  </si>
  <si>
    <t>end of March</t>
  </si>
  <si>
    <t>allocated fixed manf overhead</t>
  </si>
  <si>
    <t>units producted April</t>
  </si>
  <si>
    <t>var manf cost</t>
  </si>
  <si>
    <t>val of end inventory</t>
  </si>
  <si>
    <t>end of April units</t>
  </si>
  <si>
    <t>Cost of these goods</t>
  </si>
  <si>
    <t>the profit is higher under absorption costing because quick test sold more units than it produced. This means that the expenses are lower and that # sold &lt; # made so less cost is absorbed rather than assuming # sold = # made</t>
  </si>
  <si>
    <t>var costing income</t>
  </si>
  <si>
    <t>fixed ov ending inventory</t>
  </si>
  <si>
    <t>fixed ov opening inv</t>
  </si>
  <si>
    <t>abs costing income</t>
  </si>
  <si>
    <t>business class</t>
  </si>
  <si>
    <t>2nd b class ticket</t>
  </si>
  <si>
    <t>daily hotel</t>
  </si>
  <si>
    <t>alternative 2nd b class price</t>
  </si>
  <si>
    <t>daily meals</t>
  </si>
  <si>
    <t>or</t>
  </si>
  <si>
    <t>in coach</t>
  </si>
  <si>
    <t>The company should average out the total expense to 3400 per ticket</t>
  </si>
  <si>
    <t>JP should take this offer up because the daily expenses incurred 200 + 450 &lt; 1800 the price of his wife's ticket</t>
  </si>
  <si>
    <t>In this scenario the extra day and two tickets are 1800 + 1800 + 450 + 200 = 4250 &lt; 5000 &lt; 6800 the alternative options. JP should take this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</si>
</sst>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4CF-15DA-4D15-AAC1-896A9AE704AC}">
  <dimension ref="A1:G36"/>
  <sheetViews>
    <sheetView workbookViewId="0">
      <selection activeCell="H15" sqref="H15"/>
    </sheetView>
  </sheetViews>
  <sheetFormatPr defaultRowHeight="14.5" x14ac:dyDescent="0.35"/>
  <sheetData>
    <row r="1" spans="1:7" x14ac:dyDescent="0.35">
      <c r="A1" t="s">
        <v>288</v>
      </c>
    </row>
    <row r="3" spans="1:7" x14ac:dyDescent="0.35">
      <c r="A3" t="s">
        <v>161</v>
      </c>
    </row>
    <row r="5" spans="1:7" x14ac:dyDescent="0.35">
      <c r="A5">
        <v>1.36</v>
      </c>
      <c r="C5" t="s">
        <v>3</v>
      </c>
      <c r="D5" t="s">
        <v>4</v>
      </c>
    </row>
    <row r="6" spans="1:7" x14ac:dyDescent="0.35">
      <c r="B6" t="s">
        <v>0</v>
      </c>
      <c r="C6">
        <v>0.8</v>
      </c>
      <c r="D6">
        <v>0.4</v>
      </c>
    </row>
    <row r="7" spans="1:7" x14ac:dyDescent="0.35">
      <c r="B7" t="s">
        <v>1</v>
      </c>
      <c r="C7">
        <v>1.2</v>
      </c>
      <c r="D7">
        <v>0.6</v>
      </c>
      <c r="F7" t="s">
        <v>5</v>
      </c>
      <c r="G7" t="s">
        <v>6</v>
      </c>
    </row>
    <row r="8" spans="1:7" x14ac:dyDescent="0.35">
      <c r="B8" t="s">
        <v>2</v>
      </c>
      <c r="C8">
        <v>1</v>
      </c>
      <c r="D8">
        <v>0.5</v>
      </c>
      <c r="G8">
        <v>100</v>
      </c>
    </row>
    <row r="10" spans="1:7" x14ac:dyDescent="0.35">
      <c r="B10" t="s">
        <v>7</v>
      </c>
      <c r="C10" t="s">
        <v>8</v>
      </c>
    </row>
    <row r="11" spans="1:7" x14ac:dyDescent="0.35">
      <c r="B11" t="s">
        <v>9</v>
      </c>
      <c r="C11" t="s">
        <v>10</v>
      </c>
    </row>
    <row r="12" spans="1:7" x14ac:dyDescent="0.35">
      <c r="B12" t="s">
        <v>11</v>
      </c>
      <c r="C12">
        <f>(C6-D6)*300 + (C7-D7)*250+(C8-D8)*200</f>
        <v>370</v>
      </c>
      <c r="D12">
        <f>(C6-D6)*300 + (1.5-D7)*250+(C8-D8)*200</f>
        <v>445</v>
      </c>
      <c r="E12">
        <f>(C6-D6)*300 + (C7-D7)*350+(C8-D8)*100</f>
        <v>380</v>
      </c>
    </row>
    <row r="13" spans="1:7" x14ac:dyDescent="0.35">
      <c r="B13" t="s">
        <v>12</v>
      </c>
      <c r="C13" t="s">
        <v>13</v>
      </c>
    </row>
    <row r="15" spans="1:7" x14ac:dyDescent="0.35">
      <c r="A15">
        <v>1.38</v>
      </c>
      <c r="D15">
        <v>1</v>
      </c>
      <c r="E15">
        <v>2</v>
      </c>
    </row>
    <row r="16" spans="1:7" x14ac:dyDescent="0.35">
      <c r="D16">
        <v>750</v>
      </c>
    </row>
    <row r="17" spans="1:5" x14ac:dyDescent="0.35">
      <c r="E17">
        <v>150</v>
      </c>
    </row>
    <row r="18" spans="1:5" x14ac:dyDescent="0.35">
      <c r="D18">
        <v>175</v>
      </c>
      <c r="E18">
        <v>350</v>
      </c>
    </row>
    <row r="19" spans="1:5" x14ac:dyDescent="0.35">
      <c r="D19">
        <v>125</v>
      </c>
      <c r="E19">
        <v>225</v>
      </c>
    </row>
    <row r="21" spans="1:5" x14ac:dyDescent="0.35">
      <c r="B21" t="s">
        <v>7</v>
      </c>
      <c r="D21">
        <f>(SUM(D16:D19))</f>
        <v>1050</v>
      </c>
      <c r="E21">
        <f>(SUM(E16:E19))</f>
        <v>725</v>
      </c>
    </row>
    <row r="23" spans="1:5" x14ac:dyDescent="0.35">
      <c r="B23" t="s">
        <v>9</v>
      </c>
      <c r="D23">
        <f>-E21</f>
        <v>-725</v>
      </c>
      <c r="E23">
        <f>-D21</f>
        <v>-1050</v>
      </c>
    </row>
    <row r="25" spans="1:5" x14ac:dyDescent="0.35">
      <c r="B25" t="s">
        <v>11</v>
      </c>
      <c r="C25" t="s">
        <v>14</v>
      </c>
    </row>
    <row r="27" spans="1:5" x14ac:dyDescent="0.35">
      <c r="A27">
        <v>1.41</v>
      </c>
    </row>
    <row r="28" spans="1:5" x14ac:dyDescent="0.35">
      <c r="B28" t="s">
        <v>7</v>
      </c>
      <c r="C28">
        <v>0</v>
      </c>
    </row>
    <row r="29" spans="1:5" x14ac:dyDescent="0.35">
      <c r="B29" t="s">
        <v>9</v>
      </c>
      <c r="C29">
        <f>C28+40</f>
        <v>40</v>
      </c>
    </row>
    <row r="30" spans="1:5" x14ac:dyDescent="0.35">
      <c r="B30" t="s">
        <v>11</v>
      </c>
      <c r="C30" t="s">
        <v>15</v>
      </c>
    </row>
    <row r="32" spans="1:5" x14ac:dyDescent="0.35">
      <c r="A32">
        <v>1.56</v>
      </c>
    </row>
    <row r="33" spans="2:3" x14ac:dyDescent="0.35">
      <c r="B33" t="s">
        <v>7</v>
      </c>
      <c r="C33" t="s">
        <v>16</v>
      </c>
    </row>
    <row r="34" spans="2:3" x14ac:dyDescent="0.35">
      <c r="B34" t="s">
        <v>9</v>
      </c>
      <c r="C34" t="s">
        <v>17</v>
      </c>
    </row>
    <row r="35" spans="2:3" x14ac:dyDescent="0.35">
      <c r="B35" t="s">
        <v>11</v>
      </c>
      <c r="C35" t="s">
        <v>18</v>
      </c>
    </row>
    <row r="36" spans="2:3" x14ac:dyDescent="0.35">
      <c r="B36" t="s">
        <v>12</v>
      </c>
      <c r="C36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809C-0523-4EF0-AA09-490785578CBF}">
  <dimension ref="A1"/>
  <sheetViews>
    <sheetView workbookViewId="0">
      <selection activeCell="C12" sqref="C12"/>
    </sheetView>
  </sheetViews>
  <sheetFormatPr defaultRowHeight="14.5" x14ac:dyDescent="0.35"/>
  <sheetData>
    <row r="1" spans="1:1" x14ac:dyDescent="0.35">
      <c r="A1" t="s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F0C9-E4F9-4241-BBD3-E7588556F34F}">
  <dimension ref="A1"/>
  <sheetViews>
    <sheetView workbookViewId="0">
      <selection activeCell="C8" sqref="C8"/>
    </sheetView>
  </sheetViews>
  <sheetFormatPr defaultRowHeight="14.5" x14ac:dyDescent="0.35"/>
  <sheetData>
    <row r="1" spans="1:1" x14ac:dyDescent="0.35">
      <c r="A1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50D1-BAB1-4F6B-AEAA-D91F35147040}">
  <dimension ref="A1:H39"/>
  <sheetViews>
    <sheetView workbookViewId="0">
      <selection activeCell="A2" sqref="A2"/>
    </sheetView>
  </sheetViews>
  <sheetFormatPr defaultRowHeight="14.5" x14ac:dyDescent="0.35"/>
  <sheetData>
    <row r="1" spans="1:6" x14ac:dyDescent="0.35">
      <c r="A1" t="s">
        <v>323</v>
      </c>
    </row>
    <row r="2" spans="1:6" x14ac:dyDescent="0.35">
      <c r="B2">
        <v>7.34</v>
      </c>
    </row>
    <row r="3" spans="1:6" x14ac:dyDescent="0.35">
      <c r="C3" t="s">
        <v>110</v>
      </c>
      <c r="D3" t="s">
        <v>111</v>
      </c>
      <c r="E3" t="s">
        <v>112</v>
      </c>
      <c r="F3" t="s">
        <v>113</v>
      </c>
    </row>
    <row r="4" spans="1:6" x14ac:dyDescent="0.35">
      <c r="B4" t="s">
        <v>114</v>
      </c>
      <c r="D4">
        <f>0.15*E6</f>
        <v>2250</v>
      </c>
      <c r="E4">
        <f>0.15*F6</f>
        <v>3000</v>
      </c>
      <c r="F4">
        <v>3000</v>
      </c>
    </row>
    <row r="5" spans="1:6" x14ac:dyDescent="0.35">
      <c r="B5" t="s">
        <v>115</v>
      </c>
      <c r="D5">
        <v>1500</v>
      </c>
      <c r="E5">
        <f>D4</f>
        <v>2250</v>
      </c>
      <c r="F5">
        <f>E4</f>
        <v>3000</v>
      </c>
    </row>
    <row r="6" spans="1:6" x14ac:dyDescent="0.35">
      <c r="B6" t="s">
        <v>116</v>
      </c>
      <c r="D6">
        <v>10000</v>
      </c>
      <c r="E6">
        <v>15000</v>
      </c>
      <c r="F6">
        <v>20000</v>
      </c>
    </row>
    <row r="7" spans="1:6" x14ac:dyDescent="0.35">
      <c r="B7" t="s">
        <v>117</v>
      </c>
      <c r="D7">
        <f>D4-D5+D6</f>
        <v>10750</v>
      </c>
      <c r="E7">
        <f>E4-E5+E6</f>
        <v>15750</v>
      </c>
      <c r="F7">
        <f>F4-F5+F6</f>
        <v>20000</v>
      </c>
    </row>
    <row r="9" spans="1:6" x14ac:dyDescent="0.35">
      <c r="B9">
        <v>7.37</v>
      </c>
    </row>
    <row r="11" spans="1:6" x14ac:dyDescent="0.35">
      <c r="C11" t="s">
        <v>118</v>
      </c>
      <c r="D11">
        <v>500</v>
      </c>
    </row>
    <row r="12" spans="1:6" x14ac:dyDescent="0.35">
      <c r="C12" t="s">
        <v>119</v>
      </c>
      <c r="D12">
        <v>75</v>
      </c>
    </row>
    <row r="13" spans="1:6" x14ac:dyDescent="0.35">
      <c r="C13" t="s">
        <v>124</v>
      </c>
      <c r="D13">
        <v>50</v>
      </c>
    </row>
    <row r="14" spans="1:6" x14ac:dyDescent="0.35">
      <c r="C14" t="s">
        <v>120</v>
      </c>
      <c r="D14">
        <v>2</v>
      </c>
    </row>
    <row r="15" spans="1:6" x14ac:dyDescent="0.35">
      <c r="C15" t="s">
        <v>121</v>
      </c>
      <c r="D15">
        <v>200</v>
      </c>
    </row>
    <row r="16" spans="1:6" x14ac:dyDescent="0.35">
      <c r="C16" t="s">
        <v>122</v>
      </c>
      <c r="D16">
        <v>160</v>
      </c>
    </row>
    <row r="18" spans="2:4" x14ac:dyDescent="0.35">
      <c r="C18" t="s">
        <v>123</v>
      </c>
      <c r="D18">
        <f>D11-D12+D13</f>
        <v>475</v>
      </c>
    </row>
    <row r="19" spans="2:4" x14ac:dyDescent="0.35">
      <c r="C19" t="s">
        <v>125</v>
      </c>
      <c r="D19">
        <f>D18*2</f>
        <v>950</v>
      </c>
    </row>
    <row r="21" spans="2:4" x14ac:dyDescent="0.35">
      <c r="C21" t="s">
        <v>126</v>
      </c>
      <c r="D21">
        <f>D19-D15+D16</f>
        <v>910</v>
      </c>
    </row>
    <row r="23" spans="2:4" x14ac:dyDescent="0.35">
      <c r="B23">
        <v>7.38</v>
      </c>
    </row>
    <row r="24" spans="2:4" x14ac:dyDescent="0.35">
      <c r="C24" t="s">
        <v>118</v>
      </c>
      <c r="D24">
        <v>500</v>
      </c>
    </row>
    <row r="25" spans="2:4" x14ac:dyDescent="0.35">
      <c r="C25" t="s">
        <v>119</v>
      </c>
      <c r="D25">
        <v>75</v>
      </c>
    </row>
    <row r="26" spans="2:4" x14ac:dyDescent="0.35">
      <c r="C26" t="s">
        <v>124</v>
      </c>
      <c r="D26">
        <v>50</v>
      </c>
    </row>
    <row r="27" spans="2:4" x14ac:dyDescent="0.35">
      <c r="C27" t="s">
        <v>127</v>
      </c>
      <c r="D27">
        <v>0.5</v>
      </c>
    </row>
    <row r="28" spans="2:4" x14ac:dyDescent="0.35">
      <c r="C28" t="s">
        <v>128</v>
      </c>
      <c r="D28">
        <v>20</v>
      </c>
    </row>
    <row r="30" spans="2:4" x14ac:dyDescent="0.35">
      <c r="C30" t="s">
        <v>129</v>
      </c>
      <c r="D30">
        <f>D24-D25+D26</f>
        <v>475</v>
      </c>
    </row>
    <row r="31" spans="2:4" x14ac:dyDescent="0.35">
      <c r="C31" t="s">
        <v>130</v>
      </c>
      <c r="D31">
        <f>D27*D30</f>
        <v>237.5</v>
      </c>
    </row>
    <row r="32" spans="2:4" x14ac:dyDescent="0.35">
      <c r="C32" t="s">
        <v>131</v>
      </c>
      <c r="D32">
        <f>D31*D28</f>
        <v>4750</v>
      </c>
    </row>
    <row r="34" spans="2:8" x14ac:dyDescent="0.35">
      <c r="D34">
        <v>0.3</v>
      </c>
      <c r="E34">
        <v>0.4</v>
      </c>
      <c r="F34">
        <v>0.25</v>
      </c>
      <c r="G34">
        <v>0.05</v>
      </c>
    </row>
    <row r="35" spans="2:8" x14ac:dyDescent="0.35">
      <c r="B35">
        <v>7.43</v>
      </c>
    </row>
    <row r="36" spans="2:8" x14ac:dyDescent="0.35">
      <c r="C36" t="s">
        <v>132</v>
      </c>
      <c r="D36">
        <v>120000</v>
      </c>
      <c r="E36">
        <v>135000</v>
      </c>
      <c r="F36">
        <v>140000</v>
      </c>
      <c r="G36">
        <v>135000</v>
      </c>
      <c r="H36">
        <v>150000</v>
      </c>
    </row>
    <row r="37" spans="2:8" x14ac:dyDescent="0.35">
      <c r="C37" t="s">
        <v>133</v>
      </c>
      <c r="D37">
        <f>D36*D34</f>
        <v>36000</v>
      </c>
      <c r="E37">
        <f>D36*E34+E36*D34</f>
        <v>88500</v>
      </c>
      <c r="F37">
        <f>F36*D34+E37*E34+D37*F34</f>
        <v>86400</v>
      </c>
      <c r="G37">
        <f>G36*D34+F36*E34+E36*F34+D36*G34</f>
        <v>136250</v>
      </c>
      <c r="H37">
        <f>H36*D34+G36*E34+F36*F34+E36*G34</f>
        <v>140750</v>
      </c>
    </row>
    <row r="39" spans="2:8" x14ac:dyDescent="0.35">
      <c r="G39">
        <f>G37</f>
        <v>136250</v>
      </c>
      <c r="H39">
        <f>H37</f>
        <v>140750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19C-C6F8-4320-815D-EFECFFAEBA6B}">
  <dimension ref="A1:J46"/>
  <sheetViews>
    <sheetView workbookViewId="0">
      <selection activeCell="J9" sqref="J9"/>
    </sheetView>
  </sheetViews>
  <sheetFormatPr defaultRowHeight="14.5" x14ac:dyDescent="0.35"/>
  <sheetData>
    <row r="1" spans="1:10" x14ac:dyDescent="0.35">
      <c r="A1" t="s">
        <v>324</v>
      </c>
    </row>
    <row r="2" spans="1:10" x14ac:dyDescent="0.35">
      <c r="B2">
        <v>8.34</v>
      </c>
    </row>
    <row r="3" spans="1:10" x14ac:dyDescent="0.35">
      <c r="B3" t="s">
        <v>138</v>
      </c>
      <c r="C3" t="s">
        <v>134</v>
      </c>
      <c r="D3">
        <v>950</v>
      </c>
    </row>
    <row r="4" spans="1:10" x14ac:dyDescent="0.35">
      <c r="C4" t="s">
        <v>135</v>
      </c>
      <c r="D4">
        <v>100</v>
      </c>
    </row>
    <row r="5" spans="1:10" x14ac:dyDescent="0.35">
      <c r="C5" t="s">
        <v>136</v>
      </c>
      <c r="D5">
        <v>35</v>
      </c>
    </row>
    <row r="7" spans="1:10" x14ac:dyDescent="0.35">
      <c r="C7" t="s">
        <v>137</v>
      </c>
      <c r="D7">
        <v>42000</v>
      </c>
    </row>
    <row r="9" spans="1:10" x14ac:dyDescent="0.35">
      <c r="C9" t="s">
        <v>139</v>
      </c>
      <c r="D9">
        <v>975</v>
      </c>
    </row>
    <row r="10" spans="1:10" x14ac:dyDescent="0.35">
      <c r="C10" t="s">
        <v>27</v>
      </c>
      <c r="D10">
        <v>98100</v>
      </c>
    </row>
    <row r="11" spans="1:10" x14ac:dyDescent="0.35">
      <c r="C11" t="s">
        <v>140</v>
      </c>
      <c r="D11">
        <v>43000</v>
      </c>
    </row>
    <row r="12" spans="1:10" x14ac:dyDescent="0.35">
      <c r="C12" t="s">
        <v>109</v>
      </c>
      <c r="D12">
        <v>20975</v>
      </c>
    </row>
    <row r="15" spans="1:10" x14ac:dyDescent="0.35">
      <c r="C15" t="s">
        <v>141</v>
      </c>
      <c r="F15" t="s">
        <v>142</v>
      </c>
      <c r="I15" t="s">
        <v>143</v>
      </c>
    </row>
    <row r="16" spans="1:10" x14ac:dyDescent="0.35">
      <c r="C16" t="s">
        <v>27</v>
      </c>
      <c r="D16">
        <f>D3*D4</f>
        <v>95000</v>
      </c>
      <c r="F16" t="s">
        <v>27</v>
      </c>
      <c r="G16">
        <f>D9*D4</f>
        <v>97500</v>
      </c>
      <c r="I16" t="s">
        <v>27</v>
      </c>
      <c r="J16">
        <f>D10</f>
        <v>98100</v>
      </c>
    </row>
    <row r="17" spans="2:10" x14ac:dyDescent="0.35">
      <c r="C17" t="s">
        <v>107</v>
      </c>
      <c r="D17">
        <f>D3*D5</f>
        <v>33250</v>
      </c>
      <c r="F17" t="s">
        <v>107</v>
      </c>
      <c r="G17">
        <f>D9*D5</f>
        <v>34125</v>
      </c>
      <c r="I17" t="s">
        <v>107</v>
      </c>
      <c r="J17">
        <f>G17</f>
        <v>34125</v>
      </c>
    </row>
    <row r="18" spans="2:10" x14ac:dyDescent="0.35">
      <c r="C18" t="s">
        <v>140</v>
      </c>
      <c r="D18">
        <f>D7</f>
        <v>42000</v>
      </c>
      <c r="F18" t="s">
        <v>140</v>
      </c>
      <c r="G18">
        <f>D7</f>
        <v>42000</v>
      </c>
      <c r="I18" t="s">
        <v>140</v>
      </c>
      <c r="J18">
        <f>D11</f>
        <v>43000</v>
      </c>
    </row>
    <row r="19" spans="2:10" x14ac:dyDescent="0.35">
      <c r="C19" t="s">
        <v>109</v>
      </c>
      <c r="D19">
        <f>D16-D17-D18</f>
        <v>19750</v>
      </c>
      <c r="G19">
        <f>G16-G17-G18</f>
        <v>21375</v>
      </c>
      <c r="J19">
        <f>J16-J17-J18</f>
        <v>20975</v>
      </c>
    </row>
    <row r="21" spans="2:10" x14ac:dyDescent="0.35">
      <c r="C21" t="s">
        <v>144</v>
      </c>
      <c r="D21">
        <f>G19-D19</f>
        <v>1625</v>
      </c>
    </row>
    <row r="22" spans="2:10" x14ac:dyDescent="0.35">
      <c r="C22" t="s">
        <v>145</v>
      </c>
      <c r="D22">
        <f>J16-G16</f>
        <v>600</v>
      </c>
    </row>
    <row r="23" spans="2:10" x14ac:dyDescent="0.35">
      <c r="C23" t="s">
        <v>146</v>
      </c>
      <c r="D23">
        <f>G17-J17</f>
        <v>0</v>
      </c>
    </row>
    <row r="24" spans="2:10" x14ac:dyDescent="0.35">
      <c r="C24" t="s">
        <v>147</v>
      </c>
      <c r="D24">
        <f>G18-J18</f>
        <v>-1000</v>
      </c>
    </row>
    <row r="26" spans="2:10" x14ac:dyDescent="0.35">
      <c r="B26">
        <v>8.36</v>
      </c>
    </row>
    <row r="27" spans="2:10" x14ac:dyDescent="0.35">
      <c r="C27" t="s">
        <v>148</v>
      </c>
      <c r="D27">
        <f>2</f>
        <v>2</v>
      </c>
      <c r="E27">
        <v>1.25</v>
      </c>
      <c r="F27">
        <f>E27*D27</f>
        <v>2.5</v>
      </c>
    </row>
    <row r="28" spans="2:10" x14ac:dyDescent="0.35">
      <c r="C28" t="s">
        <v>149</v>
      </c>
      <c r="D28">
        <v>1.5</v>
      </c>
      <c r="E28">
        <v>15</v>
      </c>
      <c r="F28">
        <f>E28*D28</f>
        <v>22.5</v>
      </c>
    </row>
    <row r="30" spans="2:10" x14ac:dyDescent="0.35">
      <c r="C30" t="s">
        <v>150</v>
      </c>
      <c r="D30">
        <v>300</v>
      </c>
      <c r="E30">
        <f>2*D30</f>
        <v>600</v>
      </c>
      <c r="F30">
        <f>D30*D28</f>
        <v>450</v>
      </c>
    </row>
    <row r="31" spans="2:10" x14ac:dyDescent="0.35">
      <c r="C31" t="s">
        <v>151</v>
      </c>
      <c r="D31">
        <v>650</v>
      </c>
      <c r="E31">
        <v>845</v>
      </c>
      <c r="F31">
        <f>E31/D31</f>
        <v>1.3</v>
      </c>
    </row>
    <row r="32" spans="2:10" x14ac:dyDescent="0.35">
      <c r="C32" t="s">
        <v>149</v>
      </c>
      <c r="D32">
        <v>480</v>
      </c>
      <c r="E32">
        <v>7200</v>
      </c>
      <c r="F32">
        <f>E32/D32</f>
        <v>15</v>
      </c>
    </row>
    <row r="34" spans="2:4" x14ac:dyDescent="0.35">
      <c r="C34" t="s">
        <v>152</v>
      </c>
      <c r="D34">
        <f>(E27-F31)*D31</f>
        <v>-32.500000000000028</v>
      </c>
    </row>
    <row r="35" spans="2:4" x14ac:dyDescent="0.35">
      <c r="C35" t="s">
        <v>153</v>
      </c>
      <c r="D35">
        <f>(E30-D31)*E27</f>
        <v>-62.5</v>
      </c>
    </row>
    <row r="36" spans="2:4" x14ac:dyDescent="0.35">
      <c r="C36" t="s">
        <v>154</v>
      </c>
      <c r="D36">
        <f>(E28-F32)*D32</f>
        <v>0</v>
      </c>
    </row>
    <row r="37" spans="2:4" x14ac:dyDescent="0.35">
      <c r="C37" t="s">
        <v>155</v>
      </c>
      <c r="D37">
        <f>(F30-D32)*E28</f>
        <v>-450</v>
      </c>
    </row>
    <row r="39" spans="2:4" x14ac:dyDescent="0.35">
      <c r="B39">
        <v>8.42</v>
      </c>
    </row>
    <row r="40" spans="2:4" x14ac:dyDescent="0.35">
      <c r="C40" t="s">
        <v>156</v>
      </c>
      <c r="D40">
        <v>3150</v>
      </c>
    </row>
    <row r="41" spans="2:4" x14ac:dyDescent="0.35">
      <c r="C41" t="s">
        <v>157</v>
      </c>
      <c r="D41">
        <v>-4500</v>
      </c>
    </row>
    <row r="42" spans="2:4" x14ac:dyDescent="0.35">
      <c r="C42" t="s">
        <v>158</v>
      </c>
      <c r="D42">
        <v>18000</v>
      </c>
    </row>
    <row r="43" spans="2:4" x14ac:dyDescent="0.35">
      <c r="C43" t="s">
        <v>159</v>
      </c>
      <c r="D43">
        <v>1.5</v>
      </c>
    </row>
    <row r="45" spans="2:4" x14ac:dyDescent="0.35">
      <c r="C45" t="s">
        <v>151</v>
      </c>
      <c r="D45">
        <f>D41/D43+D42</f>
        <v>15000</v>
      </c>
    </row>
    <row r="46" spans="2:4" x14ac:dyDescent="0.35">
      <c r="C46" t="s">
        <v>160</v>
      </c>
      <c r="D46">
        <f>D40/D45+D43</f>
        <v>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8AB-B739-4AB3-81E2-08AE9CED11E5}">
  <dimension ref="A1:E28"/>
  <sheetViews>
    <sheetView workbookViewId="0">
      <selection activeCell="E9" sqref="E9"/>
    </sheetView>
  </sheetViews>
  <sheetFormatPr defaultRowHeight="14.5" x14ac:dyDescent="0.35"/>
  <sheetData>
    <row r="1" spans="1:4" x14ac:dyDescent="0.35">
      <c r="A1" t="s">
        <v>162</v>
      </c>
    </row>
    <row r="2" spans="1:4" x14ac:dyDescent="0.35">
      <c r="A2">
        <v>2.2799999999999998</v>
      </c>
      <c r="B2" t="s">
        <v>20</v>
      </c>
      <c r="C2" t="s">
        <v>21</v>
      </c>
      <c r="D2" t="s">
        <v>22</v>
      </c>
    </row>
    <row r="3" spans="1:4" x14ac:dyDescent="0.35">
      <c r="B3">
        <v>130</v>
      </c>
      <c r="C3">
        <v>30</v>
      </c>
      <c r="D3">
        <v>95</v>
      </c>
    </row>
    <row r="4" spans="1:4" x14ac:dyDescent="0.35">
      <c r="B4">
        <v>1200</v>
      </c>
      <c r="C4">
        <v>1200</v>
      </c>
      <c r="D4">
        <v>1200</v>
      </c>
    </row>
    <row r="5" spans="1:4" x14ac:dyDescent="0.35">
      <c r="B5" t="s">
        <v>7</v>
      </c>
      <c r="C5" t="s">
        <v>23</v>
      </c>
    </row>
    <row r="6" spans="1:4" x14ac:dyDescent="0.35">
      <c r="B6" t="s">
        <v>9</v>
      </c>
      <c r="C6" t="s">
        <v>24</v>
      </c>
    </row>
    <row r="7" spans="1:4" x14ac:dyDescent="0.35">
      <c r="B7" t="s">
        <v>11</v>
      </c>
      <c r="C7" t="s">
        <v>25</v>
      </c>
    </row>
    <row r="9" spans="1:4" x14ac:dyDescent="0.35">
      <c r="A9">
        <v>2.37</v>
      </c>
      <c r="C9">
        <v>1</v>
      </c>
    </row>
    <row r="10" spans="1:4" x14ac:dyDescent="0.35">
      <c r="C10">
        <v>8</v>
      </c>
    </row>
    <row r="11" spans="1:4" x14ac:dyDescent="0.35">
      <c r="C11">
        <v>80</v>
      </c>
      <c r="D11">
        <v>80</v>
      </c>
    </row>
    <row r="12" spans="1:4" x14ac:dyDescent="0.35">
      <c r="B12" t="s">
        <v>27</v>
      </c>
      <c r="C12">
        <v>640</v>
      </c>
      <c r="D12">
        <f>400+300</f>
        <v>700</v>
      </c>
    </row>
    <row r="13" spans="1:4" x14ac:dyDescent="0.35">
      <c r="B13" t="s">
        <v>26</v>
      </c>
      <c r="C13">
        <f>125+250</f>
        <v>375</v>
      </c>
      <c r="D13">
        <f>125+250</f>
        <v>375</v>
      </c>
    </row>
    <row r="15" spans="1:4" x14ac:dyDescent="0.35">
      <c r="B15" t="s">
        <v>7</v>
      </c>
      <c r="C15" t="s">
        <v>28</v>
      </c>
    </row>
    <row r="16" spans="1:4" x14ac:dyDescent="0.35">
      <c r="B16" t="s">
        <v>9</v>
      </c>
      <c r="C16" t="s">
        <v>29</v>
      </c>
    </row>
    <row r="18" spans="1:5" x14ac:dyDescent="0.35">
      <c r="A18">
        <v>2.5099999999999998</v>
      </c>
    </row>
    <row r="19" spans="1:5" x14ac:dyDescent="0.35">
      <c r="B19" t="s">
        <v>30</v>
      </c>
      <c r="C19">
        <v>300000</v>
      </c>
      <c r="D19">
        <v>400000</v>
      </c>
      <c r="E19">
        <v>400000</v>
      </c>
    </row>
    <row r="20" spans="1:5" x14ac:dyDescent="0.35">
      <c r="B20" t="s">
        <v>31</v>
      </c>
      <c r="C20">
        <f>2*120000</f>
        <v>240000</v>
      </c>
      <c r="D20">
        <f>2*250000</f>
        <v>500000</v>
      </c>
      <c r="E20">
        <v>500000</v>
      </c>
    </row>
    <row r="21" spans="1:5" x14ac:dyDescent="0.35">
      <c r="B21" t="s">
        <v>32</v>
      </c>
      <c r="D21">
        <f>2*50000</f>
        <v>100000</v>
      </c>
    </row>
    <row r="22" spans="1:5" x14ac:dyDescent="0.35">
      <c r="B22" t="s">
        <v>33</v>
      </c>
      <c r="E22">
        <v>170000</v>
      </c>
    </row>
    <row r="23" spans="1:5" x14ac:dyDescent="0.35">
      <c r="B23" t="s">
        <v>7</v>
      </c>
    </row>
    <row r="24" spans="1:5" x14ac:dyDescent="0.35">
      <c r="B24" t="s">
        <v>27</v>
      </c>
      <c r="C24">
        <f>C20</f>
        <v>240000</v>
      </c>
      <c r="D24">
        <f>D20+D21+D22-D19</f>
        <v>200000</v>
      </c>
      <c r="E24">
        <f>-E19+E20+E22</f>
        <v>270000</v>
      </c>
    </row>
    <row r="25" spans="1:5" x14ac:dyDescent="0.35">
      <c r="C25" t="s">
        <v>35</v>
      </c>
    </row>
    <row r="26" spans="1:5" x14ac:dyDescent="0.35">
      <c r="B26" t="s">
        <v>9</v>
      </c>
      <c r="C26" t="s">
        <v>34</v>
      </c>
      <c r="D26" t="s">
        <v>36</v>
      </c>
    </row>
    <row r="27" spans="1:5" x14ac:dyDescent="0.35">
      <c r="C27" t="s">
        <v>38</v>
      </c>
      <c r="D27" t="s">
        <v>37</v>
      </c>
    </row>
    <row r="28" spans="1:5" x14ac:dyDescent="0.35">
      <c r="B28" t="s">
        <v>11</v>
      </c>
      <c r="C2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8D6C-E134-4330-981F-A8485D5862B4}">
  <dimension ref="A1:D60"/>
  <sheetViews>
    <sheetView workbookViewId="0">
      <selection activeCell="I16" sqref="I16"/>
    </sheetView>
  </sheetViews>
  <sheetFormatPr defaultRowHeight="14.5" x14ac:dyDescent="0.35"/>
  <sheetData>
    <row r="1" spans="1:4" x14ac:dyDescent="0.35">
      <c r="A1" t="s">
        <v>163</v>
      </c>
    </row>
    <row r="2" spans="1:4" x14ac:dyDescent="0.35">
      <c r="A2">
        <v>3.39</v>
      </c>
    </row>
    <row r="3" spans="1:4" x14ac:dyDescent="0.35">
      <c r="B3" t="s">
        <v>7</v>
      </c>
      <c r="C3" t="s">
        <v>40</v>
      </c>
    </row>
    <row r="4" spans="1:4" x14ac:dyDescent="0.35">
      <c r="B4" t="s">
        <v>9</v>
      </c>
      <c r="C4" t="s">
        <v>41</v>
      </c>
    </row>
    <row r="6" spans="1:4" x14ac:dyDescent="0.35">
      <c r="A6">
        <v>3.4</v>
      </c>
      <c r="C6" t="s">
        <v>42</v>
      </c>
      <c r="D6">
        <v>90000</v>
      </c>
    </row>
    <row r="7" spans="1:4" x14ac:dyDescent="0.35">
      <c r="C7" t="s">
        <v>43</v>
      </c>
      <c r="D7">
        <v>75000</v>
      </c>
    </row>
    <row r="8" spans="1:4" x14ac:dyDescent="0.35">
      <c r="C8" t="s">
        <v>44</v>
      </c>
      <c r="D8">
        <v>80000</v>
      </c>
    </row>
    <row r="9" spans="1:4" x14ac:dyDescent="0.35">
      <c r="C9" t="s">
        <v>45</v>
      </c>
      <c r="D9">
        <v>100000</v>
      </c>
    </row>
    <row r="10" spans="1:4" x14ac:dyDescent="0.35">
      <c r="C10" t="s">
        <v>46</v>
      </c>
      <c r="D10">
        <v>125000</v>
      </c>
    </row>
    <row r="11" spans="1:4" x14ac:dyDescent="0.35">
      <c r="C11" t="s">
        <v>47</v>
      </c>
      <c r="D11">
        <v>175000</v>
      </c>
    </row>
    <row r="12" spans="1:4" x14ac:dyDescent="0.35">
      <c r="C12" t="s">
        <v>60</v>
      </c>
      <c r="D12">
        <v>200000</v>
      </c>
    </row>
    <row r="13" spans="1:4" x14ac:dyDescent="0.35">
      <c r="C13" t="s">
        <v>48</v>
      </c>
      <c r="D13">
        <v>900000</v>
      </c>
    </row>
    <row r="14" spans="1:4" x14ac:dyDescent="0.35">
      <c r="C14" t="s">
        <v>27</v>
      </c>
      <c r="D14">
        <v>1250000</v>
      </c>
    </row>
    <row r="15" spans="1:4" x14ac:dyDescent="0.35">
      <c r="C15" t="s">
        <v>49</v>
      </c>
      <c r="D15">
        <v>265000</v>
      </c>
    </row>
    <row r="17" spans="1:4" x14ac:dyDescent="0.35">
      <c r="B17" t="s">
        <v>7</v>
      </c>
      <c r="C17" t="s">
        <v>50</v>
      </c>
      <c r="D17">
        <f>D12+D7-D6</f>
        <v>185000</v>
      </c>
    </row>
    <row r="18" spans="1:4" x14ac:dyDescent="0.35">
      <c r="B18" t="s">
        <v>9</v>
      </c>
      <c r="C18" t="s">
        <v>51</v>
      </c>
      <c r="D18">
        <f>(D13-D12)/2.5</f>
        <v>280000</v>
      </c>
    </row>
    <row r="19" spans="1:4" x14ac:dyDescent="0.35">
      <c r="B19" t="s">
        <v>11</v>
      </c>
      <c r="C19" t="s">
        <v>52</v>
      </c>
      <c r="D19">
        <f>D18*1.5</f>
        <v>420000</v>
      </c>
    </row>
    <row r="20" spans="1:4" x14ac:dyDescent="0.35">
      <c r="B20" t="s">
        <v>12</v>
      </c>
      <c r="C20" t="s">
        <v>53</v>
      </c>
      <c r="D20">
        <f>D17+D18</f>
        <v>465000</v>
      </c>
    </row>
    <row r="21" spans="1:4" x14ac:dyDescent="0.35">
      <c r="B21" t="s">
        <v>54</v>
      </c>
      <c r="C21" t="s">
        <v>55</v>
      </c>
      <c r="D21">
        <f>D18+D19</f>
        <v>700000</v>
      </c>
    </row>
    <row r="22" spans="1:4" x14ac:dyDescent="0.35">
      <c r="B22" t="s">
        <v>56</v>
      </c>
      <c r="C22" t="s">
        <v>57</v>
      </c>
      <c r="D22">
        <f>D13+D8-D9</f>
        <v>880000</v>
      </c>
    </row>
    <row r="23" spans="1:4" x14ac:dyDescent="0.35">
      <c r="B23" t="s">
        <v>58</v>
      </c>
      <c r="C23" t="s">
        <v>59</v>
      </c>
      <c r="D23">
        <f>D22+D10-D11</f>
        <v>830000</v>
      </c>
    </row>
    <row r="25" spans="1:4" x14ac:dyDescent="0.35">
      <c r="A25">
        <v>3.51</v>
      </c>
    </row>
    <row r="26" spans="1:4" x14ac:dyDescent="0.35">
      <c r="B26" t="s">
        <v>7</v>
      </c>
      <c r="C26" t="s">
        <v>61</v>
      </c>
      <c r="D26">
        <f>130000+30000+70000-20000</f>
        <v>210000</v>
      </c>
    </row>
    <row r="27" spans="1:4" x14ac:dyDescent="0.35">
      <c r="B27" t="s">
        <v>9</v>
      </c>
      <c r="C27" t="s">
        <v>62</v>
      </c>
      <c r="D27">
        <f>D26+125000*130/250+15000+45000-50000-25000</f>
        <v>260000</v>
      </c>
    </row>
    <row r="28" spans="1:4" x14ac:dyDescent="0.35">
      <c r="B28" t="s">
        <v>11</v>
      </c>
      <c r="C28" t="s">
        <v>63</v>
      </c>
      <c r="D28">
        <f>120000+125000*120/250</f>
        <v>180000</v>
      </c>
    </row>
    <row r="29" spans="1:4" x14ac:dyDescent="0.35">
      <c r="B29" t="s">
        <v>12</v>
      </c>
      <c r="C29" t="s">
        <v>64</v>
      </c>
      <c r="D29">
        <f>30000-45000+90000-80000+250000-120000-60000+25000-50000</f>
        <v>40000</v>
      </c>
    </row>
    <row r="31" spans="1:4" x14ac:dyDescent="0.35">
      <c r="A31">
        <v>3.52</v>
      </c>
      <c r="C31" t="s">
        <v>66</v>
      </c>
      <c r="D31" t="s">
        <v>67</v>
      </c>
    </row>
    <row r="32" spans="1:4" x14ac:dyDescent="0.35">
      <c r="B32" t="s">
        <v>65</v>
      </c>
      <c r="C32">
        <v>280000</v>
      </c>
      <c r="D32">
        <v>147500</v>
      </c>
    </row>
    <row r="33" spans="1:4" x14ac:dyDescent="0.35">
      <c r="B33" t="s">
        <v>68</v>
      </c>
      <c r="C33">
        <v>690000</v>
      </c>
      <c r="D33">
        <v>545000</v>
      </c>
    </row>
    <row r="34" spans="1:4" x14ac:dyDescent="0.35">
      <c r="B34" t="s">
        <v>69</v>
      </c>
      <c r="C34">
        <v>985000</v>
      </c>
      <c r="D34">
        <v>1342600</v>
      </c>
    </row>
    <row r="35" spans="1:4" x14ac:dyDescent="0.35">
      <c r="B35" t="s">
        <v>57</v>
      </c>
      <c r="C35">
        <v>2250000</v>
      </c>
      <c r="D35">
        <v>2346900</v>
      </c>
    </row>
    <row r="36" spans="1:4" x14ac:dyDescent="0.35">
      <c r="B36" t="s">
        <v>52</v>
      </c>
      <c r="C36">
        <f>1358500*690/(545+690)</f>
        <v>759000</v>
      </c>
      <c r="D36">
        <f>1358500*545/(545+690)</f>
        <v>599500</v>
      </c>
    </row>
    <row r="37" spans="1:4" x14ac:dyDescent="0.35">
      <c r="B37" t="s">
        <v>70</v>
      </c>
      <c r="C37">
        <f>C33+C34+C36+C32-C35</f>
        <v>464000</v>
      </c>
      <c r="D37">
        <f>D33+D34+D36+D32-D35</f>
        <v>287700</v>
      </c>
    </row>
    <row r="39" spans="1:4" x14ac:dyDescent="0.35">
      <c r="A39">
        <v>3.61</v>
      </c>
    </row>
    <row r="40" spans="1:4" x14ac:dyDescent="0.35">
      <c r="B40" t="s">
        <v>71</v>
      </c>
      <c r="C40">
        <v>80000</v>
      </c>
    </row>
    <row r="41" spans="1:4" x14ac:dyDescent="0.35">
      <c r="B41" t="s">
        <v>72</v>
      </c>
      <c r="C41">
        <v>150000</v>
      </c>
    </row>
    <row r="42" spans="1:4" x14ac:dyDescent="0.35">
      <c r="B42" t="s">
        <v>73</v>
      </c>
      <c r="C42">
        <f>0.8</f>
        <v>0.8</v>
      </c>
    </row>
    <row r="43" spans="1:4" x14ac:dyDescent="0.35">
      <c r="B43" t="s">
        <v>74</v>
      </c>
      <c r="C43">
        <v>200000</v>
      </c>
    </row>
    <row r="44" spans="1:4" x14ac:dyDescent="0.35">
      <c r="B44" t="s">
        <v>75</v>
      </c>
      <c r="C44">
        <v>150000</v>
      </c>
    </row>
    <row r="45" spans="1:4" x14ac:dyDescent="0.35">
      <c r="B45" t="s">
        <v>76</v>
      </c>
      <c r="C45">
        <v>125000</v>
      </c>
    </row>
    <row r="46" spans="1:4" x14ac:dyDescent="0.35">
      <c r="B46" t="s">
        <v>48</v>
      </c>
      <c r="C46">
        <v>800000</v>
      </c>
    </row>
    <row r="47" spans="1:4" x14ac:dyDescent="0.35">
      <c r="B47" t="s">
        <v>52</v>
      </c>
      <c r="C47">
        <f>1.5</f>
        <v>1.5</v>
      </c>
    </row>
    <row r="48" spans="1:4" x14ac:dyDescent="0.35">
      <c r="B48" t="s">
        <v>27</v>
      </c>
      <c r="C48">
        <v>1500000</v>
      </c>
    </row>
    <row r="49" spans="1:3" x14ac:dyDescent="0.35">
      <c r="B49" t="s">
        <v>77</v>
      </c>
      <c r="C49">
        <f>C48*0.4</f>
        <v>600000</v>
      </c>
    </row>
    <row r="50" spans="1:3" x14ac:dyDescent="0.35">
      <c r="B50" t="s">
        <v>78</v>
      </c>
      <c r="C50">
        <f>0.05*C48+60000+140000</f>
        <v>275000</v>
      </c>
    </row>
    <row r="52" spans="1:3" x14ac:dyDescent="0.35">
      <c r="A52" t="s">
        <v>7</v>
      </c>
      <c r="B52" t="s">
        <v>79</v>
      </c>
      <c r="C52">
        <f>(C41-C40)/0.2</f>
        <v>350000</v>
      </c>
    </row>
    <row r="53" spans="1:3" x14ac:dyDescent="0.35">
      <c r="A53" t="s">
        <v>9</v>
      </c>
      <c r="B53" t="s">
        <v>80</v>
      </c>
      <c r="C53">
        <f>C52*0.8</f>
        <v>280000</v>
      </c>
    </row>
    <row r="54" spans="1:3" x14ac:dyDescent="0.35">
      <c r="A54" t="s">
        <v>11</v>
      </c>
      <c r="B54" t="s">
        <v>69</v>
      </c>
      <c r="C54">
        <f>(C46-C53)/2.5</f>
        <v>208000</v>
      </c>
    </row>
    <row r="55" spans="1:3" x14ac:dyDescent="0.35">
      <c r="A55" t="s">
        <v>12</v>
      </c>
      <c r="B55" t="s">
        <v>81</v>
      </c>
      <c r="C55">
        <f>C54*1.5</f>
        <v>312000</v>
      </c>
    </row>
    <row r="56" spans="1:3" x14ac:dyDescent="0.35">
      <c r="A56" t="s">
        <v>54</v>
      </c>
      <c r="B56" t="s">
        <v>53</v>
      </c>
      <c r="C56">
        <f>C53+C54</f>
        <v>488000</v>
      </c>
    </row>
    <row r="57" spans="1:3" x14ac:dyDescent="0.35">
      <c r="A57" t="s">
        <v>56</v>
      </c>
      <c r="B57" t="s">
        <v>55</v>
      </c>
      <c r="C57">
        <f>C54+C55</f>
        <v>520000</v>
      </c>
    </row>
    <row r="58" spans="1:3" x14ac:dyDescent="0.35">
      <c r="A58" t="s">
        <v>58</v>
      </c>
      <c r="B58" t="s">
        <v>57</v>
      </c>
      <c r="C58">
        <f>C46+C43-C44</f>
        <v>850000</v>
      </c>
    </row>
    <row r="59" spans="1:3" x14ac:dyDescent="0.35">
      <c r="A59" t="s">
        <v>82</v>
      </c>
      <c r="B59" t="s">
        <v>84</v>
      </c>
      <c r="C59">
        <f>C58-C60+C45</f>
        <v>75000</v>
      </c>
    </row>
    <row r="60" spans="1:3" x14ac:dyDescent="0.35">
      <c r="A60" t="s">
        <v>83</v>
      </c>
      <c r="B60" t="s">
        <v>59</v>
      </c>
      <c r="C60">
        <f>C48-C49</f>
        <v>900000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314-B300-4336-95FD-8E170630D09E}">
  <dimension ref="A1:D11"/>
  <sheetViews>
    <sheetView workbookViewId="0">
      <selection activeCell="C21" sqref="C21"/>
    </sheetView>
  </sheetViews>
  <sheetFormatPr defaultRowHeight="14.5" x14ac:dyDescent="0.35"/>
  <cols>
    <col min="3" max="3" width="8.90625" bestFit="1" customWidth="1"/>
  </cols>
  <sheetData>
    <row r="1" spans="1:4" x14ac:dyDescent="0.35">
      <c r="A1" t="s">
        <v>315</v>
      </c>
    </row>
    <row r="2" spans="1:4" x14ac:dyDescent="0.35">
      <c r="A2">
        <v>4.41</v>
      </c>
    </row>
    <row r="3" spans="1:4" x14ac:dyDescent="0.35">
      <c r="B3" t="s">
        <v>7</v>
      </c>
      <c r="C3" t="s">
        <v>85</v>
      </c>
      <c r="D3">
        <f>(33750-27500)/2500</f>
        <v>2.5</v>
      </c>
    </row>
    <row r="4" spans="1:4" x14ac:dyDescent="0.35">
      <c r="C4" t="s">
        <v>9</v>
      </c>
      <c r="D4">
        <f>27500-D3*5000</f>
        <v>15000</v>
      </c>
    </row>
    <row r="5" spans="1:4" x14ac:dyDescent="0.35">
      <c r="C5" t="s">
        <v>86</v>
      </c>
    </row>
    <row r="6" spans="1:4" x14ac:dyDescent="0.35">
      <c r="B6" t="s">
        <v>9</v>
      </c>
      <c r="C6">
        <f>2.5*5500+15000</f>
        <v>28750</v>
      </c>
    </row>
    <row r="8" spans="1:4" x14ac:dyDescent="0.35">
      <c r="A8">
        <v>4.45</v>
      </c>
      <c r="C8" t="s">
        <v>206</v>
      </c>
    </row>
    <row r="9" spans="1:4" x14ac:dyDescent="0.35">
      <c r="B9" t="s">
        <v>7</v>
      </c>
      <c r="C9" t="s">
        <v>164</v>
      </c>
    </row>
    <row r="11" spans="1:4" x14ac:dyDescent="0.35">
      <c r="B11" t="s">
        <v>9</v>
      </c>
      <c r="C11" s="1">
        <f>2.445*5500 + 15320.95</f>
        <v>28768.45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E97A-F395-49FB-B527-AE8EB11CCA6E}">
  <dimension ref="A1:D77"/>
  <sheetViews>
    <sheetView workbookViewId="0"/>
  </sheetViews>
  <sheetFormatPr defaultRowHeight="14.5" x14ac:dyDescent="0.35"/>
  <cols>
    <col min="2" max="2" width="16.6328125" customWidth="1"/>
  </cols>
  <sheetData>
    <row r="1" spans="1:4" x14ac:dyDescent="0.35">
      <c r="A1" t="s">
        <v>316</v>
      </c>
    </row>
    <row r="2" spans="1:4" x14ac:dyDescent="0.35">
      <c r="A2">
        <v>14.29</v>
      </c>
    </row>
    <row r="3" spans="1:4" x14ac:dyDescent="0.35">
      <c r="B3" t="s">
        <v>87</v>
      </c>
      <c r="C3">
        <v>1200000</v>
      </c>
    </row>
    <row r="4" spans="1:4" x14ac:dyDescent="0.35">
      <c r="B4" t="s">
        <v>88</v>
      </c>
      <c r="C4">
        <v>500000</v>
      </c>
    </row>
    <row r="5" spans="1:4" x14ac:dyDescent="0.35">
      <c r="B5" t="s">
        <v>89</v>
      </c>
      <c r="C5">
        <v>10000</v>
      </c>
    </row>
    <row r="7" spans="1:4" x14ac:dyDescent="0.35">
      <c r="B7" t="s">
        <v>7</v>
      </c>
      <c r="C7" t="s">
        <v>90</v>
      </c>
      <c r="D7">
        <f>(C3-C4)/C5</f>
        <v>70</v>
      </c>
    </row>
    <row r="8" spans="1:4" x14ac:dyDescent="0.35">
      <c r="C8" t="s">
        <v>91</v>
      </c>
      <c r="D8">
        <f>C4/C5</f>
        <v>50</v>
      </c>
    </row>
    <row r="9" spans="1:4" x14ac:dyDescent="0.35">
      <c r="C9" t="s">
        <v>92</v>
      </c>
      <c r="D9">
        <f>D7+D8</f>
        <v>120</v>
      </c>
    </row>
    <row r="11" spans="1:4" x14ac:dyDescent="0.35">
      <c r="B11" t="s">
        <v>9</v>
      </c>
      <c r="C11">
        <v>13000</v>
      </c>
    </row>
    <row r="12" spans="1:4" x14ac:dyDescent="0.35">
      <c r="C12">
        <v>40</v>
      </c>
    </row>
    <row r="13" spans="1:4" x14ac:dyDescent="0.35">
      <c r="C13">
        <f>C12*D9</f>
        <v>4800</v>
      </c>
    </row>
    <row r="14" spans="1:4" x14ac:dyDescent="0.35">
      <c r="C14">
        <f>(C11+C13)*1.25</f>
        <v>22250</v>
      </c>
    </row>
    <row r="16" spans="1:4" x14ac:dyDescent="0.35">
      <c r="A16">
        <v>14.3</v>
      </c>
    </row>
    <row r="17" spans="1:4" x14ac:dyDescent="0.35">
      <c r="B17" t="s">
        <v>165</v>
      </c>
      <c r="C17">
        <v>525000</v>
      </c>
    </row>
    <row r="18" spans="1:4" x14ac:dyDescent="0.35">
      <c r="B18" t="s">
        <v>166</v>
      </c>
      <c r="C18">
        <v>150000</v>
      </c>
    </row>
    <row r="20" spans="1:4" x14ac:dyDescent="0.35">
      <c r="B20" t="s">
        <v>167</v>
      </c>
      <c r="C20">
        <v>530000</v>
      </c>
    </row>
    <row r="21" spans="1:4" x14ac:dyDescent="0.35">
      <c r="B21" t="s">
        <v>168</v>
      </c>
      <c r="C21">
        <v>140000</v>
      </c>
    </row>
    <row r="23" spans="1:4" x14ac:dyDescent="0.35">
      <c r="B23" t="s">
        <v>169</v>
      </c>
      <c r="C23">
        <f>C17/C18</f>
        <v>3.5</v>
      </c>
    </row>
    <row r="24" spans="1:4" x14ac:dyDescent="0.35">
      <c r="B24" t="s">
        <v>170</v>
      </c>
      <c r="C24">
        <f>C23*C21</f>
        <v>490000</v>
      </c>
    </row>
    <row r="26" spans="1:4" x14ac:dyDescent="0.35">
      <c r="B26" t="s">
        <v>171</v>
      </c>
      <c r="C26">
        <f>C20-C24</f>
        <v>40000</v>
      </c>
    </row>
    <row r="28" spans="1:4" x14ac:dyDescent="0.35">
      <c r="A28">
        <v>14.31</v>
      </c>
      <c r="D28" t="s">
        <v>180</v>
      </c>
    </row>
    <row r="29" spans="1:4" x14ac:dyDescent="0.35">
      <c r="B29" t="s">
        <v>59</v>
      </c>
      <c r="C29">
        <v>100000</v>
      </c>
      <c r="D29">
        <f>C29/C37</f>
        <v>0.5</v>
      </c>
    </row>
    <row r="30" spans="1:4" x14ac:dyDescent="0.35">
      <c r="B30" t="s">
        <v>172</v>
      </c>
      <c r="C30">
        <v>75000</v>
      </c>
      <c r="D30">
        <f>C30/C37</f>
        <v>0.375</v>
      </c>
    </row>
    <row r="31" spans="1:4" x14ac:dyDescent="0.35">
      <c r="B31" t="s">
        <v>173</v>
      </c>
      <c r="C31">
        <v>50000</v>
      </c>
    </row>
    <row r="32" spans="1:4" x14ac:dyDescent="0.35">
      <c r="B32" t="s">
        <v>174</v>
      </c>
      <c r="C32">
        <v>25000</v>
      </c>
      <c r="D32">
        <f>C32/C37</f>
        <v>0.125</v>
      </c>
    </row>
    <row r="34" spans="1:4" x14ac:dyDescent="0.35">
      <c r="B34" t="s">
        <v>175</v>
      </c>
      <c r="C34">
        <v>10000</v>
      </c>
    </row>
    <row r="35" spans="1:4" x14ac:dyDescent="0.35">
      <c r="B35" t="s">
        <v>176</v>
      </c>
      <c r="C35">
        <v>-10000</v>
      </c>
    </row>
    <row r="37" spans="1:4" x14ac:dyDescent="0.35">
      <c r="B37" t="s">
        <v>177</v>
      </c>
      <c r="C37">
        <f>C29+C30+C32</f>
        <v>200000</v>
      </c>
      <c r="D37" t="s">
        <v>178</v>
      </c>
    </row>
    <row r="38" spans="1:4" x14ac:dyDescent="0.35">
      <c r="B38" t="s">
        <v>179</v>
      </c>
      <c r="C38">
        <f>C37+C35</f>
        <v>190000</v>
      </c>
    </row>
    <row r="40" spans="1:4" x14ac:dyDescent="0.35">
      <c r="C40" t="s">
        <v>181</v>
      </c>
      <c r="D40">
        <f>D32*C38</f>
        <v>23750</v>
      </c>
    </row>
    <row r="42" spans="1:4" x14ac:dyDescent="0.35">
      <c r="A42">
        <v>14.37</v>
      </c>
    </row>
    <row r="43" spans="1:4" x14ac:dyDescent="0.35">
      <c r="B43" t="s">
        <v>182</v>
      </c>
      <c r="C43">
        <v>280000</v>
      </c>
    </row>
    <row r="44" spans="1:4" x14ac:dyDescent="0.35">
      <c r="B44" t="s">
        <v>183</v>
      </c>
      <c r="C44">
        <v>260000</v>
      </c>
    </row>
    <row r="46" spans="1:4" x14ac:dyDescent="0.35">
      <c r="B46" t="s">
        <v>59</v>
      </c>
      <c r="C46">
        <v>200000</v>
      </c>
    </row>
    <row r="47" spans="1:4" x14ac:dyDescent="0.35">
      <c r="B47" t="s">
        <v>184</v>
      </c>
      <c r="C47">
        <v>150000</v>
      </c>
    </row>
    <row r="48" spans="1:4" x14ac:dyDescent="0.35">
      <c r="B48" t="s">
        <v>185</v>
      </c>
      <c r="C48">
        <v>100000</v>
      </c>
    </row>
    <row r="49" spans="1:3" x14ac:dyDescent="0.35">
      <c r="B49" t="s">
        <v>186</v>
      </c>
      <c r="C49">
        <v>50000</v>
      </c>
    </row>
    <row r="51" spans="1:3" x14ac:dyDescent="0.35">
      <c r="B51" t="s">
        <v>187</v>
      </c>
      <c r="C51">
        <f>C43-C44</f>
        <v>20000</v>
      </c>
    </row>
    <row r="52" spans="1:3" x14ac:dyDescent="0.35">
      <c r="B52" t="s">
        <v>188</v>
      </c>
      <c r="C52">
        <f>C46-C51</f>
        <v>180000</v>
      </c>
    </row>
    <row r="54" spans="1:3" x14ac:dyDescent="0.35">
      <c r="B54" t="s">
        <v>189</v>
      </c>
      <c r="C54">
        <f>C46/(C46+C47+C49)</f>
        <v>0.5</v>
      </c>
    </row>
    <row r="56" spans="1:3" x14ac:dyDescent="0.35">
      <c r="B56" t="s">
        <v>190</v>
      </c>
      <c r="C56">
        <f>C46-C51*C54</f>
        <v>190000</v>
      </c>
    </row>
    <row r="58" spans="1:3" x14ac:dyDescent="0.35">
      <c r="A58">
        <v>14.49</v>
      </c>
    </row>
    <row r="59" spans="1:3" x14ac:dyDescent="0.35">
      <c r="B59" t="s">
        <v>191</v>
      </c>
      <c r="C59">
        <v>60000</v>
      </c>
    </row>
    <row r="60" spans="1:3" x14ac:dyDescent="0.35">
      <c r="B60" t="s">
        <v>192</v>
      </c>
      <c r="C60">
        <v>80000</v>
      </c>
    </row>
    <row r="61" spans="1:3" x14ac:dyDescent="0.35">
      <c r="B61" t="s">
        <v>193</v>
      </c>
      <c r="C61">
        <v>80000</v>
      </c>
    </row>
    <row r="62" spans="1:3" x14ac:dyDescent="0.35">
      <c r="B62" t="s">
        <v>194</v>
      </c>
      <c r="C62">
        <v>105000</v>
      </c>
    </row>
    <row r="63" spans="1:3" x14ac:dyDescent="0.35">
      <c r="B63" t="s">
        <v>195</v>
      </c>
      <c r="C63">
        <v>300000</v>
      </c>
    </row>
    <row r="64" spans="1:3" x14ac:dyDescent="0.35">
      <c r="B64" t="s">
        <v>196</v>
      </c>
      <c r="C64">
        <v>320000</v>
      </c>
    </row>
    <row r="65" spans="2:4" x14ac:dyDescent="0.35">
      <c r="B65" t="s">
        <v>197</v>
      </c>
      <c r="C65">
        <v>225000</v>
      </c>
    </row>
    <row r="66" spans="2:4" x14ac:dyDescent="0.35">
      <c r="B66" t="s">
        <v>198</v>
      </c>
      <c r="C66">
        <f>C65+2.2*C67</f>
        <v>885000</v>
      </c>
    </row>
    <row r="67" spans="2:4" x14ac:dyDescent="0.35">
      <c r="B67" t="s">
        <v>199</v>
      </c>
      <c r="C67">
        <v>300000</v>
      </c>
    </row>
    <row r="68" spans="2:4" x14ac:dyDescent="0.35">
      <c r="B68" t="s">
        <v>57</v>
      </c>
      <c r="C68">
        <v>860000</v>
      </c>
    </row>
    <row r="69" spans="2:4" x14ac:dyDescent="0.35">
      <c r="B69" t="s">
        <v>200</v>
      </c>
      <c r="C69">
        <f>C63+C68</f>
        <v>1160000</v>
      </c>
    </row>
    <row r="70" spans="2:4" x14ac:dyDescent="0.35">
      <c r="B70" t="s">
        <v>201</v>
      </c>
      <c r="C70">
        <v>400000</v>
      </c>
    </row>
    <row r="72" spans="2:4" x14ac:dyDescent="0.35">
      <c r="B72" t="s">
        <v>7</v>
      </c>
      <c r="C72" t="s">
        <v>202</v>
      </c>
      <c r="D72">
        <f>C60-C59+C65</f>
        <v>245000</v>
      </c>
    </row>
    <row r="73" spans="2:4" x14ac:dyDescent="0.35">
      <c r="B73" t="s">
        <v>9</v>
      </c>
      <c r="C73" t="s">
        <v>203</v>
      </c>
      <c r="D73">
        <f>C67</f>
        <v>300000</v>
      </c>
    </row>
    <row r="74" spans="2:4" x14ac:dyDescent="0.35">
      <c r="B74" t="s">
        <v>11</v>
      </c>
      <c r="C74" t="s">
        <v>57</v>
      </c>
      <c r="D74">
        <f>C61-C62+C66</f>
        <v>860000</v>
      </c>
    </row>
    <row r="75" spans="2:4" x14ac:dyDescent="0.35">
      <c r="B75" t="s">
        <v>12</v>
      </c>
      <c r="C75" t="s">
        <v>204</v>
      </c>
      <c r="D75">
        <f>1.2*C67-C70</f>
        <v>-40000</v>
      </c>
    </row>
    <row r="76" spans="2:4" x14ac:dyDescent="0.35">
      <c r="B76" t="s">
        <v>54</v>
      </c>
      <c r="C76" t="s">
        <v>59</v>
      </c>
      <c r="D76">
        <f>C63-C64+C68</f>
        <v>840000</v>
      </c>
    </row>
    <row r="77" spans="2:4" x14ac:dyDescent="0.35">
      <c r="C77" t="s">
        <v>205</v>
      </c>
      <c r="D77">
        <f>D76-D75</f>
        <v>880000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E62-5EAC-46A7-9221-B0F9FC963EE2}">
  <dimension ref="A2:G97"/>
  <sheetViews>
    <sheetView workbookViewId="0">
      <selection activeCell="J24" sqref="J24"/>
    </sheetView>
  </sheetViews>
  <sheetFormatPr defaultRowHeight="14.5" x14ac:dyDescent="0.35"/>
  <cols>
    <col min="3" max="3" width="17.54296875" customWidth="1"/>
  </cols>
  <sheetData>
    <row r="2" spans="1:4" x14ac:dyDescent="0.35">
      <c r="A2" t="s">
        <v>317</v>
      </c>
    </row>
    <row r="4" spans="1:4" x14ac:dyDescent="0.35">
      <c r="B4">
        <v>10.34</v>
      </c>
    </row>
    <row r="5" spans="1:4" x14ac:dyDescent="0.35">
      <c r="C5" t="s">
        <v>207</v>
      </c>
      <c r="D5">
        <v>2500</v>
      </c>
    </row>
    <row r="6" spans="1:4" x14ac:dyDescent="0.35">
      <c r="C6" t="s">
        <v>208</v>
      </c>
      <c r="D6">
        <v>14.5</v>
      </c>
    </row>
    <row r="7" spans="1:4" x14ac:dyDescent="0.35">
      <c r="C7" t="s">
        <v>209</v>
      </c>
      <c r="D7">
        <v>8</v>
      </c>
    </row>
    <row r="9" spans="1:4" x14ac:dyDescent="0.35">
      <c r="C9" t="s">
        <v>210</v>
      </c>
      <c r="D9">
        <v>3.5</v>
      </c>
    </row>
    <row r="10" spans="1:4" x14ac:dyDescent="0.35">
      <c r="C10" t="s">
        <v>211</v>
      </c>
      <c r="D10">
        <v>3500</v>
      </c>
    </row>
    <row r="11" spans="1:4" x14ac:dyDescent="0.35">
      <c r="C11" t="s">
        <v>212</v>
      </c>
      <c r="D11">
        <v>14500</v>
      </c>
    </row>
    <row r="13" spans="1:4" x14ac:dyDescent="0.35">
      <c r="C13" t="s">
        <v>213</v>
      </c>
      <c r="D13">
        <v>15000</v>
      </c>
    </row>
    <row r="14" spans="1:4" x14ac:dyDescent="0.35">
      <c r="C14" t="s">
        <v>214</v>
      </c>
      <c r="D14">
        <v>7000</v>
      </c>
    </row>
    <row r="15" spans="1:4" x14ac:dyDescent="0.35">
      <c r="C15" t="s">
        <v>215</v>
      </c>
      <c r="D15">
        <v>4000</v>
      </c>
    </row>
    <row r="16" spans="1:4" x14ac:dyDescent="0.35">
      <c r="C16" t="s">
        <v>216</v>
      </c>
      <c r="D16">
        <v>4000</v>
      </c>
    </row>
    <row r="17" spans="2:6" x14ac:dyDescent="0.35">
      <c r="C17" t="s">
        <v>217</v>
      </c>
      <c r="D17">
        <v>2500</v>
      </c>
    </row>
    <row r="19" spans="2:6" x14ac:dyDescent="0.35">
      <c r="B19" t="s">
        <v>7</v>
      </c>
      <c r="C19" t="s">
        <v>218</v>
      </c>
      <c r="D19">
        <f>D6*D13</f>
        <v>217500</v>
      </c>
    </row>
    <row r="21" spans="2:6" x14ac:dyDescent="0.35">
      <c r="B21" t="s">
        <v>9</v>
      </c>
      <c r="C21" t="s">
        <v>219</v>
      </c>
      <c r="D21">
        <f>D13*(D9+D7)+(3+2+2)*D10+3*D11</f>
        <v>240500</v>
      </c>
    </row>
    <row r="23" spans="2:6" x14ac:dyDescent="0.35">
      <c r="B23">
        <v>10.35</v>
      </c>
    </row>
    <row r="24" spans="2:6" x14ac:dyDescent="0.35">
      <c r="D24" t="s">
        <v>220</v>
      </c>
      <c r="E24" t="s">
        <v>222</v>
      </c>
      <c r="F24" t="s">
        <v>221</v>
      </c>
    </row>
    <row r="25" spans="2:6" x14ac:dyDescent="0.35">
      <c r="C25" t="s">
        <v>223</v>
      </c>
      <c r="D25">
        <v>1000000</v>
      </c>
      <c r="E25">
        <v>2000000</v>
      </c>
      <c r="F25">
        <v>40000</v>
      </c>
    </row>
    <row r="26" spans="2:6" x14ac:dyDescent="0.35">
      <c r="C26" t="s">
        <v>224</v>
      </c>
      <c r="D26">
        <v>9</v>
      </c>
      <c r="E26">
        <v>8.5</v>
      </c>
      <c r="F26">
        <v>15</v>
      </c>
    </row>
    <row r="27" spans="2:6" x14ac:dyDescent="0.35">
      <c r="C27" t="s">
        <v>225</v>
      </c>
      <c r="D27">
        <v>2</v>
      </c>
      <c r="E27">
        <v>4</v>
      </c>
      <c r="F27">
        <v>4.5</v>
      </c>
    </row>
    <row r="28" spans="2:6" x14ac:dyDescent="0.35">
      <c r="C28" t="s">
        <v>226</v>
      </c>
      <c r="D28">
        <v>2.2000000000000002</v>
      </c>
      <c r="E28">
        <v>1.9</v>
      </c>
      <c r="F28">
        <v>2.1</v>
      </c>
    </row>
    <row r="29" spans="2:6" x14ac:dyDescent="0.35">
      <c r="C29" t="s">
        <v>227</v>
      </c>
      <c r="D29">
        <v>10000</v>
      </c>
      <c r="E29">
        <v>5000</v>
      </c>
      <c r="F29">
        <v>1000</v>
      </c>
    </row>
    <row r="30" spans="2:6" x14ac:dyDescent="0.35">
      <c r="C30" t="s">
        <v>228</v>
      </c>
      <c r="D30">
        <f>D31 * D28/(D28*D25+E28*E25+F28*F25)</f>
        <v>4.620000000000001</v>
      </c>
      <c r="E30">
        <f>D31 * E28/(D28*D25+E28*E25+F28*F25)</f>
        <v>3.99</v>
      </c>
      <c r="F30">
        <f>D31 * F28/(D28*D25+E28*E25+F28*F25)</f>
        <v>4.41</v>
      </c>
    </row>
    <row r="31" spans="2:6" x14ac:dyDescent="0.35">
      <c r="C31" t="s">
        <v>81</v>
      </c>
      <c r="D31">
        <v>12776400</v>
      </c>
    </row>
    <row r="33" spans="2:7" x14ac:dyDescent="0.35">
      <c r="B33" t="s">
        <v>7</v>
      </c>
      <c r="C33" t="s">
        <v>229</v>
      </c>
      <c r="D33">
        <f>D26-D27-D30</f>
        <v>2.379999999999999</v>
      </c>
      <c r="E33">
        <f t="shared" ref="E33:F33" si="0">E26-E27-E30</f>
        <v>0.50999999999999979</v>
      </c>
      <c r="F33">
        <f t="shared" si="0"/>
        <v>6.09</v>
      </c>
    </row>
    <row r="34" spans="2:7" x14ac:dyDescent="0.35">
      <c r="C34" t="s">
        <v>230</v>
      </c>
      <c r="D34">
        <f>D33*D25</f>
        <v>2379999.9999999991</v>
      </c>
      <c r="E34">
        <f t="shared" ref="E34:F34" si="1">E33*E25</f>
        <v>1019999.9999999995</v>
      </c>
      <c r="F34">
        <f t="shared" si="1"/>
        <v>243600</v>
      </c>
    </row>
    <row r="36" spans="2:7" x14ac:dyDescent="0.35">
      <c r="B36" t="s">
        <v>9</v>
      </c>
      <c r="C36" t="s">
        <v>231</v>
      </c>
      <c r="D36">
        <v>7300800</v>
      </c>
    </row>
    <row r="37" spans="2:7" x14ac:dyDescent="0.35">
      <c r="C37" t="s">
        <v>232</v>
      </c>
      <c r="D37">
        <f>D31-D36</f>
        <v>5475600</v>
      </c>
    </row>
    <row r="38" spans="2:7" x14ac:dyDescent="0.35">
      <c r="C38" t="s">
        <v>233</v>
      </c>
      <c r="D38">
        <f>D36 * D28/(D28*D25+E28*E25+F28*F25)</f>
        <v>2.64</v>
      </c>
      <c r="E38">
        <f>D36 * E28/(D28*D25+E28*E25+F28*F25)</f>
        <v>2.2799999999999998</v>
      </c>
      <c r="F38">
        <f>D36 * F28/(D28*D25+E28*E25+F28*F25)</f>
        <v>2.52</v>
      </c>
    </row>
    <row r="39" spans="2:7" x14ac:dyDescent="0.35">
      <c r="C39" t="s">
        <v>235</v>
      </c>
      <c r="D39">
        <f>D25/D29</f>
        <v>100</v>
      </c>
      <c r="E39">
        <f t="shared" ref="E39:F39" si="2">E25/E29</f>
        <v>400</v>
      </c>
      <c r="F39">
        <f t="shared" si="2"/>
        <v>40</v>
      </c>
      <c r="G39">
        <f>D39+E39+F39</f>
        <v>540</v>
      </c>
    </row>
    <row r="40" spans="2:7" x14ac:dyDescent="0.35">
      <c r="C40" t="s">
        <v>234</v>
      </c>
      <c r="D40">
        <f>(D37*D39/G39)/D25</f>
        <v>1.014</v>
      </c>
      <c r="E40">
        <f>(D37*E39/G39)/E25</f>
        <v>2.028</v>
      </c>
      <c r="F40">
        <f>(D37*F39/G39)/F25</f>
        <v>10.14</v>
      </c>
    </row>
    <row r="41" spans="2:7" x14ac:dyDescent="0.35">
      <c r="C41" t="s">
        <v>236</v>
      </c>
      <c r="D41">
        <f>D26-D27-D38-D40</f>
        <v>3.3459999999999992</v>
      </c>
      <c r="E41">
        <f t="shared" ref="E41:F41" si="3">E26-E27-E38-E40</f>
        <v>0.19200000000000017</v>
      </c>
      <c r="F41">
        <f t="shared" si="3"/>
        <v>-2.16</v>
      </c>
    </row>
    <row r="42" spans="2:7" x14ac:dyDescent="0.35">
      <c r="C42" t="s">
        <v>230</v>
      </c>
      <c r="D42">
        <f>D41*D25</f>
        <v>3345999.9999999991</v>
      </c>
      <c r="E42">
        <f t="shared" ref="E42:F42" si="4">E41*E25</f>
        <v>384000.00000000035</v>
      </c>
      <c r="F42">
        <f t="shared" si="4"/>
        <v>-86400</v>
      </c>
    </row>
    <row r="44" spans="2:7" x14ac:dyDescent="0.35">
      <c r="B44">
        <v>10.39</v>
      </c>
    </row>
    <row r="45" spans="2:7" x14ac:dyDescent="0.35">
      <c r="D45" t="s">
        <v>67</v>
      </c>
      <c r="E45" t="s">
        <v>237</v>
      </c>
    </row>
    <row r="46" spans="2:7" x14ac:dyDescent="0.35">
      <c r="C46" t="s">
        <v>238</v>
      </c>
      <c r="D46">
        <v>1000</v>
      </c>
      <c r="E46">
        <v>5000</v>
      </c>
    </row>
    <row r="47" spans="2:7" x14ac:dyDescent="0.35">
      <c r="C47" t="s">
        <v>239</v>
      </c>
      <c r="D47">
        <v>350</v>
      </c>
      <c r="E47">
        <v>210</v>
      </c>
    </row>
    <row r="48" spans="2:7" x14ac:dyDescent="0.35">
      <c r="C48" t="s">
        <v>240</v>
      </c>
      <c r="D48">
        <v>100</v>
      </c>
      <c r="E48">
        <v>65</v>
      </c>
    </row>
    <row r="49" spans="2:6" x14ac:dyDescent="0.35">
      <c r="C49" t="s">
        <v>149</v>
      </c>
      <c r="D49">
        <v>75</v>
      </c>
      <c r="E49">
        <v>50</v>
      </c>
    </row>
    <row r="51" spans="2:6" x14ac:dyDescent="0.35">
      <c r="C51" t="s">
        <v>241</v>
      </c>
      <c r="D51">
        <v>390000</v>
      </c>
    </row>
    <row r="53" spans="2:6" x14ac:dyDescent="0.35">
      <c r="B53" t="s">
        <v>7</v>
      </c>
      <c r="C53" t="s">
        <v>242</v>
      </c>
      <c r="D53">
        <f>D51*D49*D46/(D49*D46+E46*E49)/D46</f>
        <v>90</v>
      </c>
      <c r="E53">
        <f>D51*E49*E46/(E49*E46+D49*D46)/E46</f>
        <v>60</v>
      </c>
    </row>
    <row r="55" spans="2:6" x14ac:dyDescent="0.35">
      <c r="B55" t="s">
        <v>9</v>
      </c>
      <c r="C55" t="s">
        <v>243</v>
      </c>
      <c r="D55">
        <v>156000</v>
      </c>
    </row>
    <row r="56" spans="2:6" x14ac:dyDescent="0.35">
      <c r="C56" t="s">
        <v>244</v>
      </c>
      <c r="D56">
        <v>136500</v>
      </c>
    </row>
    <row r="57" spans="2:6" x14ac:dyDescent="0.35">
      <c r="C57" t="s">
        <v>245</v>
      </c>
      <c r="D57">
        <v>58500</v>
      </c>
    </row>
    <row r="58" spans="2:6" x14ac:dyDescent="0.35">
      <c r="C58" t="s">
        <v>246</v>
      </c>
      <c r="D58">
        <f>D51-SUM(D55:D57)</f>
        <v>39000</v>
      </c>
    </row>
    <row r="59" spans="2:6" x14ac:dyDescent="0.35">
      <c r="C59" t="s">
        <v>235</v>
      </c>
      <c r="D59">
        <v>50</v>
      </c>
      <c r="E59">
        <v>250</v>
      </c>
    </row>
    <row r="61" spans="2:6" x14ac:dyDescent="0.35">
      <c r="C61" t="s">
        <v>247</v>
      </c>
      <c r="D61" t="s">
        <v>67</v>
      </c>
      <c r="E61" t="s">
        <v>237</v>
      </c>
      <c r="F61" t="s">
        <v>248</v>
      </c>
    </row>
    <row r="63" spans="2:6" x14ac:dyDescent="0.35">
      <c r="C63" t="s">
        <v>250</v>
      </c>
      <c r="D63">
        <f>D46*D47</f>
        <v>350000</v>
      </c>
      <c r="E63">
        <f>E46*E47</f>
        <v>1050000</v>
      </c>
      <c r="F63">
        <f>E63+D63</f>
        <v>1400000</v>
      </c>
    </row>
    <row r="65" spans="2:6" x14ac:dyDescent="0.35">
      <c r="C65" t="s">
        <v>249</v>
      </c>
    </row>
    <row r="66" spans="2:6" x14ac:dyDescent="0.35">
      <c r="C66" t="s">
        <v>149</v>
      </c>
      <c r="D66">
        <f>D49*D46</f>
        <v>75000</v>
      </c>
      <c r="E66">
        <f>E49*E46</f>
        <v>250000</v>
      </c>
      <c r="F66">
        <f t="shared" ref="F66:F71" si="5">E66+D66</f>
        <v>325000</v>
      </c>
    </row>
    <row r="67" spans="2:6" x14ac:dyDescent="0.35">
      <c r="C67" t="s">
        <v>240</v>
      </c>
      <c r="D67">
        <f>D46*D48</f>
        <v>100000</v>
      </c>
      <c r="E67">
        <f>E46*E48</f>
        <v>325000</v>
      </c>
      <c r="F67">
        <f t="shared" si="5"/>
        <v>425000</v>
      </c>
    </row>
    <row r="68" spans="2:6" x14ac:dyDescent="0.35">
      <c r="C68" t="s">
        <v>251</v>
      </c>
      <c r="D68">
        <f>D55*D66/(D66+E66)</f>
        <v>36000</v>
      </c>
      <c r="E68">
        <f>D55*E66/(E66+D66)</f>
        <v>120000</v>
      </c>
      <c r="F68">
        <f t="shared" si="5"/>
        <v>156000</v>
      </c>
    </row>
    <row r="69" spans="2:6" x14ac:dyDescent="0.35">
      <c r="C69" t="s">
        <v>252</v>
      </c>
      <c r="D69">
        <f>D56*D59/(D59+E59)</f>
        <v>22750</v>
      </c>
      <c r="E69">
        <f>D56*E59/(E59+D59)</f>
        <v>113750</v>
      </c>
      <c r="F69">
        <f t="shared" si="5"/>
        <v>136500</v>
      </c>
    </row>
    <row r="70" spans="2:6" x14ac:dyDescent="0.35">
      <c r="C70" t="s">
        <v>253</v>
      </c>
      <c r="D70">
        <f>D57/2</f>
        <v>29250</v>
      </c>
      <c r="E70">
        <f>D57/2</f>
        <v>29250</v>
      </c>
      <c r="F70">
        <f t="shared" si="5"/>
        <v>58500</v>
      </c>
    </row>
    <row r="71" spans="2:6" x14ac:dyDescent="0.35">
      <c r="C71" t="s">
        <v>254</v>
      </c>
      <c r="D71">
        <f>D63-SUM(D66:D70)</f>
        <v>87000</v>
      </c>
      <c r="E71">
        <f>E63-SUM(E66:E70)</f>
        <v>212000</v>
      </c>
      <c r="F71">
        <f t="shared" si="5"/>
        <v>299000</v>
      </c>
    </row>
    <row r="72" spans="2:6" x14ac:dyDescent="0.35">
      <c r="C72" t="s">
        <v>246</v>
      </c>
      <c r="F72">
        <f>D58</f>
        <v>39000</v>
      </c>
    </row>
    <row r="73" spans="2:6" x14ac:dyDescent="0.35">
      <c r="C73" t="s">
        <v>256</v>
      </c>
      <c r="F73">
        <f>F71-F72</f>
        <v>260000</v>
      </c>
    </row>
    <row r="74" spans="2:6" x14ac:dyDescent="0.35">
      <c r="C74" t="s">
        <v>255</v>
      </c>
      <c r="D74">
        <f>D71/D46</f>
        <v>87</v>
      </c>
      <c r="E74">
        <f>E71/E46</f>
        <v>42.4</v>
      </c>
    </row>
    <row r="76" spans="2:6" x14ac:dyDescent="0.35">
      <c r="B76" t="s">
        <v>11</v>
      </c>
      <c r="C76" t="s">
        <v>257</v>
      </c>
    </row>
    <row r="78" spans="2:6" x14ac:dyDescent="0.35">
      <c r="B78">
        <v>10.53</v>
      </c>
    </row>
    <row r="79" spans="2:6" x14ac:dyDescent="0.35">
      <c r="C79" t="s">
        <v>258</v>
      </c>
      <c r="D79" s="2">
        <v>1800</v>
      </c>
      <c r="E79" t="s">
        <v>261</v>
      </c>
    </row>
    <row r="80" spans="2:6" x14ac:dyDescent="0.35">
      <c r="C80" t="s">
        <v>259</v>
      </c>
      <c r="D80">
        <v>150</v>
      </c>
      <c r="E80" t="s">
        <v>261</v>
      </c>
    </row>
    <row r="81" spans="2:5" x14ac:dyDescent="0.35">
      <c r="C81" t="s">
        <v>262</v>
      </c>
      <c r="D81">
        <v>300</v>
      </c>
      <c r="E81" t="s">
        <v>260</v>
      </c>
    </row>
    <row r="82" spans="2:5" x14ac:dyDescent="0.35">
      <c r="C82" t="s">
        <v>263</v>
      </c>
      <c r="D82">
        <v>150</v>
      </c>
      <c r="E82" t="s">
        <v>270</v>
      </c>
    </row>
    <row r="83" spans="2:5" x14ac:dyDescent="0.35">
      <c r="C83" t="s">
        <v>264</v>
      </c>
      <c r="D83">
        <v>250</v>
      </c>
      <c r="E83" t="s">
        <v>270</v>
      </c>
    </row>
    <row r="84" spans="2:5" x14ac:dyDescent="0.35">
      <c r="C84" t="s">
        <v>265</v>
      </c>
      <c r="D84">
        <v>100</v>
      </c>
      <c r="E84" t="s">
        <v>261</v>
      </c>
    </row>
    <row r="85" spans="2:5" x14ac:dyDescent="0.35">
      <c r="C85" t="s">
        <v>266</v>
      </c>
      <c r="D85">
        <v>50</v>
      </c>
      <c r="E85" t="s">
        <v>261</v>
      </c>
    </row>
    <row r="86" spans="2:5" x14ac:dyDescent="0.35">
      <c r="C86" t="s">
        <v>267</v>
      </c>
      <c r="D86">
        <v>450</v>
      </c>
      <c r="E86" t="s">
        <v>261</v>
      </c>
    </row>
    <row r="87" spans="2:5" x14ac:dyDescent="0.35">
      <c r="C87" t="s">
        <v>268</v>
      </c>
      <c r="D87">
        <f>D86*0.4</f>
        <v>180</v>
      </c>
      <c r="E87" t="s">
        <v>261</v>
      </c>
    </row>
    <row r="88" spans="2:5" x14ac:dyDescent="0.35">
      <c r="C88" t="s">
        <v>269</v>
      </c>
      <c r="D88">
        <v>400</v>
      </c>
      <c r="E88" t="s">
        <v>270</v>
      </c>
    </row>
    <row r="89" spans="2:5" x14ac:dyDescent="0.35">
      <c r="C89" t="s">
        <v>268</v>
      </c>
      <c r="D89">
        <f>D88*0.4</f>
        <v>160</v>
      </c>
      <c r="E89" t="s">
        <v>270</v>
      </c>
    </row>
    <row r="90" spans="2:5" x14ac:dyDescent="0.35">
      <c r="C90" t="s">
        <v>271</v>
      </c>
      <c r="D90">
        <v>2500</v>
      </c>
      <c r="E90" t="s">
        <v>270</v>
      </c>
    </row>
    <row r="91" spans="2:5" x14ac:dyDescent="0.35">
      <c r="C91" t="s">
        <v>268</v>
      </c>
      <c r="D91">
        <f>D90*0.4</f>
        <v>1000</v>
      </c>
      <c r="E91" t="s">
        <v>270</v>
      </c>
    </row>
    <row r="93" spans="2:5" x14ac:dyDescent="0.35">
      <c r="E93" t="s">
        <v>274</v>
      </c>
    </row>
    <row r="94" spans="2:5" x14ac:dyDescent="0.35">
      <c r="B94" t="s">
        <v>7</v>
      </c>
      <c r="C94" t="s">
        <v>272</v>
      </c>
      <c r="D94">
        <f>12*(D79+D86)+D90-(D82+D83+12*(D87+D80)+3*D84+9*D85+4*D81+D91)</f>
        <v>22190</v>
      </c>
      <c r="E94">
        <f>D94/12</f>
        <v>1849.1666666666667</v>
      </c>
    </row>
    <row r="95" spans="2:5" x14ac:dyDescent="0.35">
      <c r="C95" t="s">
        <v>273</v>
      </c>
      <c r="D95">
        <f>2*(D79+D86)+D88-(D82+D83+2*(D80+D87+D84)+D89+D81)</f>
        <v>3180</v>
      </c>
      <c r="E95">
        <f>D95/2</f>
        <v>1590</v>
      </c>
    </row>
    <row r="97" spans="2:3" x14ac:dyDescent="0.35">
      <c r="B97" t="s">
        <v>9</v>
      </c>
      <c r="C97" t="s">
        <v>275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0D01-8F13-40FC-AAF7-7F3557C9EB74}">
  <dimension ref="A1:H60"/>
  <sheetViews>
    <sheetView workbookViewId="0"/>
  </sheetViews>
  <sheetFormatPr defaultRowHeight="14.5" x14ac:dyDescent="0.35"/>
  <cols>
    <col min="3" max="3" width="23.36328125" customWidth="1"/>
    <col min="5" max="5" width="14.26953125" customWidth="1"/>
    <col min="6" max="6" width="11.7265625" bestFit="1" customWidth="1"/>
  </cols>
  <sheetData>
    <row r="1" spans="1:8" x14ac:dyDescent="0.35">
      <c r="A1" t="s">
        <v>318</v>
      </c>
    </row>
    <row r="3" spans="1:8" x14ac:dyDescent="0.35">
      <c r="B3">
        <v>16.239999999999998</v>
      </c>
      <c r="C3" t="s">
        <v>286</v>
      </c>
      <c r="D3" t="s">
        <v>276</v>
      </c>
      <c r="E3" t="s">
        <v>277</v>
      </c>
      <c r="F3" t="s">
        <v>279</v>
      </c>
      <c r="G3" t="s">
        <v>278</v>
      </c>
    </row>
    <row r="4" spans="1:8" x14ac:dyDescent="0.35">
      <c r="C4" t="s">
        <v>280</v>
      </c>
      <c r="D4">
        <v>103000</v>
      </c>
      <c r="E4">
        <v>60000</v>
      </c>
      <c r="F4">
        <v>360000</v>
      </c>
      <c r="G4">
        <v>450000</v>
      </c>
      <c r="H4">
        <f>SUM(D4:G4)</f>
        <v>973000</v>
      </c>
    </row>
    <row r="6" spans="1:8" x14ac:dyDescent="0.35">
      <c r="C6" t="s">
        <v>281</v>
      </c>
    </row>
    <row r="7" spans="1:8" x14ac:dyDescent="0.35">
      <c r="D7" t="s">
        <v>284</v>
      </c>
    </row>
    <row r="8" spans="1:8" x14ac:dyDescent="0.35">
      <c r="C8" t="s">
        <v>282</v>
      </c>
      <c r="E8" s="3">
        <v>0.4</v>
      </c>
      <c r="F8" s="3">
        <v>0.3</v>
      </c>
      <c r="G8" s="3">
        <v>0.3</v>
      </c>
    </row>
    <row r="9" spans="1:8" x14ac:dyDescent="0.35">
      <c r="C9" t="s">
        <v>283</v>
      </c>
      <c r="D9" s="3">
        <v>0.2</v>
      </c>
      <c r="F9" s="3">
        <v>0.6</v>
      </c>
      <c r="G9" s="3">
        <v>0.2</v>
      </c>
    </row>
    <row r="12" spans="1:8" x14ac:dyDescent="0.35">
      <c r="C12" t="s">
        <v>285</v>
      </c>
      <c r="D12">
        <f>D4-SUM(D8:G8)*D4+D9*E4</f>
        <v>12000</v>
      </c>
      <c r="E12">
        <f>E4-SUM(D9:G9)*E4+E8*D4</f>
        <v>41200</v>
      </c>
      <c r="F12">
        <f>F4+F8*D4+F9*E4</f>
        <v>426900</v>
      </c>
      <c r="G12">
        <f>G4+G8*D4+G9*E4</f>
        <v>492900</v>
      </c>
      <c r="H12">
        <f>SUM(D12:G12)</f>
        <v>973000</v>
      </c>
    </row>
    <row r="14" spans="1:8" x14ac:dyDescent="0.35">
      <c r="B14">
        <v>16.25</v>
      </c>
      <c r="C14" t="s">
        <v>287</v>
      </c>
    </row>
    <row r="16" spans="1:8" x14ac:dyDescent="0.35">
      <c r="B16" t="s">
        <v>7</v>
      </c>
      <c r="C16" t="s">
        <v>289</v>
      </c>
      <c r="D16" t="s">
        <v>290</v>
      </c>
      <c r="E16">
        <f>E4+E8*D4</f>
        <v>101200</v>
      </c>
    </row>
    <row r="17" spans="2:8" x14ac:dyDescent="0.35">
      <c r="C17" t="s">
        <v>285</v>
      </c>
      <c r="D17">
        <f>D4-D4*SUM(D8:G8)+E16*D9</f>
        <v>20240</v>
      </c>
      <c r="E17">
        <f>E16-E16*SUM(D9:G9)</f>
        <v>0</v>
      </c>
      <c r="F17">
        <f>F4+D4*F8+E16*F9</f>
        <v>451620</v>
      </c>
      <c r="G17">
        <f>G4+G8*D4+G9*E16</f>
        <v>501140</v>
      </c>
      <c r="H17">
        <f>SUM(D17:G17)</f>
        <v>973000</v>
      </c>
    </row>
    <row r="19" spans="2:8" x14ac:dyDescent="0.35">
      <c r="B19" t="s">
        <v>9</v>
      </c>
      <c r="C19" t="s">
        <v>291</v>
      </c>
      <c r="D19">
        <f>D4+D9*E4</f>
        <v>115000</v>
      </c>
      <c r="E19" t="s">
        <v>290</v>
      </c>
    </row>
    <row r="20" spans="2:8" x14ac:dyDescent="0.35">
      <c r="D20">
        <f>D19-SUM(D8:G8)*D19</f>
        <v>0</v>
      </c>
      <c r="E20">
        <f>E4-SUM(D9:G9)*E4+E8*D19</f>
        <v>46000</v>
      </c>
      <c r="F20">
        <f>F4+F8*D19+F9*E4</f>
        <v>430500</v>
      </c>
      <c r="G20">
        <f>G4+G8*D19+G9*E4</f>
        <v>496500</v>
      </c>
      <c r="H20">
        <f t="shared" ref="H18:H20" si="0">SUM(D20:G20)</f>
        <v>973000</v>
      </c>
    </row>
    <row r="23" spans="2:8" x14ac:dyDescent="0.35">
      <c r="B23">
        <v>16.260000000000002</v>
      </c>
      <c r="C23" t="s">
        <v>292</v>
      </c>
      <c r="D23" t="s">
        <v>294</v>
      </c>
    </row>
    <row r="24" spans="2:8" x14ac:dyDescent="0.35">
      <c r="E24" t="s">
        <v>293</v>
      </c>
    </row>
    <row r="25" spans="2:8" x14ac:dyDescent="0.35">
      <c r="C25" t="s">
        <v>295</v>
      </c>
      <c r="D25">
        <v>125000</v>
      </c>
      <c r="E25">
        <v>110000</v>
      </c>
    </row>
    <row r="27" spans="2:8" x14ac:dyDescent="0.35">
      <c r="C27" t="s">
        <v>285</v>
      </c>
      <c r="D27">
        <f>D25-D25*SUM(D8:G8)</f>
        <v>0</v>
      </c>
      <c r="E27">
        <f>E25-E25*SUM(D9:G9)</f>
        <v>0</v>
      </c>
      <c r="F27">
        <f>F8*D25+F9*E25+F4</f>
        <v>463500</v>
      </c>
      <c r="G27">
        <f>G4+G8*D25+E25*G9</f>
        <v>509500</v>
      </c>
      <c r="H27">
        <f>SUM(D27:G27)</f>
        <v>973000</v>
      </c>
    </row>
    <row r="30" spans="2:8" x14ac:dyDescent="0.35">
      <c r="B30">
        <v>16.34</v>
      </c>
    </row>
    <row r="31" spans="2:8" x14ac:dyDescent="0.35">
      <c r="D31" t="s">
        <v>296</v>
      </c>
      <c r="E31" t="s">
        <v>297</v>
      </c>
      <c r="F31" t="s">
        <v>298</v>
      </c>
      <c r="G31" t="s">
        <v>299</v>
      </c>
    </row>
    <row r="32" spans="2:8" x14ac:dyDescent="0.35">
      <c r="C32" t="s">
        <v>300</v>
      </c>
      <c r="D32">
        <v>94000</v>
      </c>
      <c r="E32">
        <v>50000</v>
      </c>
      <c r="F32">
        <v>240000</v>
      </c>
      <c r="G32">
        <v>324000</v>
      </c>
      <c r="H32">
        <f>SUM(D32:G32)</f>
        <v>708000</v>
      </c>
    </row>
    <row r="33" spans="2:8" x14ac:dyDescent="0.35">
      <c r="C33" t="s">
        <v>301</v>
      </c>
    </row>
    <row r="34" spans="2:8" x14ac:dyDescent="0.35">
      <c r="C34" t="s">
        <v>302</v>
      </c>
      <c r="E34">
        <v>1000</v>
      </c>
      <c r="F34">
        <v>4500</v>
      </c>
      <c r="G34">
        <v>4500</v>
      </c>
      <c r="H34" t="s">
        <v>304</v>
      </c>
    </row>
    <row r="35" spans="2:8" x14ac:dyDescent="0.35">
      <c r="C35" t="s">
        <v>306</v>
      </c>
      <c r="D35">
        <f>D34/SUM($D34:$G34)</f>
        <v>0</v>
      </c>
      <c r="E35">
        <f t="shared" ref="E35:G35" si="1">E34/SUM($D34:$G34)</f>
        <v>0.1</v>
      </c>
      <c r="F35">
        <f t="shared" si="1"/>
        <v>0.45</v>
      </c>
      <c r="G35">
        <f t="shared" si="1"/>
        <v>0.45</v>
      </c>
    </row>
    <row r="36" spans="2:8" x14ac:dyDescent="0.35">
      <c r="C36" t="s">
        <v>303</v>
      </c>
      <c r="D36">
        <v>5</v>
      </c>
      <c r="F36">
        <v>18</v>
      </c>
      <c r="G36">
        <v>27</v>
      </c>
      <c r="H36" t="s">
        <v>305</v>
      </c>
    </row>
    <row r="37" spans="2:8" x14ac:dyDescent="0.35">
      <c r="C37" t="s">
        <v>306</v>
      </c>
      <c r="D37">
        <f>D36/SUM($D36:$G36)</f>
        <v>0.1</v>
      </c>
      <c r="E37">
        <f t="shared" ref="E37" si="2">E36/SUM($D36:$G36)</f>
        <v>0</v>
      </c>
      <c r="F37">
        <f t="shared" ref="F37" si="3">F36/SUM($D36:$G36)</f>
        <v>0.36</v>
      </c>
      <c r="G37">
        <f t="shared" ref="G37" si="4">G36/SUM($D36:$G36)</f>
        <v>0.54</v>
      </c>
    </row>
    <row r="38" spans="2:8" x14ac:dyDescent="0.35">
      <c r="C38" t="s">
        <v>307</v>
      </c>
      <c r="F38">
        <v>10000</v>
      </c>
      <c r="G38">
        <v>20000</v>
      </c>
    </row>
    <row r="40" spans="2:8" x14ac:dyDescent="0.35">
      <c r="B40" t="s">
        <v>7</v>
      </c>
      <c r="C40" t="s">
        <v>286</v>
      </c>
    </row>
    <row r="41" spans="2:8" x14ac:dyDescent="0.35">
      <c r="C41" t="s">
        <v>308</v>
      </c>
      <c r="D41">
        <f>D32-D32*SUM(D35:G35)+D37*E32</f>
        <v>5000</v>
      </c>
      <c r="E41">
        <f>E32-E32*SUM(D37:G37)+E35*D32</f>
        <v>9400</v>
      </c>
      <c r="F41">
        <f>F32+F35*D32+F37*E32</f>
        <v>300300</v>
      </c>
      <c r="G41">
        <f>G32+G35*D32+G37*E32</f>
        <v>393300</v>
      </c>
      <c r="H41">
        <f>SUM(D41:G41)</f>
        <v>708000</v>
      </c>
    </row>
    <row r="42" spans="2:8" x14ac:dyDescent="0.35">
      <c r="C42" t="s">
        <v>309</v>
      </c>
      <c r="F42">
        <f>F41/F$38</f>
        <v>30.03</v>
      </c>
      <c r="G42">
        <f>G41/G$38</f>
        <v>19.664999999999999</v>
      </c>
    </row>
    <row r="44" spans="2:8" x14ac:dyDescent="0.35">
      <c r="B44" t="s">
        <v>9</v>
      </c>
      <c r="C44" t="s">
        <v>310</v>
      </c>
    </row>
    <row r="45" spans="2:8" x14ac:dyDescent="0.35">
      <c r="E45">
        <f>E32+E35*D32</f>
        <v>59400</v>
      </c>
    </row>
    <row r="46" spans="2:8" x14ac:dyDescent="0.35">
      <c r="C46" t="s">
        <v>308</v>
      </c>
      <c r="D46">
        <f>D32-SUM(D35:G35)*D32 +D37*E45</f>
        <v>5940</v>
      </c>
      <c r="E46">
        <f>E45-E45*SUM(D37:G37)</f>
        <v>0</v>
      </c>
      <c r="F46">
        <f>F32+F35*D32+F37*E45</f>
        <v>303684</v>
      </c>
      <c r="G46">
        <f>G32+G35*D32+G37*E45</f>
        <v>398376</v>
      </c>
      <c r="H46">
        <f>SUM(D46:G46)</f>
        <v>708000</v>
      </c>
    </row>
    <row r="47" spans="2:8" x14ac:dyDescent="0.35">
      <c r="C47" t="s">
        <v>309</v>
      </c>
      <c r="F47">
        <f>F46/F$38</f>
        <v>30.368400000000001</v>
      </c>
      <c r="G47">
        <f>G46/G$38</f>
        <v>19.918800000000001</v>
      </c>
    </row>
    <row r="48" spans="2:8" x14ac:dyDescent="0.35">
      <c r="B48" t="s">
        <v>11</v>
      </c>
      <c r="C48" t="s">
        <v>311</v>
      </c>
    </row>
    <row r="49" spans="2:8" x14ac:dyDescent="0.35">
      <c r="D49">
        <f>D32+E32*D37</f>
        <v>99000</v>
      </c>
    </row>
    <row r="50" spans="2:8" x14ac:dyDescent="0.35">
      <c r="C50" t="s">
        <v>308</v>
      </c>
      <c r="D50">
        <f>D49-D49*SUM(D35:G35)</f>
        <v>0</v>
      </c>
      <c r="E50">
        <f>E32-E32*SUM(D37:G37)+E35*D49</f>
        <v>9900</v>
      </c>
      <c r="F50">
        <f>F32+F35*D49+F37*E32</f>
        <v>302550</v>
      </c>
      <c r="G50">
        <f>G32+G35*D49+G37*E32</f>
        <v>395550</v>
      </c>
      <c r="H50">
        <f t="shared" ref="H47:H57" si="5">SUM(D50:G50)</f>
        <v>708000</v>
      </c>
    </row>
    <row r="51" spans="2:8" x14ac:dyDescent="0.35">
      <c r="C51" t="s">
        <v>309</v>
      </c>
      <c r="F51">
        <f>F50/F$38</f>
        <v>30.254999999999999</v>
      </c>
      <c r="G51">
        <f>G50/G$38</f>
        <v>19.7775</v>
      </c>
    </row>
    <row r="52" spans="2:8" x14ac:dyDescent="0.35">
      <c r="B52" t="s">
        <v>12</v>
      </c>
      <c r="C52" t="s">
        <v>292</v>
      </c>
    </row>
    <row r="53" spans="2:8" x14ac:dyDescent="0.35">
      <c r="D53" t="s">
        <v>312</v>
      </c>
    </row>
    <row r="54" spans="2:8" x14ac:dyDescent="0.35">
      <c r="E54" t="s">
        <v>313</v>
      </c>
    </row>
    <row r="55" spans="2:8" x14ac:dyDescent="0.35">
      <c r="D55">
        <v>100000</v>
      </c>
      <c r="E55">
        <v>60000</v>
      </c>
    </row>
    <row r="57" spans="2:8" x14ac:dyDescent="0.35">
      <c r="C57" t="s">
        <v>308</v>
      </c>
      <c r="D57">
        <f>D55-D55*SUM(D35:G35)</f>
        <v>0</v>
      </c>
      <c r="E57">
        <f>E55-E55*SUM(D37:G37)</f>
        <v>0</v>
      </c>
      <c r="F57">
        <f>F32+F35*D55+F37*E55</f>
        <v>306600</v>
      </c>
      <c r="G57">
        <f>G32+G35*D55+E55*G37</f>
        <v>401400</v>
      </c>
      <c r="H57">
        <f t="shared" si="5"/>
        <v>708000</v>
      </c>
    </row>
    <row r="58" spans="2:8" x14ac:dyDescent="0.35">
      <c r="C58" t="s">
        <v>309</v>
      </c>
      <c r="F58">
        <f>F57/F$38</f>
        <v>30.66</v>
      </c>
      <c r="G58">
        <f>G57/G$38</f>
        <v>20.07</v>
      </c>
    </row>
    <row r="60" spans="2:8" x14ac:dyDescent="0.35">
      <c r="B60" t="s">
        <v>54</v>
      </c>
      <c r="C6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F927-407D-4435-A00B-79CB19DD567D}">
  <dimension ref="A1:I86"/>
  <sheetViews>
    <sheetView tabSelected="1" workbookViewId="0">
      <selection activeCell="A88" sqref="A88"/>
    </sheetView>
  </sheetViews>
  <sheetFormatPr defaultRowHeight="14.5" x14ac:dyDescent="0.35"/>
  <cols>
    <col min="5" max="5" width="12.453125" bestFit="1" customWidth="1"/>
    <col min="9" max="9" width="10.90625" customWidth="1"/>
  </cols>
  <sheetData>
    <row r="1" spans="1:8" x14ac:dyDescent="0.35">
      <c r="A1" t="s">
        <v>319</v>
      </c>
    </row>
    <row r="2" spans="1:8" x14ac:dyDescent="0.35">
      <c r="A2">
        <v>9.4</v>
      </c>
    </row>
    <row r="3" spans="1:8" x14ac:dyDescent="0.35">
      <c r="B3" t="s">
        <v>93</v>
      </c>
      <c r="C3">
        <v>0</v>
      </c>
    </row>
    <row r="4" spans="1:8" x14ac:dyDescent="0.35">
      <c r="B4" t="s">
        <v>94</v>
      </c>
      <c r="C4">
        <v>2000</v>
      </c>
    </row>
    <row r="5" spans="1:8" x14ac:dyDescent="0.35">
      <c r="B5" t="s">
        <v>95</v>
      </c>
      <c r="C5">
        <v>1600</v>
      </c>
    </row>
    <row r="6" spans="1:8" x14ac:dyDescent="0.35">
      <c r="B6" t="s">
        <v>96</v>
      </c>
      <c r="C6">
        <v>50</v>
      </c>
    </row>
    <row r="7" spans="1:8" x14ac:dyDescent="0.35">
      <c r="B7" t="s">
        <v>97</v>
      </c>
      <c r="C7">
        <v>24000</v>
      </c>
    </row>
    <row r="8" spans="1:8" x14ac:dyDescent="0.35">
      <c r="B8" t="s">
        <v>98</v>
      </c>
      <c r="C8">
        <v>10000</v>
      </c>
    </row>
    <row r="9" spans="1:8" x14ac:dyDescent="0.35">
      <c r="B9" t="s">
        <v>99</v>
      </c>
      <c r="C9">
        <v>16</v>
      </c>
    </row>
    <row r="10" spans="1:8" x14ac:dyDescent="0.35">
      <c r="B10" t="s">
        <v>100</v>
      </c>
      <c r="C10">
        <v>6</v>
      </c>
    </row>
    <row r="11" spans="1:8" x14ac:dyDescent="0.35">
      <c r="A11" t="s">
        <v>327</v>
      </c>
    </row>
    <row r="12" spans="1:8" x14ac:dyDescent="0.35">
      <c r="A12">
        <f>C9*(C4-C5)</f>
        <v>6400</v>
      </c>
      <c r="B12" t="s">
        <v>7</v>
      </c>
      <c r="C12" t="s">
        <v>325</v>
      </c>
      <c r="D12">
        <f>(C6-C9-C10)*C5-C7-C8</f>
        <v>10800</v>
      </c>
      <c r="E12" t="s">
        <v>103</v>
      </c>
    </row>
    <row r="13" spans="1:8" x14ac:dyDescent="0.35">
      <c r="A13">
        <f>(C4-C5)*(C9+C7/C4)</f>
        <v>11200</v>
      </c>
      <c r="B13" t="s">
        <v>9</v>
      </c>
      <c r="C13" t="s">
        <v>326</v>
      </c>
      <c r="D13">
        <f>C5*(C6-C7/C4-C9-C10)-C8</f>
        <v>15600</v>
      </c>
      <c r="E13" t="s">
        <v>328</v>
      </c>
    </row>
    <row r="14" spans="1:8" x14ac:dyDescent="0.35">
      <c r="B14" t="s">
        <v>11</v>
      </c>
      <c r="C14" t="s">
        <v>329</v>
      </c>
    </row>
    <row r="15" spans="1:8" x14ac:dyDescent="0.35">
      <c r="E15" t="s">
        <v>101</v>
      </c>
      <c r="H15" t="s">
        <v>102</v>
      </c>
    </row>
    <row r="16" spans="1:8" x14ac:dyDescent="0.35">
      <c r="A16">
        <v>9.41</v>
      </c>
      <c r="D16" t="s">
        <v>7</v>
      </c>
      <c r="E16" t="s">
        <v>351</v>
      </c>
      <c r="H16" t="s">
        <v>350</v>
      </c>
    </row>
    <row r="17" spans="2:9" x14ac:dyDescent="0.35">
      <c r="B17" t="s">
        <v>330</v>
      </c>
      <c r="C17">
        <v>1000</v>
      </c>
      <c r="E17" t="s">
        <v>332</v>
      </c>
      <c r="F17">
        <f>C22*C23</f>
        <v>6075000</v>
      </c>
      <c r="H17" t="s">
        <v>332</v>
      </c>
      <c r="I17">
        <f>C22*C23</f>
        <v>6075000</v>
      </c>
    </row>
    <row r="18" spans="2:9" x14ac:dyDescent="0.35">
      <c r="B18" t="s">
        <v>335</v>
      </c>
      <c r="C18">
        <v>70</v>
      </c>
      <c r="E18" t="s">
        <v>107</v>
      </c>
      <c r="H18" t="s">
        <v>48</v>
      </c>
    </row>
    <row r="19" spans="2:9" x14ac:dyDescent="0.35">
      <c r="B19" t="s">
        <v>104</v>
      </c>
      <c r="C19">
        <v>140</v>
      </c>
      <c r="E19" t="s">
        <v>333</v>
      </c>
      <c r="F19">
        <f>C22*(C19+C18)</f>
        <v>2835000</v>
      </c>
      <c r="H19" t="s">
        <v>333</v>
      </c>
      <c r="I19">
        <f>C22*(C18+C19)</f>
        <v>2835000</v>
      </c>
    </row>
    <row r="20" spans="2:9" x14ac:dyDescent="0.35">
      <c r="B20" t="s">
        <v>52</v>
      </c>
      <c r="C20">
        <v>1500000</v>
      </c>
      <c r="E20" t="s">
        <v>334</v>
      </c>
      <c r="F20">
        <f>C22*C24</f>
        <v>675000</v>
      </c>
      <c r="H20" t="s">
        <v>347</v>
      </c>
      <c r="I20">
        <f>C20*C22/C21</f>
        <v>1350000</v>
      </c>
    </row>
    <row r="21" spans="2:9" x14ac:dyDescent="0.35">
      <c r="B21" t="s">
        <v>105</v>
      </c>
      <c r="C21">
        <v>15000</v>
      </c>
      <c r="E21" t="s">
        <v>337</v>
      </c>
      <c r="F21">
        <f>F17-F19-F20</f>
        <v>2565000</v>
      </c>
      <c r="H21" t="s">
        <v>348</v>
      </c>
      <c r="I21">
        <f>I17-I19-I20</f>
        <v>1890000</v>
      </c>
    </row>
    <row r="22" spans="2:9" x14ac:dyDescent="0.35">
      <c r="B22" t="s">
        <v>106</v>
      </c>
      <c r="C22">
        <v>13500</v>
      </c>
      <c r="E22" t="s">
        <v>30</v>
      </c>
      <c r="H22" t="s">
        <v>349</v>
      </c>
    </row>
    <row r="23" spans="2:9" x14ac:dyDescent="0.35">
      <c r="B23" t="s">
        <v>96</v>
      </c>
      <c r="C23">
        <v>450</v>
      </c>
      <c r="E23" t="s">
        <v>338</v>
      </c>
      <c r="F23">
        <f>C20</f>
        <v>1500000</v>
      </c>
      <c r="H23" t="s">
        <v>336</v>
      </c>
      <c r="I23">
        <f>C24*C22</f>
        <v>675000</v>
      </c>
    </row>
    <row r="24" spans="2:9" x14ac:dyDescent="0.35">
      <c r="B24" t="s">
        <v>336</v>
      </c>
      <c r="C24">
        <v>50</v>
      </c>
      <c r="E24" t="s">
        <v>339</v>
      </c>
      <c r="F24">
        <f>C25</f>
        <v>625000</v>
      </c>
      <c r="H24" t="s">
        <v>339</v>
      </c>
      <c r="I24">
        <f>C25</f>
        <v>625000</v>
      </c>
    </row>
    <row r="25" spans="2:9" x14ac:dyDescent="0.35">
      <c r="B25" t="s">
        <v>339</v>
      </c>
      <c r="C25">
        <v>625000</v>
      </c>
      <c r="E25" t="s">
        <v>340</v>
      </c>
      <c r="F25">
        <f>F21-F23-F24</f>
        <v>440000</v>
      </c>
      <c r="H25" t="s">
        <v>109</v>
      </c>
      <c r="I25">
        <f>I21-I23-I24</f>
        <v>590000</v>
      </c>
    </row>
    <row r="26" spans="2:9" x14ac:dyDescent="0.35">
      <c r="E26" t="s">
        <v>341</v>
      </c>
      <c r="H26" t="s">
        <v>341</v>
      </c>
    </row>
    <row r="27" spans="2:9" x14ac:dyDescent="0.35">
      <c r="E27" t="s">
        <v>342</v>
      </c>
      <c r="F27">
        <f>C21-C22</f>
        <v>1500</v>
      </c>
      <c r="H27" t="s">
        <v>342</v>
      </c>
      <c r="I27">
        <f>C21-C22</f>
        <v>1500</v>
      </c>
    </row>
    <row r="28" spans="2:9" x14ac:dyDescent="0.35">
      <c r="E28" t="s">
        <v>343</v>
      </c>
      <c r="F28">
        <f>C18+C19</f>
        <v>210</v>
      </c>
      <c r="H28" t="s">
        <v>352</v>
      </c>
      <c r="I28">
        <f>C18+C19+C20/C21</f>
        <v>310</v>
      </c>
    </row>
    <row r="29" spans="2:9" x14ac:dyDescent="0.35">
      <c r="E29" t="s">
        <v>344</v>
      </c>
      <c r="F29">
        <f>F28*F27</f>
        <v>315000</v>
      </c>
      <c r="H29" t="s">
        <v>344</v>
      </c>
      <c r="I29">
        <f>I27*I28</f>
        <v>465000</v>
      </c>
    </row>
    <row r="30" spans="2:9" x14ac:dyDescent="0.35">
      <c r="E30" t="s">
        <v>353</v>
      </c>
      <c r="F30">
        <f>F25-F29</f>
        <v>125000</v>
      </c>
      <c r="H30" t="s">
        <v>353</v>
      </c>
      <c r="I30">
        <f>I25-I29</f>
        <v>125000</v>
      </c>
    </row>
    <row r="31" spans="2:9" x14ac:dyDescent="0.35">
      <c r="D31" t="s">
        <v>11</v>
      </c>
      <c r="E31" t="s">
        <v>345</v>
      </c>
    </row>
    <row r="32" spans="2:9" x14ac:dyDescent="0.35">
      <c r="E32" t="s">
        <v>346</v>
      </c>
    </row>
    <row r="33" spans="1:9" x14ac:dyDescent="0.35">
      <c r="H33" t="s">
        <v>354</v>
      </c>
    </row>
    <row r="34" spans="1:9" x14ac:dyDescent="0.35">
      <c r="H34" t="s">
        <v>355</v>
      </c>
    </row>
    <row r="36" spans="1:9" x14ac:dyDescent="0.35">
      <c r="D36" t="s">
        <v>356</v>
      </c>
    </row>
    <row r="38" spans="1:9" x14ac:dyDescent="0.35">
      <c r="A38">
        <v>9.49</v>
      </c>
    </row>
    <row r="39" spans="1:9" x14ac:dyDescent="0.35">
      <c r="B39" t="s">
        <v>357</v>
      </c>
      <c r="C39">
        <v>400</v>
      </c>
    </row>
    <row r="40" spans="1:9" x14ac:dyDescent="0.35">
      <c r="B40" t="s">
        <v>358</v>
      </c>
      <c r="C40">
        <v>100</v>
      </c>
    </row>
    <row r="41" spans="1:9" x14ac:dyDescent="0.35">
      <c r="B41" t="s">
        <v>359</v>
      </c>
      <c r="C41">
        <f>C40+C39</f>
        <v>500</v>
      </c>
    </row>
    <row r="43" spans="1:9" x14ac:dyDescent="0.35">
      <c r="B43" t="s">
        <v>360</v>
      </c>
    </row>
    <row r="45" spans="1:9" x14ac:dyDescent="0.35">
      <c r="A45">
        <v>9.6199999999999992</v>
      </c>
      <c r="B45" t="s">
        <v>102</v>
      </c>
    </row>
    <row r="46" spans="1:9" x14ac:dyDescent="0.35">
      <c r="B46" t="s">
        <v>361</v>
      </c>
      <c r="C46">
        <v>1500</v>
      </c>
      <c r="D46" t="s">
        <v>223</v>
      </c>
      <c r="H46">
        <v>11250</v>
      </c>
      <c r="I46" t="s">
        <v>366</v>
      </c>
    </row>
    <row r="47" spans="1:9" x14ac:dyDescent="0.35">
      <c r="C47" t="s">
        <v>248</v>
      </c>
      <c r="D47" t="s">
        <v>362</v>
      </c>
      <c r="F47" t="s">
        <v>365</v>
      </c>
      <c r="G47">
        <v>750</v>
      </c>
      <c r="H47">
        <v>45000</v>
      </c>
      <c r="I47" t="s">
        <v>371</v>
      </c>
    </row>
    <row r="48" spans="1:9" x14ac:dyDescent="0.35">
      <c r="B48" t="s">
        <v>332</v>
      </c>
      <c r="C48">
        <v>150000</v>
      </c>
      <c r="D48">
        <f>C48/$C$46</f>
        <v>100</v>
      </c>
      <c r="F48" t="s">
        <v>367</v>
      </c>
      <c r="G48">
        <v>1250</v>
      </c>
    </row>
    <row r="49" spans="2:7" x14ac:dyDescent="0.35">
      <c r="B49" t="s">
        <v>59</v>
      </c>
      <c r="C49">
        <v>105000</v>
      </c>
      <c r="D49">
        <f t="shared" ref="D49:D52" si="0">C49/$C$46</f>
        <v>70</v>
      </c>
      <c r="F49" t="s">
        <v>368</v>
      </c>
      <c r="G49">
        <v>50</v>
      </c>
    </row>
    <row r="50" spans="2:7" x14ac:dyDescent="0.35">
      <c r="B50" t="s">
        <v>348</v>
      </c>
      <c r="C50">
        <f>C48-C49</f>
        <v>45000</v>
      </c>
      <c r="D50">
        <f t="shared" si="0"/>
        <v>30</v>
      </c>
      <c r="F50" t="s">
        <v>339</v>
      </c>
      <c r="G50">
        <v>12000</v>
      </c>
    </row>
    <row r="51" spans="2:7" x14ac:dyDescent="0.35">
      <c r="B51" t="s">
        <v>363</v>
      </c>
      <c r="C51">
        <v>18000</v>
      </c>
      <c r="D51">
        <f t="shared" si="0"/>
        <v>12</v>
      </c>
      <c r="F51" t="s">
        <v>370</v>
      </c>
      <c r="G51">
        <f>G47+G48-C46</f>
        <v>500</v>
      </c>
    </row>
    <row r="52" spans="2:7" x14ac:dyDescent="0.35">
      <c r="B52" t="s">
        <v>364</v>
      </c>
      <c r="C52">
        <v>27000</v>
      </c>
      <c r="D52">
        <f t="shared" si="0"/>
        <v>18</v>
      </c>
    </row>
    <row r="54" spans="2:7" x14ac:dyDescent="0.35">
      <c r="B54" t="s">
        <v>7</v>
      </c>
      <c r="C54" t="s">
        <v>369</v>
      </c>
      <c r="D54">
        <f>G51*G49</f>
        <v>25000</v>
      </c>
    </row>
    <row r="56" spans="2:7" x14ac:dyDescent="0.35">
      <c r="B56" t="s">
        <v>9</v>
      </c>
      <c r="C56">
        <f>((C49-H47)/G47-G49)*G48</f>
        <v>37500</v>
      </c>
      <c r="D56" t="s">
        <v>97</v>
      </c>
    </row>
    <row r="58" spans="2:7" x14ac:dyDescent="0.35">
      <c r="B58" t="s">
        <v>11</v>
      </c>
      <c r="C58" t="s">
        <v>108</v>
      </c>
    </row>
    <row r="59" spans="2:7" x14ac:dyDescent="0.35">
      <c r="C59" t="s">
        <v>331</v>
      </c>
    </row>
    <row r="60" spans="2:7" x14ac:dyDescent="0.35">
      <c r="C60" t="s">
        <v>332</v>
      </c>
      <c r="D60">
        <f>C48</f>
        <v>150000</v>
      </c>
    </row>
    <row r="61" spans="2:7" x14ac:dyDescent="0.35">
      <c r="C61" t="s">
        <v>107</v>
      </c>
    </row>
    <row r="62" spans="2:7" x14ac:dyDescent="0.35">
      <c r="C62" t="s">
        <v>99</v>
      </c>
      <c r="D62">
        <f>H47-H46+G47*G49</f>
        <v>71250</v>
      </c>
    </row>
    <row r="63" spans="2:7" x14ac:dyDescent="0.35">
      <c r="C63" t="s">
        <v>100</v>
      </c>
      <c r="D63">
        <f>C51-G50</f>
        <v>6000</v>
      </c>
    </row>
    <row r="64" spans="2:7" x14ac:dyDescent="0.35">
      <c r="C64" t="s">
        <v>337</v>
      </c>
      <c r="D64">
        <f>D60-D62-D63</f>
        <v>72750</v>
      </c>
    </row>
    <row r="65" spans="1:5" x14ac:dyDescent="0.35">
      <c r="C65" t="s">
        <v>30</v>
      </c>
    </row>
    <row r="66" spans="1:5" x14ac:dyDescent="0.35">
      <c r="C66" t="s">
        <v>338</v>
      </c>
      <c r="D66">
        <f>C56</f>
        <v>37500</v>
      </c>
    </row>
    <row r="67" spans="1:5" x14ac:dyDescent="0.35">
      <c r="C67" t="s">
        <v>98</v>
      </c>
      <c r="D67">
        <f>G50</f>
        <v>12000</v>
      </c>
    </row>
    <row r="68" spans="1:5" x14ac:dyDescent="0.35">
      <c r="C68" t="s">
        <v>364</v>
      </c>
      <c r="D68">
        <f>D64-D66-D67</f>
        <v>23250</v>
      </c>
    </row>
    <row r="70" spans="1:5" x14ac:dyDescent="0.35">
      <c r="B70" t="s">
        <v>12</v>
      </c>
      <c r="C70" t="s">
        <v>372</v>
      </c>
    </row>
    <row r="72" spans="1:5" x14ac:dyDescent="0.35">
      <c r="C72" t="s">
        <v>373</v>
      </c>
      <c r="D72">
        <f>D68</f>
        <v>23250</v>
      </c>
    </row>
    <row r="73" spans="1:5" x14ac:dyDescent="0.35">
      <c r="C73" t="s">
        <v>374</v>
      </c>
      <c r="D73">
        <f>(G47+G48-C46)*((C49-H47)/G47-G49)</f>
        <v>15000</v>
      </c>
    </row>
    <row r="74" spans="1:5" x14ac:dyDescent="0.35">
      <c r="C74" t="s">
        <v>375</v>
      </c>
      <c r="D74">
        <f>H46</f>
        <v>11250</v>
      </c>
    </row>
    <row r="75" spans="1:5" x14ac:dyDescent="0.35">
      <c r="C75" t="s">
        <v>376</v>
      </c>
      <c r="D75">
        <f>D72+D73-D74</f>
        <v>27000</v>
      </c>
    </row>
    <row r="77" spans="1:5" x14ac:dyDescent="0.35">
      <c r="A77">
        <v>9.66</v>
      </c>
    </row>
    <row r="78" spans="1:5" x14ac:dyDescent="0.35">
      <c r="B78" t="s">
        <v>7</v>
      </c>
      <c r="C78" t="s">
        <v>377</v>
      </c>
      <c r="D78">
        <v>5000</v>
      </c>
      <c r="E78" t="s">
        <v>384</v>
      </c>
    </row>
    <row r="79" spans="1:5" x14ac:dyDescent="0.35">
      <c r="C79" t="s">
        <v>378</v>
      </c>
      <c r="D79">
        <v>1800</v>
      </c>
    </row>
    <row r="81" spans="2:5" x14ac:dyDescent="0.35">
      <c r="B81" t="s">
        <v>9</v>
      </c>
      <c r="C81" t="s">
        <v>380</v>
      </c>
      <c r="D81">
        <v>0</v>
      </c>
      <c r="E81" t="s">
        <v>385</v>
      </c>
    </row>
    <row r="82" spans="2:5" x14ac:dyDescent="0.35">
      <c r="C82" t="s">
        <v>379</v>
      </c>
      <c r="D82">
        <v>450</v>
      </c>
    </row>
    <row r="83" spans="2:5" x14ac:dyDescent="0.35">
      <c r="C83" t="s">
        <v>381</v>
      </c>
      <c r="D83">
        <v>200</v>
      </c>
    </row>
    <row r="85" spans="2:5" x14ac:dyDescent="0.35">
      <c r="B85" t="s">
        <v>11</v>
      </c>
      <c r="C85" t="s">
        <v>382</v>
      </c>
      <c r="D85">
        <v>1800</v>
      </c>
      <c r="E85" t="s">
        <v>386</v>
      </c>
    </row>
    <row r="86" spans="2:5" x14ac:dyDescent="0.35">
      <c r="D86">
        <v>1800</v>
      </c>
      <c r="E86" t="s">
        <v>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5AA1-A86E-4AAE-ACC0-DDA3CDB3A684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320</v>
      </c>
    </row>
    <row r="3" spans="1:2" x14ac:dyDescent="0.35">
      <c r="B3">
        <v>15.32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14</vt:lpstr>
      <vt:lpstr>10</vt:lpstr>
      <vt:lpstr>16</vt:lpstr>
      <vt:lpstr>9</vt:lpstr>
      <vt:lpstr>15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Wolz</dc:creator>
  <cp:lastModifiedBy>Andrew Wolz</cp:lastModifiedBy>
  <dcterms:created xsi:type="dcterms:W3CDTF">2025-03-16T04:51:30Z</dcterms:created>
  <dcterms:modified xsi:type="dcterms:W3CDTF">2025-06-25T02:55:38Z</dcterms:modified>
</cp:coreProperties>
</file>