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ce01b99ac21e8/GitHub/Investment Banking Technicals/"/>
    </mc:Choice>
  </mc:AlternateContent>
  <xr:revisionPtr revIDLastSave="0" documentId="8_{2DB265A5-C981-4C8E-9543-8620BDDD6451}" xr6:coauthVersionLast="47" xr6:coauthVersionMax="47" xr10:uidLastSave="{00000000-0000-0000-0000-000000000000}"/>
  <bookViews>
    <workbookView xWindow="-110" yWindow="-110" windowWidth="25180" windowHeight="16140" activeTab="6" xr2:uid="{0278CD55-8866-460C-98E7-B5D1C9FEDCB3}"/>
  </bookViews>
  <sheets>
    <sheet name="DCF" sheetId="7" r:id="rId1"/>
    <sheet name="WACC" sheetId="6" r:id="rId2"/>
    <sheet name="Shares" sheetId="5" r:id="rId3"/>
    <sheet name="IS - Historicals" sheetId="2" r:id="rId4"/>
    <sheet name="IS - Forecast" sheetId="4" r:id="rId5"/>
    <sheet name="CFS - Historicals" sheetId="8" r:id="rId6"/>
    <sheet name="CFS - Forecast" sheetId="3" r:id="rId7"/>
  </sheets>
  <definedNames>
    <definedName name="tgr">DCF!$E$19</definedName>
    <definedName name="wacc">DCF!$E$18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7" l="1"/>
  <c r="P64" i="7"/>
  <c r="O64" i="7"/>
  <c r="N43" i="7"/>
  <c r="F35" i="7"/>
  <c r="G35" i="7"/>
  <c r="H35" i="7"/>
  <c r="I35" i="7"/>
  <c r="J35" i="7"/>
  <c r="K35" i="7"/>
  <c r="L35" i="7"/>
  <c r="L63" i="7" s="1"/>
  <c r="M35" i="7"/>
  <c r="M63" i="7" s="1"/>
  <c r="N35" i="7"/>
  <c r="E35" i="7"/>
  <c r="S82" i="7"/>
  <c r="F18" i="6"/>
  <c r="F20" i="6"/>
  <c r="F16" i="6" s="1"/>
  <c r="F10" i="6"/>
  <c r="F8" i="6"/>
  <c r="E16" i="5"/>
  <c r="E11" i="5"/>
  <c r="E10" i="5"/>
  <c r="E8" i="5"/>
  <c r="E9" i="5"/>
  <c r="E19" i="7"/>
  <c r="K63" i="7"/>
  <c r="I63" i="7"/>
  <c r="G63" i="7"/>
  <c r="F63" i="7"/>
  <c r="N63" i="7"/>
  <c r="H63" i="7"/>
  <c r="S56" i="7"/>
  <c r="R56" i="7"/>
  <c r="Q56" i="7"/>
  <c r="P56" i="7"/>
  <c r="O56" i="7"/>
  <c r="O53" i="7"/>
  <c r="S79" i="7"/>
  <c r="J63" i="7"/>
  <c r="Q51" i="7"/>
  <c r="P46" i="7"/>
  <c r="P45" i="7"/>
  <c r="F32" i="7"/>
  <c r="F60" i="7" s="1"/>
  <c r="G32" i="7"/>
  <c r="G60" i="7" s="1"/>
  <c r="H32" i="7"/>
  <c r="I32" i="7"/>
  <c r="J32" i="7"/>
  <c r="J60" i="7" s="1"/>
  <c r="K32" i="7"/>
  <c r="L32" i="7"/>
  <c r="M32" i="7"/>
  <c r="N32" i="7"/>
  <c r="E32" i="7"/>
  <c r="E33" i="7"/>
  <c r="H60" i="7"/>
  <c r="F49" i="7"/>
  <c r="E63" i="7"/>
  <c r="E38" i="7"/>
  <c r="E66" i="7" s="1"/>
  <c r="Q52" i="7"/>
  <c r="P52" i="7"/>
  <c r="O52" i="7"/>
  <c r="O50" i="7"/>
  <c r="E28" i="7"/>
  <c r="E55" i="7" s="1"/>
  <c r="E25" i="7"/>
  <c r="E49" i="7" s="1"/>
  <c r="F22" i="7"/>
  <c r="F26" i="7" s="1"/>
  <c r="F50" i="7" s="1"/>
  <c r="E22" i="7"/>
  <c r="E43" i="7" s="1"/>
  <c r="V92" i="7"/>
  <c r="V93" i="7" s="1"/>
  <c r="V90" i="7"/>
  <c r="V89" i="7" s="1"/>
  <c r="Z88" i="7"/>
  <c r="AA88" i="7" s="1"/>
  <c r="X88" i="7"/>
  <c r="W88" i="7" s="1"/>
  <c r="J5" i="7"/>
  <c r="O72" i="7"/>
  <c r="O73" i="7" s="1"/>
  <c r="L60" i="7"/>
  <c r="J49" i="7"/>
  <c r="I49" i="7"/>
  <c r="E44" i="7"/>
  <c r="I39" i="7"/>
  <c r="I67" i="7" s="1"/>
  <c r="N38" i="7"/>
  <c r="N66" i="7" s="1"/>
  <c r="M38" i="7"/>
  <c r="M66" i="7" s="1"/>
  <c r="L38" i="7"/>
  <c r="L66" i="7" s="1"/>
  <c r="K38" i="7"/>
  <c r="K66" i="7" s="1"/>
  <c r="J38" i="7"/>
  <c r="I38" i="7"/>
  <c r="H38" i="7"/>
  <c r="G38" i="7"/>
  <c r="G39" i="7" s="1"/>
  <c r="G67" i="7" s="1"/>
  <c r="F38" i="7"/>
  <c r="F66" i="7" s="1"/>
  <c r="P26" i="7"/>
  <c r="N28" i="7"/>
  <c r="N55" i="7" s="1"/>
  <c r="M28" i="7"/>
  <c r="M55" i="7" s="1"/>
  <c r="L28" i="7"/>
  <c r="L55" i="7" s="1"/>
  <c r="K28" i="7"/>
  <c r="K55" i="7" s="1"/>
  <c r="J28" i="7"/>
  <c r="J29" i="7" s="1"/>
  <c r="J56" i="7" s="1"/>
  <c r="I28" i="7"/>
  <c r="I29" i="7" s="1"/>
  <c r="I56" i="7" s="1"/>
  <c r="H28" i="7"/>
  <c r="H55" i="7" s="1"/>
  <c r="G28" i="7"/>
  <c r="G55" i="7" s="1"/>
  <c r="F28" i="7"/>
  <c r="F55" i="7" s="1"/>
  <c r="S25" i="7"/>
  <c r="R25" i="7"/>
  <c r="Q25" i="7"/>
  <c r="Q26" i="7" s="1"/>
  <c r="P25" i="7"/>
  <c r="O25" i="7"/>
  <c r="O26" i="7" s="1"/>
  <c r="N25" i="7"/>
  <c r="M25" i="7"/>
  <c r="M49" i="7" s="1"/>
  <c r="L25" i="7"/>
  <c r="L26" i="7" s="1"/>
  <c r="L50" i="7" s="1"/>
  <c r="K25" i="7"/>
  <c r="K49" i="7" s="1"/>
  <c r="J25" i="7"/>
  <c r="I25" i="7"/>
  <c r="H25" i="7"/>
  <c r="H49" i="7" s="1"/>
  <c r="G25" i="7"/>
  <c r="G49" i="7" s="1"/>
  <c r="F25" i="7"/>
  <c r="Q23" i="7"/>
  <c r="P23" i="7"/>
  <c r="S22" i="7"/>
  <c r="S23" i="7" s="1"/>
  <c r="R22" i="7"/>
  <c r="Q22" i="7"/>
  <c r="P22" i="7"/>
  <c r="O22" i="7"/>
  <c r="O23" i="7" s="1"/>
  <c r="O46" i="7" s="1"/>
  <c r="O45" i="7" s="1"/>
  <c r="N22" i="7"/>
  <c r="M22" i="7"/>
  <c r="N23" i="7" s="1"/>
  <c r="N44" i="7" s="1"/>
  <c r="L22" i="7"/>
  <c r="L43" i="7" s="1"/>
  <c r="K22" i="7"/>
  <c r="J22" i="7"/>
  <c r="J26" i="7" s="1"/>
  <c r="J50" i="7" s="1"/>
  <c r="I22" i="7"/>
  <c r="H22" i="7"/>
  <c r="H43" i="7" s="1"/>
  <c r="G22" i="7"/>
  <c r="G43" i="7" s="1"/>
  <c r="F9" i="6" l="1"/>
  <c r="F22" i="6" s="1"/>
  <c r="P47" i="7"/>
  <c r="K36" i="7"/>
  <c r="K64" i="7" s="1"/>
  <c r="N40" i="7"/>
  <c r="P73" i="7"/>
  <c r="Q73" i="7" s="1"/>
  <c r="R73" i="7" s="1"/>
  <c r="S73" i="7" s="1"/>
  <c r="I33" i="7"/>
  <c r="I61" i="7" s="1"/>
  <c r="H40" i="7"/>
  <c r="J39" i="7"/>
  <c r="J67" i="7" s="1"/>
  <c r="G33" i="7"/>
  <c r="G61" i="7" s="1"/>
  <c r="I40" i="7"/>
  <c r="K39" i="7"/>
  <c r="K67" i="7" s="1"/>
  <c r="M43" i="7"/>
  <c r="N26" i="7"/>
  <c r="N50" i="7" s="1"/>
  <c r="E29" i="7"/>
  <c r="E56" i="7" s="1"/>
  <c r="K33" i="7"/>
  <c r="K61" i="7" s="1"/>
  <c r="M36" i="7"/>
  <c r="M64" i="7" s="1"/>
  <c r="J40" i="7"/>
  <c r="L39" i="7"/>
  <c r="L67" i="7" s="1"/>
  <c r="L29" i="7"/>
  <c r="L56" i="7" s="1"/>
  <c r="N36" i="7"/>
  <c r="N64" i="7" s="1"/>
  <c r="M39" i="7"/>
  <c r="M67" i="7" s="1"/>
  <c r="I23" i="7"/>
  <c r="I44" i="7" s="1"/>
  <c r="R23" i="7"/>
  <c r="E61" i="7"/>
  <c r="M33" i="7"/>
  <c r="M61" i="7" s="1"/>
  <c r="E36" i="7"/>
  <c r="E64" i="7" s="1"/>
  <c r="N39" i="7"/>
  <c r="N67" i="7" s="1"/>
  <c r="I60" i="7"/>
  <c r="N33" i="7"/>
  <c r="N61" i="7" s="1"/>
  <c r="E39" i="7"/>
  <c r="E67" i="7" s="1"/>
  <c r="L40" i="7"/>
  <c r="E26" i="7"/>
  <c r="E50" i="7" s="1"/>
  <c r="F39" i="7"/>
  <c r="F67" i="7" s="1"/>
  <c r="M40" i="7"/>
  <c r="K60" i="7"/>
  <c r="M29" i="7"/>
  <c r="M56" i="7" s="1"/>
  <c r="F29" i="7"/>
  <c r="F56" i="7" s="1"/>
  <c r="G29" i="7"/>
  <c r="G56" i="7" s="1"/>
  <c r="N29" i="7"/>
  <c r="N56" i="7" s="1"/>
  <c r="Q46" i="7"/>
  <c r="P44" i="7"/>
  <c r="P51" i="7"/>
  <c r="P53" i="7"/>
  <c r="P50" i="7"/>
  <c r="O51" i="7"/>
  <c r="O67" i="7"/>
  <c r="P67" i="7" s="1"/>
  <c r="Q67" i="7" s="1"/>
  <c r="R67" i="7" s="1"/>
  <c r="S67" i="7" s="1"/>
  <c r="G36" i="7"/>
  <c r="G64" i="7" s="1"/>
  <c r="S26" i="7"/>
  <c r="H66" i="7"/>
  <c r="K29" i="7"/>
  <c r="K56" i="7" s="1"/>
  <c r="H33" i="7"/>
  <c r="H61" i="7" s="1"/>
  <c r="H39" i="7"/>
  <c r="H67" i="7" s="1"/>
  <c r="K40" i="7"/>
  <c r="I55" i="7"/>
  <c r="J55" i="7"/>
  <c r="R26" i="7"/>
  <c r="H26" i="7"/>
  <c r="H50" i="7" s="1"/>
  <c r="I36" i="7"/>
  <c r="I64" i="7" s="1"/>
  <c r="M60" i="7"/>
  <c r="I66" i="7"/>
  <c r="J36" i="7"/>
  <c r="J64" i="7" s="1"/>
  <c r="J23" i="7"/>
  <c r="J44" i="7" s="1"/>
  <c r="F40" i="7"/>
  <c r="L49" i="7"/>
  <c r="K23" i="7"/>
  <c r="K44" i="7" s="1"/>
  <c r="K26" i="7"/>
  <c r="K50" i="7" s="1"/>
  <c r="L33" i="7"/>
  <c r="L61" i="7" s="1"/>
  <c r="O61" i="7" s="1"/>
  <c r="P61" i="7" s="1"/>
  <c r="Q61" i="7" s="1"/>
  <c r="R61" i="7" s="1"/>
  <c r="S61" i="7" s="1"/>
  <c r="G40" i="7"/>
  <c r="I43" i="7"/>
  <c r="O47" i="7"/>
  <c r="L23" i="7"/>
  <c r="L44" i="7" s="1"/>
  <c r="H29" i="7"/>
  <c r="H56" i="7" s="1"/>
  <c r="J43" i="7"/>
  <c r="N49" i="7"/>
  <c r="E60" i="7"/>
  <c r="F33" i="7"/>
  <c r="F61" i="7" s="1"/>
  <c r="G26" i="7"/>
  <c r="G50" i="7" s="1"/>
  <c r="F43" i="7"/>
  <c r="O44" i="7"/>
  <c r="O43" i="7" s="1"/>
  <c r="I26" i="7"/>
  <c r="I50" i="7" s="1"/>
  <c r="N60" i="7"/>
  <c r="L36" i="7"/>
  <c r="L64" i="7" s="1"/>
  <c r="M23" i="7"/>
  <c r="M44" i="7" s="1"/>
  <c r="M26" i="7"/>
  <c r="M50" i="7" s="1"/>
  <c r="J33" i="7"/>
  <c r="J61" i="7" s="1"/>
  <c r="K43" i="7"/>
  <c r="F36" i="7"/>
  <c r="F64" i="7" s="1"/>
  <c r="F23" i="7"/>
  <c r="F44" i="7" s="1"/>
  <c r="G66" i="7"/>
  <c r="G23" i="7"/>
  <c r="G44" i="7" s="1"/>
  <c r="H36" i="7"/>
  <c r="H64" i="7" s="1"/>
  <c r="H23" i="7"/>
  <c r="H44" i="7" s="1"/>
  <c r="J66" i="7"/>
  <c r="O49" i="7" l="1"/>
  <c r="O63" i="7"/>
  <c r="P43" i="7"/>
  <c r="P49" i="7" s="1"/>
  <c r="Q45" i="7"/>
  <c r="Q47" i="7"/>
  <c r="R64" i="7"/>
  <c r="S64" i="7" s="1"/>
  <c r="Q53" i="7"/>
  <c r="Q50" i="7"/>
  <c r="R52" i="7"/>
  <c r="R53" i="7" s="1"/>
  <c r="R46" i="7"/>
  <c r="Q44" i="7"/>
  <c r="Q43" i="7" l="1"/>
  <c r="Q49" i="7" s="1"/>
  <c r="O60" i="7"/>
  <c r="O66" i="7"/>
  <c r="R45" i="7"/>
  <c r="R47" i="7"/>
  <c r="S46" i="7"/>
  <c r="R44" i="7"/>
  <c r="R51" i="7"/>
  <c r="R50" i="7"/>
  <c r="S52" i="7"/>
  <c r="O55" i="7" l="1"/>
  <c r="O58" i="7" s="1"/>
  <c r="O69" i="7" s="1"/>
  <c r="P66" i="7"/>
  <c r="P60" i="7"/>
  <c r="P63" i="7"/>
  <c r="S45" i="7"/>
  <c r="S47" i="7"/>
  <c r="S51" i="7"/>
  <c r="S50" i="7"/>
  <c r="S53" i="7"/>
  <c r="S44" i="7"/>
  <c r="O70" i="7" l="1"/>
  <c r="P55" i="7"/>
  <c r="P58" i="7" s="1"/>
  <c r="P69" i="7" s="1"/>
  <c r="Q55" i="7"/>
  <c r="Q63" i="7"/>
  <c r="R43" i="7"/>
  <c r="R49" i="7" s="1"/>
  <c r="Q66" i="7"/>
  <c r="Q60" i="7"/>
  <c r="Q58" i="7" l="1"/>
  <c r="Q69" i="7" s="1"/>
  <c r="R55" i="7"/>
  <c r="R60" i="7"/>
  <c r="R66" i="7"/>
  <c r="R63" i="7"/>
  <c r="S43" i="7"/>
  <c r="S49" i="7" s="1"/>
  <c r="R58" i="7" l="1"/>
  <c r="R69" i="7" s="1"/>
  <c r="S60" i="7"/>
  <c r="S63" i="7"/>
  <c r="S66" i="7"/>
  <c r="E28" i="5"/>
  <c r="E27" i="5"/>
  <c r="E24" i="5"/>
  <c r="E23" i="5"/>
  <c r="B22" i="5"/>
  <c r="B23" i="5" s="1"/>
  <c r="B24" i="5" s="1"/>
  <c r="B25" i="5" s="1"/>
  <c r="B26" i="5" s="1"/>
  <c r="B27" i="5" s="1"/>
  <c r="B28" i="5" s="1"/>
  <c r="B29" i="5" s="1"/>
  <c r="B30" i="5" s="1"/>
  <c r="E30" i="5"/>
  <c r="S55" i="7" l="1"/>
  <c r="S58" i="7" s="1"/>
  <c r="S69" i="7" s="1"/>
  <c r="E21" i="5"/>
  <c r="E25" i="5"/>
  <c r="E29" i="5"/>
  <c r="E22" i="5"/>
  <c r="E26" i="5"/>
  <c r="E32" i="5" l="1"/>
  <c r="O18" i="7" l="1"/>
  <c r="E18" i="7" s="1"/>
  <c r="S75" i="7" l="1"/>
  <c r="S76" i="7" s="1"/>
  <c r="J18" i="7"/>
  <c r="T18" i="7"/>
  <c r="P70" i="7"/>
  <c r="Q70" i="7"/>
  <c r="R70" i="7"/>
  <c r="S70" i="7"/>
  <c r="S78" i="7" l="1"/>
  <c r="S81" i="7" s="1"/>
  <c r="S83" i="7" l="1"/>
  <c r="J4" i="7" l="1"/>
  <c r="J6" i="7" s="1"/>
  <c r="V8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24409214-8E19-4AF7-A2B0-D7577E8F205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 cover</t>
        </r>
      </text>
    </comment>
    <comment ref="E13" authorId="0" shapeId="0" xr:uid="{3C1D4595-B825-48C0-8770-0B1A65FD8096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RSUs
2024 Q2 10Q pg 10</t>
        </r>
      </text>
    </comment>
    <comment ref="E14" authorId="0" shapeId="0" xr:uid="{EF536AD5-46A7-42B9-BCD0-65A86E37B9A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PSUs
2024 Q2 10Q pg 11
</t>
        </r>
      </text>
    </comment>
    <comment ref="C21" authorId="0" shapeId="0" xr:uid="{73806046-BC12-4452-9181-F1027E0ABD1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Stock options
2024 Q2 10Q pg 10</t>
        </r>
      </text>
    </comment>
  </commentList>
</comments>
</file>

<file path=xl/sharedStrings.xml><?xml version="1.0" encoding="utf-8"?>
<sst xmlns="http://schemas.openxmlformats.org/spreadsheetml/2006/main" count="394" uniqueCount="224">
  <si>
    <t>x</t>
  </si>
  <si>
    <t>All figures in millions of U.S. Dollar except per share items.</t>
  </si>
  <si>
    <t>Depreciation &amp; Amortization Expense</t>
  </si>
  <si>
    <t>EBIT</t>
  </si>
  <si>
    <t>EBITDA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</si>
  <si>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</si>
  <si>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</si>
  <si>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</si>
  <si>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</si>
  <si>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</si>
  <si>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</si>
  <si>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</si>
  <si>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</si>
  <si>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</si>
  <si>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Net Income</t>
  </si>
  <si>
    <t>Consolidated Net Income</t>
  </si>
  <si>
    <t>Income Taxes - Deferred Foreign</t>
  </si>
  <si>
    <t>Income Taxes - Deferred Domestic</t>
  </si>
  <si>
    <t>Income Taxes - Current Foreign</t>
  </si>
  <si>
    <t>Income Taxes - Current Domestic</t>
  </si>
  <si>
    <t>Income Taxes</t>
  </si>
  <si>
    <t>Pretax Income</t>
  </si>
  <si>
    <t>Investments</t>
  </si>
  <si>
    <t>Unrealized Valuation Gain/Loss</t>
  </si>
  <si>
    <t>Legal Claim Expense</t>
  </si>
  <si>
    <t>Restructuring Expense</t>
  </si>
  <si>
    <t>Financial Fixed Assets</t>
  </si>
  <si>
    <t>Property,Plant &amp; Equipment</t>
  </si>
  <si>
    <t>Impairments</t>
  </si>
  <si>
    <t>Unusual Expense - Net</t>
  </si>
  <si>
    <t>Other Income (Expense)</t>
  </si>
  <si>
    <t>Nonoperating Interest Income</t>
  </si>
  <si>
    <t>Nonoperating Income - Net</t>
  </si>
  <si>
    <t>EBIT (Operating Income)</t>
  </si>
  <si>
    <t>Other SG&amp;A</t>
  </si>
  <si>
    <t>SG&amp;A Expense</t>
  </si>
  <si>
    <t>Gross Income</t>
  </si>
  <si>
    <t>Depreciation</t>
  </si>
  <si>
    <t>COGS excluding D&amp;A</t>
  </si>
  <si>
    <t>Cost of Goods Sold (COGS) incl. D&amp;A</t>
  </si>
  <si>
    <t>Sales</t>
  </si>
  <si>
    <t>LTM</t>
  </si>
  <si>
    <t>JUN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</si>
  <si>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</si>
  <si>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</si>
  <si>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</si>
  <si>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</si>
  <si>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</si>
  <si>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</si>
  <si>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</si>
  <si>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</si>
  <si>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</si>
  <si>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</si>
  <si>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Source: FactSet Fundamentals</t>
  </si>
  <si>
    <t xml:space="preserve">CMG   169656105   B0X7DZ3   NYSE    Common stock    </t>
  </si>
  <si>
    <t>Chipotle Mexican Grill, Inc.</t>
  </si>
  <si>
    <t>$49.83</t>
  </si>
  <si>
    <t>Chipotle Mexican Grill, Inc. (CMG)</t>
  </si>
  <si>
    <t>-</t>
  </si>
  <si>
    <t>Cash Flow from Financing</t>
  </si>
  <si>
    <t>Cash Flow from Investing</t>
  </si>
  <si>
    <t>Cash Flow from Operations</t>
  </si>
  <si>
    <t>Free Cash Flow</t>
  </si>
  <si>
    <t>Capital Expenditures</t>
  </si>
  <si>
    <t>Dec '29E</t>
  </si>
  <si>
    <t>Dec '28E</t>
  </si>
  <si>
    <t>Dec '27E</t>
  </si>
  <si>
    <t>Dec '26E</t>
  </si>
  <si>
    <t>Dec '25E</t>
  </si>
  <si>
    <t>Dec '24E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</si>
  <si>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</si>
  <si>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</si>
  <si>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</si>
  <si>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</si>
  <si>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</si>
  <si>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</si>
  <si>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</si>
  <si>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</si>
  <si>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</si>
  <si>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</si>
  <si>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</si>
  <si>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</si>
  <si>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'27E</t>
  </si>
  <si>
    <t>CY '26E</t>
  </si>
  <si>
    <t>CY '25E</t>
  </si>
  <si>
    <t>CY '24E</t>
  </si>
  <si>
    <t>CY '23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</si>
  <si>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</si>
  <si>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</si>
  <si>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</si>
  <si>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</si>
  <si>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</si>
  <si>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</si>
  <si>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</si>
  <si>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</si>
  <si>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</si>
  <si>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Cash Flow (M)</t>
  </si>
  <si>
    <t>CMG-US</t>
  </si>
  <si>
    <t>Net Income - GAAP</t>
  </si>
  <si>
    <t>Net Income - Non GAAP</t>
  </si>
  <si>
    <t>Tax Expense</t>
  </si>
  <si>
    <t>Pretax Income - GAAP</t>
  </si>
  <si>
    <t>Pretax Income - Non GAAP</t>
  </si>
  <si>
    <t>Interest Expense</t>
  </si>
  <si>
    <t>Operating Income - GAAP</t>
  </si>
  <si>
    <t>Operating Income - Non GAAP</t>
  </si>
  <si>
    <t>Operating Income</t>
  </si>
  <si>
    <t>Depr. &amp; Amort.</t>
  </si>
  <si>
    <t>EBITDA GAAP</t>
  </si>
  <si>
    <t>EBITDA Non-GAAP</t>
  </si>
  <si>
    <t>General &amp; Admin Expense</t>
  </si>
  <si>
    <t>Selling &amp; Marketing Expense</t>
  </si>
  <si>
    <t>Cost of Sales</t>
  </si>
  <si>
    <t>Income Statement (M)</t>
  </si>
  <si>
    <t>Diluted Share Count Calculation</t>
  </si>
  <si>
    <t>Full Diluted Shares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</si>
  <si>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</si>
  <si>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</si>
  <si>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</si>
  <si>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</si>
  <si>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</si>
  <si>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>Net diluted shares outstanding</t>
  </si>
  <si>
    <t>Options outstanding</t>
  </si>
  <si>
    <t>Outstanding</t>
  </si>
  <si>
    <t>Exercise price</t>
  </si>
  <si>
    <t>Dilutive Shares</t>
  </si>
  <si>
    <t>Total</t>
  </si>
  <si>
    <t>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</si>
  <si>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</si>
  <si>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</si>
  <si>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</si>
  <si>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</si>
  <si>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</si>
  <si>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</si>
  <si>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</si>
  <si>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</si>
  <si>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</si>
  <si>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</si>
  <si>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</si>
  <si>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</si>
  <si>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Ticker</t>
  </si>
  <si>
    <t>Implied price per share</t>
  </si>
  <si>
    <t>Date</t>
  </si>
  <si>
    <t>Current share price</t>
  </si>
  <si>
    <t>Year end</t>
  </si>
  <si>
    <t>Implied upside / (downside)</t>
  </si>
  <si>
    <t>Assumptions</t>
  </si>
  <si>
    <t>Switches</t>
  </si>
  <si>
    <t>Conservative</t>
  </si>
  <si>
    <t>Base</t>
  </si>
  <si>
    <t>Optimistic</t>
  </si>
  <si>
    <t>Year</t>
  </si>
  <si>
    <t>Metric</t>
  </si>
  <si>
    <t>Revenue</t>
  </si>
  <si>
    <t>'26-'28</t>
  </si>
  <si>
    <t>TGR</t>
  </si>
  <si>
    <t>Valuation</t>
  </si>
  <si>
    <t>Income Statement (12/31, USD M)</t>
  </si>
  <si>
    <t>% growth</t>
  </si>
  <si>
    <t>--</t>
  </si>
  <si>
    <t>% of sales</t>
  </si>
  <si>
    <t>Taxes</t>
  </si>
  <si>
    <t>Tax rate</t>
  </si>
  <si>
    <t>Cash Flow Items (12/31, USD M)</t>
  </si>
  <si>
    <t>D&amp;A</t>
  </si>
  <si>
    <t>CapEx</t>
  </si>
  <si>
    <t>Change in NWC</t>
  </si>
  <si>
    <t>% of change in sales</t>
  </si>
  <si>
    <t>DCF (12/31, USD M)</t>
  </si>
  <si>
    <t>Base (Street)</t>
  </si>
  <si>
    <t>EBIAT</t>
  </si>
  <si>
    <t>Unlevered FCF</t>
  </si>
  <si>
    <t>PV of Unlevered FCF</t>
  </si>
  <si>
    <t>Period</t>
  </si>
  <si>
    <t>Discount Period</t>
  </si>
  <si>
    <t>Terminal Value</t>
  </si>
  <si>
    <t>PV of Terminal Value</t>
  </si>
  <si>
    <t>Enterprise Value</t>
  </si>
  <si>
    <t>(-) Debt</t>
  </si>
  <si>
    <t>(+) Cash</t>
  </si>
  <si>
    <t>Equity Value</t>
  </si>
  <si>
    <t>FDSO</t>
  </si>
  <si>
    <t>Implied Price per Share</t>
  </si>
  <si>
    <t>Sensitivity Analysis</t>
  </si>
  <si>
    <t>CMG</t>
  </si>
  <si>
    <t>Free Cash Flow Yield (%)</t>
  </si>
  <si>
    <t>Free Cash Flow per Share</t>
  </si>
  <si>
    <t>Net Change in Cash</t>
  </si>
  <si>
    <t>Exchange Rate Effect</t>
  </si>
  <si>
    <t>All Activities</t>
  </si>
  <si>
    <t>Net Financing Cash Flow</t>
  </si>
  <si>
    <t>Other Sources</t>
  </si>
  <si>
    <t>Other Uses</t>
  </si>
  <si>
    <t>Other Funds</t>
  </si>
  <si>
    <t>Proceeds from Sale of Stock</t>
  </si>
  <si>
    <t>Sale of Common &amp; Preferred Stock</t>
  </si>
  <si>
    <t>Repurchase of Common &amp; Preferred Stk.</t>
  </si>
  <si>
    <t>Change in Capital Stock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</si>
  <si>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</si>
  <si>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</si>
  <si>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</si>
  <si>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</si>
  <si>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</si>
  <si>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</si>
  <si>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Capital Expenditures (Fixed Assets)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</si>
  <si>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</si>
  <si>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</si>
  <si>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</si>
  <si>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</si>
  <si>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</si>
  <si>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</si>
  <si>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</si>
  <si>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</si>
  <si>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</si>
  <si>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</si>
  <si>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</si>
  <si>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Depreciation and Depletion</t>
  </si>
  <si>
    <t>Depreciation, Depletion &amp; Amortization</t>
  </si>
  <si>
    <t>Net Income / Starting Line</t>
  </si>
  <si>
    <t>Operating Activities</t>
  </si>
  <si>
    <t>'25-'28</t>
  </si>
  <si>
    <t>Current price</t>
  </si>
  <si>
    <t>RSUs</t>
  </si>
  <si>
    <t>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</si>
</sst>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"/>
    <numFmt numFmtId="165" formatCode="#,##0.0_);\(#,##0.0\)"/>
    <numFmt numFmtId="166" formatCode="#,##0.0_);\(#,##0.0\);@_)"/>
    <numFmt numFmtId="167" formatCode="&quot;Tranche&quot;\ 0"/>
    <numFmt numFmtId="168" formatCode="0.0%"/>
    <numFmt numFmtId="169" formatCode="0.00000%"/>
    <numFmt numFmtId="170" formatCode="&quot;$&quot;#,##0.00"/>
    <numFmt numFmtId="171" formatCode="0%;\(0%\)"/>
    <numFmt numFmtId="172" formatCode="0.0%;\(0.0%\)"/>
    <numFmt numFmtId="173" formatCode="0\A"/>
    <numFmt numFmtId="174" formatCode="0&quot;E&quot;"/>
    <numFmt numFmtId="175" formatCode="#,##0.000_);\(#,##0.000\)"/>
    <numFmt numFmtId="176" formatCode="0.000"/>
    <numFmt numFmtId="177" formatCode="#,##0.000_);\(#,##0.000\);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33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154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6" fillId="0" borderId="0" xfId="0" applyFont="1"/>
    <xf numFmtId="0" fontId="7" fillId="0" borderId="0" xfId="2"/>
    <xf numFmtId="0" fontId="8" fillId="0" borderId="0" xfId="2" applyFont="1" applyAlignment="1">
      <alignment horizontal="left"/>
    </xf>
    <xf numFmtId="164" fontId="7" fillId="0" borderId="0" xfId="2" applyNumberFormat="1" applyAlignment="1">
      <alignment horizontal="right"/>
    </xf>
    <xf numFmtId="0" fontId="7" fillId="0" borderId="0" xfId="2" applyAlignment="1">
      <alignment horizontal="left" indent="4"/>
    </xf>
    <xf numFmtId="164" fontId="7" fillId="3" borderId="0" xfId="2" applyNumberFormat="1" applyFill="1" applyAlignment="1">
      <alignment horizontal="right"/>
    </xf>
    <xf numFmtId="0" fontId="7" fillId="3" borderId="0" xfId="2" applyFill="1" applyAlignment="1">
      <alignment horizontal="left" indent="4"/>
    </xf>
    <xf numFmtId="164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3"/>
    </xf>
    <xf numFmtId="0" fontId="9" fillId="3" borderId="0" xfId="2" applyFont="1" applyFill="1" applyAlignment="1">
      <alignment horizontal="left"/>
    </xf>
    <xf numFmtId="0" fontId="7" fillId="0" borderId="0" xfId="2" applyAlignment="1">
      <alignment horizontal="left"/>
    </xf>
    <xf numFmtId="4" fontId="7" fillId="0" borderId="0" xfId="2" applyNumberFormat="1" applyAlignment="1">
      <alignment horizontal="right"/>
    </xf>
    <xf numFmtId="0" fontId="7" fillId="0" borderId="0" xfId="2" applyAlignment="1">
      <alignment horizontal="left" indent="1"/>
    </xf>
    <xf numFmtId="4" fontId="7" fillId="3" borderId="0" xfId="2" applyNumberFormat="1" applyFill="1" applyAlignment="1">
      <alignment horizontal="right"/>
    </xf>
    <xf numFmtId="4" fontId="9" fillId="3" borderId="0" xfId="2" applyNumberFormat="1" applyFont="1" applyFill="1" applyAlignment="1">
      <alignment horizontal="right"/>
    </xf>
    <xf numFmtId="0" fontId="9" fillId="3" borderId="0" xfId="2" applyFont="1" applyFill="1" applyAlignment="1">
      <alignment horizontal="left" indent="3"/>
    </xf>
    <xf numFmtId="4" fontId="9" fillId="0" borderId="0" xfId="2" applyNumberFormat="1" applyFont="1" applyAlignment="1">
      <alignment horizontal="right"/>
    </xf>
    <xf numFmtId="0" fontId="7" fillId="3" borderId="0" xfId="2" applyFill="1" applyAlignment="1">
      <alignment horizontal="left" indent="1"/>
    </xf>
    <xf numFmtId="0" fontId="9" fillId="0" borderId="0" xfId="2" applyFont="1" applyAlignment="1">
      <alignment horizontal="left"/>
    </xf>
    <xf numFmtId="0" fontId="7" fillId="3" borderId="0" xfId="2" applyFill="1" applyAlignment="1">
      <alignment horizontal="left"/>
    </xf>
    <xf numFmtId="164" fontId="10" fillId="0" borderId="0" xfId="2" applyNumberFormat="1" applyFont="1" applyAlignment="1">
      <alignment horizontal="right"/>
    </xf>
    <xf numFmtId="164" fontId="10" fillId="3" borderId="0" xfId="2" applyNumberFormat="1" applyFont="1" applyFill="1" applyAlignment="1">
      <alignment horizontal="right"/>
    </xf>
    <xf numFmtId="164" fontId="9" fillId="3" borderId="0" xfId="2" applyNumberFormat="1" applyFont="1" applyFill="1" applyAlignment="1">
      <alignment horizontal="right"/>
    </xf>
    <xf numFmtId="0" fontId="7" fillId="0" borderId="0" xfId="2" applyAlignment="1">
      <alignment horizontal="left" indent="7"/>
    </xf>
    <xf numFmtId="0" fontId="9" fillId="3" borderId="0" xfId="2" applyFont="1" applyFill="1" applyAlignment="1">
      <alignment horizontal="left" indent="6"/>
    </xf>
    <xf numFmtId="0" fontId="7" fillId="3" borderId="0" xfId="2" applyFill="1" applyAlignment="1">
      <alignment horizontal="left" indent="7"/>
    </xf>
    <xf numFmtId="0" fontId="9" fillId="0" borderId="0" xfId="2" applyFont="1" applyAlignment="1">
      <alignment horizontal="left" indent="6"/>
    </xf>
    <xf numFmtId="0" fontId="11" fillId="4" borderId="0" xfId="2" applyFont="1" applyFill="1" applyAlignment="1">
      <alignment horizontal="left"/>
    </xf>
    <xf numFmtId="0" fontId="7" fillId="0" borderId="2" xfId="2" applyBorder="1"/>
    <xf numFmtId="0" fontId="7" fillId="0" borderId="3" xfId="2" applyBorder="1"/>
    <xf numFmtId="0" fontId="11" fillId="0" borderId="0" xfId="2" applyFont="1"/>
    <xf numFmtId="3" fontId="10" fillId="0" borderId="0" xfId="2" applyNumberFormat="1" applyFont="1" applyAlignment="1">
      <alignment horizontal="right"/>
    </xf>
    <xf numFmtId="3" fontId="10" fillId="3" borderId="0" xfId="2" applyNumberFormat="1" applyFont="1" applyFill="1" applyAlignment="1">
      <alignment horizontal="right"/>
    </xf>
    <xf numFmtId="3" fontId="7" fillId="3" borderId="0" xfId="2" applyNumberFormat="1" applyFill="1" applyAlignment="1">
      <alignment horizontal="right"/>
    </xf>
    <xf numFmtId="3" fontId="7" fillId="0" borderId="0" xfId="2" applyNumberFormat="1" applyAlignment="1">
      <alignment horizontal="right"/>
    </xf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166" fontId="0" fillId="0" borderId="0" xfId="0" applyNumberFormat="1"/>
    <xf numFmtId="0" fontId="3" fillId="0" borderId="0" xfId="0" applyFont="1" applyAlignment="1">
      <alignment horizontal="left"/>
    </xf>
    <xf numFmtId="165" fontId="0" fillId="0" borderId="0" xfId="0" applyNumberFormat="1"/>
    <xf numFmtId="0" fontId="6" fillId="0" borderId="0" xfId="0" applyFont="1" applyAlignment="1">
      <alignment horizontal="right"/>
    </xf>
    <xf numFmtId="167" fontId="0" fillId="0" borderId="0" xfId="0" applyNumberFormat="1" applyAlignment="1">
      <alignment horizontal="left"/>
    </xf>
    <xf numFmtId="39" fontId="14" fillId="5" borderId="4" xfId="0" applyNumberFormat="1" applyFont="1" applyFill="1" applyBorder="1" applyAlignment="1">
      <alignment horizontal="right"/>
    </xf>
    <xf numFmtId="39" fontId="0" fillId="0" borderId="0" xfId="0" applyNumberFormat="1"/>
    <xf numFmtId="167" fontId="0" fillId="0" borderId="1" xfId="0" applyNumberFormat="1" applyBorder="1" applyAlignment="1">
      <alignment horizontal="left"/>
    </xf>
    <xf numFmtId="165" fontId="1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6" borderId="5" xfId="0" applyFont="1" applyFill="1" applyBorder="1"/>
    <xf numFmtId="0" fontId="3" fillId="6" borderId="6" xfId="0" applyFont="1" applyFill="1" applyBorder="1"/>
    <xf numFmtId="0" fontId="2" fillId="7" borderId="0" xfId="0" applyFont="1" applyFill="1"/>
    <xf numFmtId="0" fontId="0" fillId="7" borderId="0" xfId="0" applyFill="1"/>
    <xf numFmtId="3" fontId="0" fillId="0" borderId="0" xfId="0" applyNumberFormat="1"/>
    <xf numFmtId="16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169" fontId="0" fillId="0" borderId="0" xfId="0" applyNumberFormat="1"/>
    <xf numFmtId="3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170" fontId="0" fillId="0" borderId="0" xfId="0" applyNumberFormat="1"/>
    <xf numFmtId="14" fontId="0" fillId="8" borderId="4" xfId="0" applyNumberFormat="1" applyFill="1" applyBorder="1" applyAlignment="1">
      <alignment horizontal="center"/>
    </xf>
    <xf numFmtId="171" fontId="0" fillId="0" borderId="0" xfId="1" applyNumberFormat="1" applyFont="1"/>
    <xf numFmtId="0" fontId="2" fillId="9" borderId="0" xfId="0" applyFont="1" applyFill="1"/>
    <xf numFmtId="0" fontId="4" fillId="9" borderId="0" xfId="0" applyFont="1" applyFill="1"/>
    <xf numFmtId="0" fontId="17" fillId="0" borderId="0" xfId="0" applyFont="1"/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72" fontId="0" fillId="8" borderId="4" xfId="0" applyNumberFormat="1" applyFill="1" applyBorder="1" applyAlignment="1">
      <alignment horizontal="center"/>
    </xf>
    <xf numFmtId="168" fontId="0" fillId="8" borderId="4" xfId="1" applyNumberFormat="1" applyFont="1" applyFill="1" applyBorder="1" applyAlignment="1">
      <alignment horizontal="center"/>
    </xf>
    <xf numFmtId="168" fontId="0" fillId="0" borderId="0" xfId="1" applyNumberFormat="1" applyFont="1" applyFill="1" applyBorder="1" applyAlignment="1">
      <alignment horizontal="center"/>
    </xf>
    <xf numFmtId="173" fontId="2" fillId="2" borderId="0" xfId="0" applyNumberFormat="1" applyFont="1" applyFill="1"/>
    <xf numFmtId="174" fontId="2" fillId="2" borderId="0" xfId="0" applyNumberFormat="1" applyFont="1" applyFill="1"/>
    <xf numFmtId="0" fontId="18" fillId="0" borderId="0" xfId="0" applyFont="1"/>
    <xf numFmtId="0" fontId="20" fillId="0" borderId="0" xfId="0" applyFont="1" applyAlignment="1">
      <alignment horizontal="left" indent="1"/>
    </xf>
    <xf numFmtId="9" fontId="0" fillId="0" borderId="0" xfId="0" quotePrefix="1" applyNumberFormat="1" applyAlignment="1">
      <alignment horizontal="right"/>
    </xf>
    <xf numFmtId="171" fontId="20" fillId="0" borderId="0" xfId="1" applyNumberFormat="1" applyFont="1"/>
    <xf numFmtId="9" fontId="20" fillId="0" borderId="0" xfId="0" quotePrefix="1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21" fillId="0" borderId="0" xfId="0" applyFont="1"/>
    <xf numFmtId="37" fontId="19" fillId="0" borderId="0" xfId="0" applyNumberFormat="1" applyFont="1"/>
    <xf numFmtId="37" fontId="22" fillId="0" borderId="0" xfId="0" applyNumberFormat="1" applyFont="1"/>
    <xf numFmtId="1" fontId="22" fillId="0" borderId="0" xfId="0" applyNumberFormat="1" applyFont="1"/>
    <xf numFmtId="0" fontId="20" fillId="0" borderId="0" xfId="0" applyFont="1"/>
    <xf numFmtId="9" fontId="21" fillId="0" borderId="0" xfId="0" applyNumberFormat="1" applyFont="1"/>
    <xf numFmtId="0" fontId="0" fillId="0" borderId="0" xfId="0" quotePrefix="1" applyAlignment="1">
      <alignment horizontal="right"/>
    </xf>
    <xf numFmtId="3" fontId="15" fillId="0" borderId="0" xfId="0" applyNumberFormat="1" applyFont="1"/>
    <xf numFmtId="3" fontId="18" fillId="0" borderId="0" xfId="0" applyNumberFormat="1" applyFont="1"/>
    <xf numFmtId="171" fontId="23" fillId="0" borderId="0" xfId="1" applyNumberFormat="1" applyFont="1" applyFill="1" applyBorder="1" applyAlignment="1"/>
    <xf numFmtId="171" fontId="24" fillId="0" borderId="0" xfId="1" applyNumberFormat="1" applyFont="1" applyFill="1" applyBorder="1" applyAlignment="1"/>
    <xf numFmtId="9" fontId="20" fillId="8" borderId="4" xfId="1" applyFont="1" applyFill="1" applyBorder="1" applyAlignment="1">
      <alignment horizontal="right"/>
    </xf>
    <xf numFmtId="9" fontId="23" fillId="8" borderId="4" xfId="1" applyFont="1" applyFill="1" applyBorder="1" applyAlignment="1">
      <alignment horizontal="right"/>
    </xf>
    <xf numFmtId="171" fontId="25" fillId="0" borderId="0" xfId="0" applyNumberFormat="1" applyFont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3" fontId="0" fillId="0" borderId="7" xfId="0" applyNumberFormat="1" applyBorder="1"/>
    <xf numFmtId="37" fontId="15" fillId="0" borderId="0" xfId="0" applyNumberFormat="1" applyFont="1"/>
    <xf numFmtId="37" fontId="18" fillId="0" borderId="0" xfId="0" applyNumberFormat="1" applyFont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3" fontId="0" fillId="0" borderId="1" xfId="0" applyNumberFormat="1" applyBorder="1"/>
    <xf numFmtId="3" fontId="0" fillId="0" borderId="12" xfId="0" applyNumberFormat="1" applyBorder="1"/>
    <xf numFmtId="2" fontId="0" fillId="0" borderId="0" xfId="0" applyNumberFormat="1"/>
    <xf numFmtId="0" fontId="0" fillId="10" borderId="8" xfId="0" applyFill="1" applyBorder="1"/>
    <xf numFmtId="0" fontId="0" fillId="10" borderId="6" xfId="0" applyFill="1" applyBorder="1"/>
    <xf numFmtId="0" fontId="3" fillId="10" borderId="6" xfId="0" applyFont="1" applyFill="1" applyBorder="1" applyAlignment="1">
      <alignment horizontal="centerContinuous"/>
    </xf>
    <xf numFmtId="0" fontId="0" fillId="10" borderId="6" xfId="0" applyFill="1" applyBorder="1" applyAlignment="1">
      <alignment horizontal="centerContinuous"/>
    </xf>
    <xf numFmtId="0" fontId="0" fillId="10" borderId="7" xfId="0" applyFill="1" applyBorder="1" applyAlignment="1">
      <alignment horizontal="centerContinuous"/>
    </xf>
    <xf numFmtId="0" fontId="0" fillId="10" borderId="13" xfId="0" applyFill="1" applyBorder="1"/>
    <xf numFmtId="170" fontId="26" fillId="10" borderId="0" xfId="0" applyNumberFormat="1" applyFont="1" applyFill="1"/>
    <xf numFmtId="10" fontId="0" fillId="10" borderId="0" xfId="0" applyNumberFormat="1" applyFill="1"/>
    <xf numFmtId="10" fontId="0" fillId="10" borderId="14" xfId="0" applyNumberFormat="1" applyFill="1" applyBorder="1"/>
    <xf numFmtId="10" fontId="0" fillId="10" borderId="0" xfId="1" applyNumberFormat="1" applyFont="1" applyFill="1" applyBorder="1"/>
    <xf numFmtId="170" fontId="0" fillId="0" borderId="8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5" xfId="0" applyNumberFormat="1" applyBorder="1"/>
    <xf numFmtId="170" fontId="0" fillId="0" borderId="14" xfId="0" applyNumberFormat="1" applyBorder="1"/>
    <xf numFmtId="10" fontId="0" fillId="10" borderId="1" xfId="0" applyNumberFormat="1" applyFill="1" applyBorder="1"/>
    <xf numFmtId="170" fontId="0" fillId="0" borderId="11" xfId="0" applyNumberFormat="1" applyBorder="1"/>
    <xf numFmtId="170" fontId="0" fillId="0" borderId="1" xfId="0" applyNumberFormat="1" applyBorder="1"/>
    <xf numFmtId="170" fontId="0" fillId="0" borderId="12" xfId="0" applyNumberFormat="1" applyBorder="1"/>
    <xf numFmtId="171" fontId="24" fillId="0" borderId="0" xfId="0" quotePrefix="1" applyNumberFormat="1" applyFont="1" applyAlignment="1">
      <alignment horizontal="right"/>
    </xf>
    <xf numFmtId="171" fontId="15" fillId="0" borderId="0" xfId="0" quotePrefix="1" applyNumberFormat="1" applyFont="1" applyAlignment="1">
      <alignment horizontal="right"/>
    </xf>
    <xf numFmtId="9" fontId="25" fillId="8" borderId="4" xfId="1" applyFont="1" applyFill="1" applyBorder="1" applyAlignment="1">
      <alignment horizontal="right"/>
    </xf>
    <xf numFmtId="9" fontId="24" fillId="8" borderId="4" xfId="1" applyFont="1" applyFill="1" applyBorder="1" applyAlignment="1">
      <alignment horizontal="right"/>
    </xf>
    <xf numFmtId="39" fontId="27" fillId="5" borderId="4" xfId="0" applyNumberFormat="1" applyFont="1" applyFill="1" applyBorder="1" applyAlignment="1">
      <alignment horizontal="right"/>
    </xf>
    <xf numFmtId="175" fontId="14" fillId="5" borderId="4" xfId="0" applyNumberFormat="1" applyFont="1" applyFill="1" applyBorder="1" applyAlignment="1">
      <alignment horizontal="right"/>
    </xf>
    <xf numFmtId="176" fontId="0" fillId="0" borderId="0" xfId="0" applyNumberFormat="1" applyAlignment="1">
      <alignment horizontal="right" indent="1"/>
    </xf>
    <xf numFmtId="177" fontId="15" fillId="0" borderId="0" xfId="0" applyNumberFormat="1" applyFont="1"/>
    <xf numFmtId="177" fontId="0" fillId="0" borderId="0" xfId="0" applyNumberFormat="1"/>
    <xf numFmtId="177" fontId="16" fillId="0" borderId="0" xfId="0" applyNumberFormat="1" applyFont="1"/>
    <xf numFmtId="177" fontId="3" fillId="0" borderId="0" xfId="0" applyNumberFormat="1" applyFont="1"/>
    <xf numFmtId="176" fontId="3" fillId="6" borderId="7" xfId="0" applyNumberFormat="1" applyFont="1" applyFill="1" applyBorder="1" applyAlignment="1">
      <alignment horizontal="right" indent="1"/>
    </xf>
    <xf numFmtId="14" fontId="0" fillId="0" borderId="0" xfId="0" applyNumberFormat="1"/>
    <xf numFmtId="3" fontId="12" fillId="0" borderId="0" xfId="0" applyNumberFormat="1" applyFont="1"/>
    <xf numFmtId="3" fontId="27" fillId="0" borderId="0" xfId="0" applyNumberFormat="1" applyFont="1"/>
    <xf numFmtId="0" fontId="3" fillId="10" borderId="13" xfId="0" applyFont="1" applyFill="1" applyBorder="1" applyAlignment="1">
      <alignment horizontal="center" vertical="center" textRotation="90" wrapText="1"/>
    </xf>
    <xf numFmtId="0" fontId="3" fillId="10" borderId="16" xfId="0" applyFont="1" applyFill="1" applyBorder="1" applyAlignment="1">
      <alignment horizontal="center" vertical="center" textRotation="90" wrapText="1"/>
    </xf>
    <xf numFmtId="0" fontId="0" fillId="0" borderId="0" xfId="0" applyBorder="1"/>
  </cellXfs>
  <cellStyles count="3">
    <cellStyle name="Normal" xfId="0" builtinId="0"/>
    <cellStyle name="Normal 2" xfId="2" xr:uid="{5F6A9F0A-6B63-4420-9988-4339BDE5C0BF}"/>
    <cellStyle name="Percent" xfId="1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37B8-5CAA-496D-A4B1-E2DEEBC9C37D}">
  <dimension ref="A2:AA93"/>
  <sheetViews>
    <sheetView showGridLines="0" zoomScale="125" zoomScaleNormal="125" workbookViewId="0">
      <selection activeCell="E62" sqref="E62"/>
    </sheetView>
  </sheetViews>
  <sheetFormatPr defaultColWidth="8.81640625" defaultRowHeight="14.5" x14ac:dyDescent="0.35"/>
  <cols>
    <col min="1" max="1" width="3.6328125" customWidth="1"/>
    <col min="4" max="4" width="10.453125" bestFit="1" customWidth="1"/>
    <col min="15" max="15" width="9.453125" bestFit="1" customWidth="1"/>
  </cols>
  <sheetData>
    <row r="2" spans="1:20" s="3" customFormat="1" x14ac:dyDescent="0.35"/>
    <row r="3" spans="1:20" x14ac:dyDescent="0.35">
      <c r="A3" s="153"/>
    </row>
    <row r="4" spans="1:20" x14ac:dyDescent="0.35">
      <c r="B4" t="s">
        <v>140</v>
      </c>
      <c r="D4" s="69" t="s">
        <v>184</v>
      </c>
      <c r="G4" t="s">
        <v>141</v>
      </c>
      <c r="J4" s="70">
        <f ca="1">S83</f>
        <v>44.969829880809584</v>
      </c>
    </row>
    <row r="5" spans="1:20" x14ac:dyDescent="0.35">
      <c r="B5" t="s">
        <v>142</v>
      </c>
      <c r="D5" s="71">
        <v>45825</v>
      </c>
      <c r="G5" t="s">
        <v>143</v>
      </c>
      <c r="J5" s="70">
        <f>Shares!E6</f>
        <v>49.83</v>
      </c>
    </row>
    <row r="6" spans="1:20" x14ac:dyDescent="0.35">
      <c r="B6" t="s">
        <v>144</v>
      </c>
      <c r="D6" s="71">
        <v>46022</v>
      </c>
      <c r="G6" t="s">
        <v>145</v>
      </c>
      <c r="J6" s="72">
        <f ca="1">J4/J5-1</f>
        <v>-9.7535021456761295E-2</v>
      </c>
    </row>
    <row r="8" spans="1:20" x14ac:dyDescent="0.35">
      <c r="B8" s="5" t="s">
        <v>146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5" customHeight="1" x14ac:dyDescent="0.35">
      <c r="A9" s="4" t="s">
        <v>0</v>
      </c>
    </row>
    <row r="10" spans="1:20" x14ac:dyDescent="0.35">
      <c r="B10" s="73" t="s">
        <v>147</v>
      </c>
      <c r="C10" s="74"/>
      <c r="D10" s="74"/>
      <c r="E10" s="74"/>
      <c r="G10" s="73" t="s">
        <v>148</v>
      </c>
      <c r="H10" s="74"/>
      <c r="I10" s="74"/>
      <c r="J10" s="74"/>
      <c r="L10" s="73" t="s">
        <v>149</v>
      </c>
      <c r="M10" s="74"/>
      <c r="N10" s="74"/>
      <c r="O10" s="74"/>
      <c r="Q10" s="73" t="s">
        <v>150</v>
      </c>
      <c r="R10" s="74"/>
      <c r="S10" s="74"/>
      <c r="T10" s="74"/>
    </row>
    <row r="11" spans="1:20" x14ac:dyDescent="0.35">
      <c r="B11" s="6" t="s">
        <v>146</v>
      </c>
      <c r="G11" s="6" t="s">
        <v>146</v>
      </c>
      <c r="H11" s="75"/>
      <c r="I11" s="76" t="s">
        <v>151</v>
      </c>
      <c r="J11" s="76" t="s">
        <v>152</v>
      </c>
      <c r="L11" s="6" t="s">
        <v>146</v>
      </c>
      <c r="M11" s="75"/>
      <c r="N11" s="76" t="s">
        <v>151</v>
      </c>
      <c r="O11" s="76" t="s">
        <v>152</v>
      </c>
      <c r="Q11" s="6" t="s">
        <v>146</v>
      </c>
      <c r="R11" s="75"/>
      <c r="S11" s="76" t="s">
        <v>151</v>
      </c>
      <c r="T11" s="76" t="s">
        <v>152</v>
      </c>
    </row>
    <row r="12" spans="1:20" x14ac:dyDescent="0.35">
      <c r="B12" t="s">
        <v>153</v>
      </c>
      <c r="E12" s="69">
        <v>2</v>
      </c>
      <c r="F12" s="4"/>
      <c r="G12" t="s">
        <v>153</v>
      </c>
      <c r="I12" s="77" t="s">
        <v>220</v>
      </c>
      <c r="J12" s="78">
        <v>-0.1</v>
      </c>
      <c r="L12" t="s">
        <v>153</v>
      </c>
      <c r="N12" s="77" t="s">
        <v>154</v>
      </c>
      <c r="O12" s="78">
        <v>-0.15</v>
      </c>
      <c r="Q12" t="s">
        <v>153</v>
      </c>
      <c r="S12" s="77" t="s">
        <v>220</v>
      </c>
      <c r="T12" s="78">
        <v>0.1</v>
      </c>
    </row>
    <row r="13" spans="1:20" x14ac:dyDescent="0.35">
      <c r="B13" t="s">
        <v>3</v>
      </c>
      <c r="E13" s="69">
        <v>2</v>
      </c>
      <c r="F13" s="4"/>
      <c r="G13" t="s">
        <v>3</v>
      </c>
      <c r="I13" s="77" t="s">
        <v>220</v>
      </c>
      <c r="J13" s="78">
        <v>-0.06</v>
      </c>
      <c r="L13" t="s">
        <v>3</v>
      </c>
      <c r="N13" s="77" t="s">
        <v>154</v>
      </c>
      <c r="O13" s="78">
        <v>0.05</v>
      </c>
      <c r="Q13" t="s">
        <v>3</v>
      </c>
      <c r="S13" s="77" t="s">
        <v>220</v>
      </c>
      <c r="T13" s="78">
        <v>0.05</v>
      </c>
    </row>
    <row r="14" spans="1:20" x14ac:dyDescent="0.35">
      <c r="B14" t="s">
        <v>127</v>
      </c>
      <c r="E14" s="69">
        <v>2</v>
      </c>
      <c r="F14" s="4"/>
    </row>
    <row r="15" spans="1:20" x14ac:dyDescent="0.35">
      <c r="B15" t="s">
        <v>155</v>
      </c>
      <c r="E15" s="69">
        <v>2</v>
      </c>
      <c r="F15" s="4"/>
    </row>
    <row r="16" spans="1:20" x14ac:dyDescent="0.35"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B17" s="6" t="s">
        <v>156</v>
      </c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B18" t="s">
        <v>127</v>
      </c>
      <c r="E18" s="79">
        <f>CHOOSE(E14,J18,O18,T18)</f>
        <v>8.4805383842993812E-2</v>
      </c>
      <c r="F18" s="4"/>
      <c r="G18" t="s">
        <v>127</v>
      </c>
      <c r="J18" s="79">
        <f>O18+0.5%</f>
        <v>8.9805383842993816E-2</v>
      </c>
      <c r="K18" s="4"/>
      <c r="L18" t="s">
        <v>127</v>
      </c>
      <c r="O18" s="79">
        <f>WACC!F22</f>
        <v>8.4805383842993812E-2</v>
      </c>
      <c r="P18" s="4"/>
      <c r="Q18" t="s">
        <v>127</v>
      </c>
      <c r="T18" s="79">
        <f>O18-0.5%</f>
        <v>7.9805383842993807E-2</v>
      </c>
    </row>
    <row r="19" spans="1:20" x14ac:dyDescent="0.35">
      <c r="B19" t="s">
        <v>155</v>
      </c>
      <c r="E19" s="79">
        <f>CHOOSE(E15,J19,O19,T19)</f>
        <v>2.5000000000000001E-2</v>
      </c>
      <c r="G19" t="s">
        <v>155</v>
      </c>
      <c r="J19" s="79">
        <v>0.02</v>
      </c>
      <c r="K19" s="4"/>
      <c r="L19" t="s">
        <v>155</v>
      </c>
      <c r="O19" s="79">
        <v>2.5000000000000001E-2</v>
      </c>
      <c r="P19" s="4"/>
      <c r="Q19" t="s">
        <v>155</v>
      </c>
      <c r="T19" s="79">
        <v>0.03</v>
      </c>
    </row>
    <row r="20" spans="1:20" x14ac:dyDescent="0.35">
      <c r="E20" s="80"/>
      <c r="J20" s="80"/>
      <c r="K20" s="4"/>
      <c r="O20" s="80"/>
      <c r="P20" s="4"/>
      <c r="T20" s="80"/>
    </row>
    <row r="21" spans="1:20" x14ac:dyDescent="0.35">
      <c r="B21" s="5" t="s">
        <v>157</v>
      </c>
      <c r="C21" s="5"/>
      <c r="D21" s="5"/>
      <c r="E21" s="81">
        <v>2014</v>
      </c>
      <c r="F21" s="81">
        <v>2015</v>
      </c>
      <c r="G21" s="81">
        <v>2016</v>
      </c>
      <c r="H21" s="81">
        <v>2017</v>
      </c>
      <c r="I21" s="81">
        <v>2018</v>
      </c>
      <c r="J21" s="81">
        <v>2019</v>
      </c>
      <c r="K21" s="81">
        <v>2020</v>
      </c>
      <c r="L21" s="81">
        <v>2021</v>
      </c>
      <c r="M21" s="81">
        <v>2022</v>
      </c>
      <c r="N21" s="81">
        <v>2023</v>
      </c>
      <c r="O21" s="82">
        <v>2024</v>
      </c>
      <c r="P21" s="82">
        <v>2025</v>
      </c>
      <c r="Q21" s="82">
        <v>2026</v>
      </c>
      <c r="R21" s="82">
        <v>2027</v>
      </c>
      <c r="S21" s="82">
        <v>2028</v>
      </c>
      <c r="T21" s="83"/>
    </row>
    <row r="22" spans="1:20" x14ac:dyDescent="0.35">
      <c r="A22" s="4" t="s">
        <v>0</v>
      </c>
      <c r="B22" t="s">
        <v>153</v>
      </c>
      <c r="E22" s="90">
        <f>'IS - Historicals'!B10</f>
        <v>4108.2690000000002</v>
      </c>
      <c r="F22" s="90">
        <f>'IS - Historicals'!C10</f>
        <v>4501.223</v>
      </c>
      <c r="G22" s="90">
        <f>'IS - Historicals'!D10</f>
        <v>3904.384</v>
      </c>
      <c r="H22" s="90">
        <f>'IS - Historicals'!E10</f>
        <v>4476.4120000000003</v>
      </c>
      <c r="I22" s="90">
        <f>'IS - Historicals'!F10</f>
        <v>4864.9849999999997</v>
      </c>
      <c r="J22" s="90">
        <f>'IS - Historicals'!G10</f>
        <v>5586.3689999999997</v>
      </c>
      <c r="K22" s="90">
        <f>'IS - Historicals'!H10</f>
        <v>5984.634</v>
      </c>
      <c r="L22" s="90">
        <f>'IS - Historicals'!I10</f>
        <v>7547.0609999999997</v>
      </c>
      <c r="M22" s="90">
        <f>'IS - Historicals'!J10</f>
        <v>8634.652</v>
      </c>
      <c r="N22" s="90">
        <f>'IS - Historicals'!K10</f>
        <v>9871.6489999999994</v>
      </c>
      <c r="O22" s="90">
        <f>'IS - Forecast'!L5</f>
        <v>11342</v>
      </c>
      <c r="P22" s="90">
        <f>'IS - Forecast'!M5</f>
        <v>12870.2</v>
      </c>
      <c r="Q22" s="90">
        <f>'IS - Forecast'!N5</f>
        <v>14641.7</v>
      </c>
      <c r="R22" s="90">
        <f>'IS - Forecast'!O5</f>
        <v>16729.5</v>
      </c>
      <c r="S22" s="90">
        <f>'IS - Forecast'!P5</f>
        <v>18816</v>
      </c>
    </row>
    <row r="23" spans="1:20" x14ac:dyDescent="0.35">
      <c r="B23" s="84" t="s">
        <v>158</v>
      </c>
      <c r="E23" s="85" t="s">
        <v>159</v>
      </c>
      <c r="F23" s="86">
        <f>F22/E22-1</f>
        <v>9.5649530252278847E-2</v>
      </c>
      <c r="G23" s="86">
        <f t="shared" ref="G23:S23" si="0">G22/F22-1</f>
        <v>-0.13259485255451686</v>
      </c>
      <c r="H23" s="86">
        <f t="shared" si="0"/>
        <v>0.14650915483722926</v>
      </c>
      <c r="I23" s="86">
        <f t="shared" si="0"/>
        <v>8.6804565799573297E-2</v>
      </c>
      <c r="J23" s="86">
        <f t="shared" si="0"/>
        <v>0.14828082717623992</v>
      </c>
      <c r="K23" s="86">
        <f t="shared" si="0"/>
        <v>7.1292283055415906E-2</v>
      </c>
      <c r="L23" s="86">
        <f t="shared" si="0"/>
        <v>0.26107310823017738</v>
      </c>
      <c r="M23" s="86">
        <f t="shared" si="0"/>
        <v>0.14410788517543449</v>
      </c>
      <c r="N23" s="86">
        <f t="shared" si="0"/>
        <v>0.14325962412845361</v>
      </c>
      <c r="O23" s="86">
        <f t="shared" si="0"/>
        <v>0.14894684768471822</v>
      </c>
      <c r="P23" s="86">
        <f t="shared" si="0"/>
        <v>0.13473814142126606</v>
      </c>
      <c r="Q23" s="86">
        <f t="shared" si="0"/>
        <v>0.13764354866280248</v>
      </c>
      <c r="R23" s="86">
        <f t="shared" si="0"/>
        <v>0.14259273171831133</v>
      </c>
      <c r="S23" s="86">
        <f t="shared" si="0"/>
        <v>0.12471980633013535</v>
      </c>
    </row>
    <row r="25" spans="1:20" x14ac:dyDescent="0.35">
      <c r="B25" t="s">
        <v>3</v>
      </c>
      <c r="E25" s="90">
        <f>'IS - Historicals'!B18</f>
        <v>717.59199999999998</v>
      </c>
      <c r="F25" s="90">
        <f>'IS - Historicals'!C18</f>
        <v>777.35400000000004</v>
      </c>
      <c r="G25" s="90">
        <f>'IS - Historicals'!D18</f>
        <v>57.857999999999997</v>
      </c>
      <c r="H25" s="90">
        <f>'IS - Historicals'!E18</f>
        <v>312.61900000000003</v>
      </c>
      <c r="I25" s="90">
        <f>'IS - Historicals'!F18</f>
        <v>389.89400000000001</v>
      </c>
      <c r="J25" s="90">
        <f>'IS - Historicals'!G18</f>
        <v>487.23200000000003</v>
      </c>
      <c r="K25" s="90">
        <f>'IS - Historicals'!H18</f>
        <v>374.54500000000002</v>
      </c>
      <c r="L25" s="90">
        <f>'IS - Historicals'!I18</f>
        <v>866.09799999999996</v>
      </c>
      <c r="M25" s="90">
        <f>'IS - Historicals'!J18</f>
        <v>1222.6489999999999</v>
      </c>
      <c r="N25" s="90">
        <f>'IS - Historicals'!K18</f>
        <v>1628.3489999999999</v>
      </c>
      <c r="O25" s="90">
        <f>'IS - Forecast'!L15</f>
        <v>1897.67</v>
      </c>
      <c r="P25" s="90">
        <f>'IS - Forecast'!M15</f>
        <v>2284.41</v>
      </c>
      <c r="Q25" s="90">
        <f>'IS - Forecast'!N15</f>
        <v>2702.22</v>
      </c>
      <c r="R25" s="90">
        <f>'IS - Forecast'!O15</f>
        <v>3376</v>
      </c>
      <c r="S25" s="90">
        <f>'IS - Forecast'!P15</f>
        <v>3896.5</v>
      </c>
    </row>
    <row r="26" spans="1:20" x14ac:dyDescent="0.35">
      <c r="B26" s="84" t="s">
        <v>160</v>
      </c>
      <c r="E26" s="87">
        <f>E25/E$22</f>
        <v>0.17467015913514913</v>
      </c>
      <c r="F26" s="87">
        <f t="shared" ref="F26:S26" si="1">F25/F$22</f>
        <v>0.17269839774656801</v>
      </c>
      <c r="G26" s="87">
        <f t="shared" si="1"/>
        <v>1.4818726846539685E-2</v>
      </c>
      <c r="H26" s="87">
        <f t="shared" si="1"/>
        <v>6.9836958707107391E-2</v>
      </c>
      <c r="I26" s="87">
        <f t="shared" si="1"/>
        <v>8.0142898693418382E-2</v>
      </c>
      <c r="J26" s="87">
        <f t="shared" si="1"/>
        <v>8.7218012272372275E-2</v>
      </c>
      <c r="K26" s="87">
        <f t="shared" si="1"/>
        <v>6.258444543141653E-2</v>
      </c>
      <c r="L26" s="87">
        <f t="shared" si="1"/>
        <v>0.11475963954710316</v>
      </c>
      <c r="M26" s="87">
        <f t="shared" si="1"/>
        <v>0.14159794743320286</v>
      </c>
      <c r="N26" s="87">
        <f t="shared" si="1"/>
        <v>0.16495207639574705</v>
      </c>
      <c r="O26" s="87">
        <f t="shared" si="1"/>
        <v>0.16731352495150767</v>
      </c>
      <c r="P26" s="87">
        <f t="shared" si="1"/>
        <v>0.17749607620705193</v>
      </c>
      <c r="Q26" s="87">
        <f t="shared" si="1"/>
        <v>0.18455643811852446</v>
      </c>
      <c r="R26" s="87">
        <f t="shared" si="1"/>
        <v>0.20179921695209063</v>
      </c>
      <c r="S26" s="87">
        <f t="shared" si="1"/>
        <v>0.20708439625850339</v>
      </c>
    </row>
    <row r="28" spans="1:20" x14ac:dyDescent="0.35">
      <c r="B28" t="s">
        <v>161</v>
      </c>
      <c r="E28" s="90">
        <f>'IS - Historicals'!B31</f>
        <v>268.92899999999997</v>
      </c>
      <c r="F28" s="90">
        <f>'IS - Historicals'!C31</f>
        <v>294.26499999999999</v>
      </c>
      <c r="G28" s="90">
        <f>'IS - Historicals'!D31</f>
        <v>15.801</v>
      </c>
      <c r="H28" s="90">
        <f>'IS - Historicals'!E31</f>
        <v>99.49</v>
      </c>
      <c r="I28" s="90">
        <f>'IS - Historicals'!F31</f>
        <v>91.882999999999996</v>
      </c>
      <c r="J28" s="90">
        <f>'IS - Historicals'!G31</f>
        <v>108.127</v>
      </c>
      <c r="K28" s="90">
        <f>'IS - Historicals'!H31</f>
        <v>-61.984999999999999</v>
      </c>
      <c r="L28" s="90">
        <f>'IS - Historicals'!I31</f>
        <v>159.779</v>
      </c>
      <c r="M28" s="90">
        <f>'IS - Historicals'!J31</f>
        <v>282.43</v>
      </c>
      <c r="N28" s="90">
        <f>'IS - Historicals'!K31</f>
        <v>391.76900000000001</v>
      </c>
    </row>
    <row r="29" spans="1:20" x14ac:dyDescent="0.35">
      <c r="B29" s="84" t="s">
        <v>162</v>
      </c>
      <c r="E29" s="136">
        <f>E28/'IS - Historicals'!B30</f>
        <v>0.37649148890596845</v>
      </c>
      <c r="F29" s="136">
        <f>F28/'IS - Historicals'!C30</f>
        <v>0.38222835892433371</v>
      </c>
      <c r="G29" s="136">
        <f>G28/'IS - Historicals'!D30</f>
        <v>0.40788352822736779</v>
      </c>
      <c r="H29" s="136">
        <f>H28/'IS - Historicals'!E30</f>
        <v>0.36080698331417299</v>
      </c>
      <c r="I29" s="136">
        <f>I28/'IS - Historicals'!F30</f>
        <v>0.34229015482275105</v>
      </c>
      <c r="J29" s="136">
        <f>J28/'IS - Historicals'!G30</f>
        <v>0.23593833531536051</v>
      </c>
      <c r="K29" s="136">
        <f>K28/'IS - Historicals'!H30</f>
        <v>-0.21099049972598635</v>
      </c>
      <c r="L29" s="136">
        <f>L28/'IS - Historicals'!I30</f>
        <v>0.19658744307996304</v>
      </c>
      <c r="M29" s="136">
        <f>M28/'IS - Historicals'!J30</f>
        <v>0.23903731683722224</v>
      </c>
      <c r="N29" s="136">
        <f>N28/'IS - Historicals'!K30</f>
        <v>0.24175720423127095</v>
      </c>
    </row>
    <row r="31" spans="1:20" x14ac:dyDescent="0.35">
      <c r="B31" s="5" t="s">
        <v>163</v>
      </c>
      <c r="C31" s="5"/>
      <c r="D31" s="5"/>
      <c r="E31" s="81">
        <v>2014</v>
      </c>
      <c r="F31" s="81">
        <v>2015</v>
      </c>
      <c r="G31" s="81">
        <v>2016</v>
      </c>
      <c r="H31" s="81">
        <v>2017</v>
      </c>
      <c r="I31" s="81">
        <v>2018</v>
      </c>
      <c r="J31" s="81">
        <v>2019</v>
      </c>
      <c r="K31" s="81">
        <v>2020</v>
      </c>
      <c r="L31" s="81">
        <v>2021</v>
      </c>
      <c r="M31" s="81">
        <v>2022</v>
      </c>
      <c r="N31" s="81">
        <v>2023</v>
      </c>
      <c r="O31" s="82">
        <v>2024</v>
      </c>
      <c r="P31" s="82">
        <v>2025</v>
      </c>
      <c r="Q31" s="82">
        <v>2026</v>
      </c>
      <c r="R31" s="82">
        <v>2027</v>
      </c>
      <c r="S31" s="82">
        <v>2028</v>
      </c>
      <c r="T31" s="83"/>
    </row>
    <row r="32" spans="1:20" s="83" customFormat="1" ht="14.5" customHeight="1" x14ac:dyDescent="0.35">
      <c r="A32" s="4" t="s">
        <v>0</v>
      </c>
      <c r="B32" t="s">
        <v>164</v>
      </c>
      <c r="C32"/>
      <c r="D32" s="89"/>
      <c r="E32" s="90">
        <f>'IS - Historicals'!B13</f>
        <v>110.474</v>
      </c>
      <c r="F32" s="90">
        <f>'IS - Historicals'!C13</f>
        <v>130.36799999999999</v>
      </c>
      <c r="G32" s="90">
        <f>'IS - Historicals'!D13</f>
        <v>146.36799999999999</v>
      </c>
      <c r="H32" s="90">
        <f>'IS - Historicals'!E13</f>
        <v>163.34800000000001</v>
      </c>
      <c r="I32" s="90">
        <f>'IS - Historicals'!F13</f>
        <v>201.97900000000001</v>
      </c>
      <c r="J32" s="90">
        <f>'IS - Historicals'!G13</f>
        <v>376.73</v>
      </c>
      <c r="K32" s="90">
        <f>'IS - Historicals'!H13</f>
        <v>423.072</v>
      </c>
      <c r="L32" s="90">
        <f>'IS - Historicals'!I13</f>
        <v>254.65700000000001</v>
      </c>
      <c r="M32" s="90">
        <f>'IS - Historicals'!J13</f>
        <v>286.82600000000002</v>
      </c>
      <c r="N32" s="90">
        <f>'IS - Historicals'!K13</f>
        <v>319.39400000000001</v>
      </c>
      <c r="O32" s="91"/>
      <c r="P32" s="91"/>
      <c r="Q32" s="91"/>
      <c r="R32" s="92"/>
      <c r="S32" s="92"/>
    </row>
    <row r="33" spans="1:20" s="83" customFormat="1" x14ac:dyDescent="0.35">
      <c r="A33" s="88"/>
      <c r="B33" t="s">
        <v>160</v>
      </c>
      <c r="C33"/>
      <c r="D33" s="89"/>
      <c r="E33" s="136">
        <f>E32/E$22</f>
        <v>2.689064421049352E-2</v>
      </c>
      <c r="F33" s="136">
        <f t="shared" ref="F33:N33" si="2">F32/F$22</f>
        <v>2.8962795222542852E-2</v>
      </c>
      <c r="G33" s="136">
        <f t="shared" si="2"/>
        <v>3.7488115923023965E-2</v>
      </c>
      <c r="H33" s="136">
        <f t="shared" si="2"/>
        <v>3.6490832389869388E-2</v>
      </c>
      <c r="I33" s="136">
        <f t="shared" si="2"/>
        <v>4.1516880319261013E-2</v>
      </c>
      <c r="J33" s="136">
        <f t="shared" si="2"/>
        <v>6.7437364055256646E-2</v>
      </c>
      <c r="K33" s="136">
        <f t="shared" si="2"/>
        <v>7.0693044887958065E-2</v>
      </c>
      <c r="L33" s="136">
        <f t="shared" si="2"/>
        <v>3.3742538983055792E-2</v>
      </c>
      <c r="M33" s="136">
        <f t="shared" si="2"/>
        <v>3.3218015039864955E-2</v>
      </c>
      <c r="N33" s="136">
        <f t="shared" si="2"/>
        <v>3.2354675495451672E-2</v>
      </c>
      <c r="O33" s="89"/>
      <c r="P33" s="89"/>
      <c r="Q33" s="89"/>
      <c r="R33" s="89"/>
      <c r="S33" s="89"/>
    </row>
    <row r="34" spans="1:20" s="83" customFormat="1" x14ac:dyDescent="0.35">
      <c r="A34" s="88"/>
      <c r="B34"/>
      <c r="C34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1:20" s="83" customFormat="1" x14ac:dyDescent="0.35">
      <c r="A35" s="88"/>
      <c r="B35" t="s">
        <v>165</v>
      </c>
      <c r="C35"/>
      <c r="D35" s="89"/>
      <c r="E35" s="90">
        <f>'CFS - Historicals'!B26</f>
        <v>-252.59</v>
      </c>
      <c r="F35" s="90">
        <f>'CFS - Historicals'!C26</f>
        <v>-257.41800000000001</v>
      </c>
      <c r="G35" s="90">
        <f>'CFS - Historicals'!D26</f>
        <v>-258.84199999999998</v>
      </c>
      <c r="H35" s="90">
        <f>'CFS - Historicals'!E26</f>
        <v>-216.77699999999999</v>
      </c>
      <c r="I35" s="90">
        <f>'CFS - Historicals'!F26</f>
        <v>-287.39</v>
      </c>
      <c r="J35" s="90">
        <f>'CFS - Historicals'!G26</f>
        <v>-333.91199999999998</v>
      </c>
      <c r="K35" s="90">
        <f>'CFS - Historicals'!H26</f>
        <v>-373.35199999999998</v>
      </c>
      <c r="L35" s="90">
        <f>'CFS - Historicals'!I26</f>
        <v>-442.47500000000002</v>
      </c>
      <c r="M35" s="90">
        <f>'CFS - Historicals'!J26</f>
        <v>-479.16399999999999</v>
      </c>
      <c r="N35" s="90">
        <f>'CFS - Historicals'!K26</f>
        <v>-560.73099999999999</v>
      </c>
      <c r="O35" s="90"/>
      <c r="P35" s="90"/>
      <c r="Q35" s="90"/>
      <c r="R35" s="89"/>
      <c r="S35" s="89"/>
    </row>
    <row r="36" spans="1:20" s="83" customFormat="1" x14ac:dyDescent="0.35">
      <c r="A36" s="88"/>
      <c r="B36" s="93" t="s">
        <v>160</v>
      </c>
      <c r="C36" s="93"/>
      <c r="D36" s="89"/>
      <c r="E36" s="136">
        <f>E35/E$22</f>
        <v>-6.1483315722509889E-2</v>
      </c>
      <c r="F36" s="136">
        <f t="shared" ref="F36" si="3">F35/F$22</f>
        <v>-5.7188457448120213E-2</v>
      </c>
      <c r="G36" s="136">
        <f t="shared" ref="G36" si="4">G35/G$22</f>
        <v>-6.6295220961872597E-2</v>
      </c>
      <c r="H36" s="136">
        <f t="shared" ref="H36" si="5">H35/H$22</f>
        <v>-4.8426507658365668E-2</v>
      </c>
      <c r="I36" s="136">
        <f t="shared" ref="I36" si="6">I35/I$22</f>
        <v>-5.9073152332432682E-2</v>
      </c>
      <c r="J36" s="136">
        <f t="shared" ref="J36" si="7">J35/J$22</f>
        <v>-5.9772635857029854E-2</v>
      </c>
      <c r="K36" s="136">
        <f t="shared" ref="K36" si="8">K35/K$22</f>
        <v>-6.2385101578475807E-2</v>
      </c>
      <c r="L36" s="136">
        <f t="shared" ref="L36" si="9">L35/L$22</f>
        <v>-5.8628782780475744E-2</v>
      </c>
      <c r="M36" s="136">
        <f t="shared" ref="M36" si="10">M35/M$22</f>
        <v>-5.5493145525725873E-2</v>
      </c>
      <c r="N36" s="136">
        <f t="shared" ref="N36" si="11">N35/N$22</f>
        <v>-5.6802161422068391E-2</v>
      </c>
      <c r="O36" s="87"/>
      <c r="P36" s="87"/>
      <c r="Q36" s="87"/>
      <c r="R36" s="89"/>
      <c r="S36" s="89"/>
    </row>
    <row r="37" spans="1:20" s="83" customFormat="1" x14ac:dyDescent="0.35">
      <c r="A37" s="88"/>
      <c r="B37"/>
      <c r="C37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4"/>
      <c r="P37" s="89"/>
      <c r="Q37" s="89"/>
      <c r="R37" s="89"/>
      <c r="S37" s="89"/>
    </row>
    <row r="38" spans="1:20" s="83" customFormat="1" x14ac:dyDescent="0.35">
      <c r="A38" s="88"/>
      <c r="B38" t="s">
        <v>166</v>
      </c>
      <c r="C38"/>
      <c r="D38" s="89"/>
      <c r="E38" s="90">
        <f>'CFS - Historicals'!B18</f>
        <v>65.028000000000006</v>
      </c>
      <c r="F38" s="90">
        <f>'CFS - Historicals'!C18</f>
        <v>68.457999999999998</v>
      </c>
      <c r="G38" s="90">
        <f>'CFS - Historicals'!D18</f>
        <v>108.286</v>
      </c>
      <c r="H38" s="90">
        <f>'CFS - Historicals'!E18</f>
        <v>66.933999999999997</v>
      </c>
      <c r="I38" s="90">
        <f>'CFS - Historicals'!F18</f>
        <v>104.077</v>
      </c>
      <c r="J38" s="90">
        <f>'CFS - Historicals'!G18</f>
        <v>-131.45699999999999</v>
      </c>
      <c r="K38" s="90">
        <f>'CFS - Historicals'!H18</f>
        <v>-338.64800000000002</v>
      </c>
      <c r="L38" s="90">
        <f>'CFS - Historicals'!I18</f>
        <v>197.42500000000001</v>
      </c>
      <c r="M38" s="90">
        <f>'CFS - Historicals'!J18</f>
        <v>78.641000000000005</v>
      </c>
      <c r="N38" s="90">
        <f>'CFS - Historicals'!K18</f>
        <v>95.32</v>
      </c>
      <c r="O38" s="89"/>
      <c r="P38" s="89"/>
      <c r="Q38" s="89"/>
      <c r="R38" s="89"/>
      <c r="S38" s="89"/>
    </row>
    <row r="39" spans="1:20" s="83" customFormat="1" x14ac:dyDescent="0.35">
      <c r="A39" s="88"/>
      <c r="B39" s="93" t="s">
        <v>160</v>
      </c>
      <c r="C39" s="93"/>
      <c r="D39" s="89"/>
      <c r="E39" s="136">
        <f>E38/E$22</f>
        <v>1.5828564293136598E-2</v>
      </c>
      <c r="F39" s="136">
        <f t="shared" ref="F39" si="12">F38/F$22</f>
        <v>1.5208755487119833E-2</v>
      </c>
      <c r="G39" s="136">
        <f t="shared" ref="G39" si="13">G38/G$22</f>
        <v>2.7734464642822018E-2</v>
      </c>
      <c r="H39" s="136">
        <f t="shared" ref="H39" si="14">H38/H$22</f>
        <v>1.4952600430880801E-2</v>
      </c>
      <c r="I39" s="136">
        <f t="shared" ref="I39" si="15">I38/I$22</f>
        <v>2.139307726539753E-2</v>
      </c>
      <c r="J39" s="136">
        <f t="shared" ref="J39" si="16">J38/J$22</f>
        <v>-2.3531743069603889E-2</v>
      </c>
      <c r="K39" s="136">
        <f t="shared" ref="K39" si="17">K38/K$22</f>
        <v>-5.658625072143092E-2</v>
      </c>
      <c r="L39" s="136">
        <f t="shared" ref="L39" si="18">L38/L$22</f>
        <v>2.6159189650116783E-2</v>
      </c>
      <c r="M39" s="136">
        <f t="shared" ref="M39" si="19">M38/M$22</f>
        <v>9.1076050314477068E-3</v>
      </c>
      <c r="N39" s="136">
        <f t="shared" ref="N39" si="20">N38/N$22</f>
        <v>9.6559348899054251E-3</v>
      </c>
      <c r="O39" s="89"/>
      <c r="P39" s="89"/>
      <c r="Q39" s="89"/>
      <c r="R39" s="89"/>
      <c r="S39" s="89"/>
    </row>
    <row r="40" spans="1:20" x14ac:dyDescent="0.35">
      <c r="A40" s="88"/>
      <c r="B40" s="93" t="s">
        <v>167</v>
      </c>
      <c r="C40" s="93"/>
      <c r="E40" s="95" t="s">
        <v>159</v>
      </c>
      <c r="F40" s="86">
        <f>F38/(F22-E22)</f>
        <v>0.17421377565821966</v>
      </c>
      <c r="G40" s="86">
        <f t="shared" ref="G40:N40" si="21">G38/(G22-F22)</f>
        <v>-0.18143251362595275</v>
      </c>
      <c r="H40" s="86">
        <f t="shared" si="21"/>
        <v>0.11701175466935179</v>
      </c>
      <c r="I40" s="86">
        <f t="shared" si="21"/>
        <v>0.26784413739503299</v>
      </c>
      <c r="J40" s="86">
        <f t="shared" si="21"/>
        <v>-0.18222888225965642</v>
      </c>
      <c r="K40" s="86">
        <f t="shared" si="21"/>
        <v>-0.85030821186898109</v>
      </c>
      <c r="L40" s="86">
        <f t="shared" si="21"/>
        <v>0.12635790344124881</v>
      </c>
      <c r="M40" s="86">
        <f t="shared" si="21"/>
        <v>7.230751265871084E-2</v>
      </c>
      <c r="N40" s="86">
        <f t="shared" si="21"/>
        <v>7.7057583809823332E-2</v>
      </c>
    </row>
    <row r="41" spans="1:20" x14ac:dyDescent="0.35">
      <c r="A41" s="4"/>
    </row>
    <row r="42" spans="1:20" x14ac:dyDescent="0.35">
      <c r="B42" s="5" t="s">
        <v>168</v>
      </c>
      <c r="C42" s="5"/>
      <c r="D42" s="5"/>
      <c r="E42" s="81">
        <v>2014</v>
      </c>
      <c r="F42" s="81">
        <v>2015</v>
      </c>
      <c r="G42" s="81">
        <v>2016</v>
      </c>
      <c r="H42" s="81">
        <v>2017</v>
      </c>
      <c r="I42" s="81">
        <v>2018</v>
      </c>
      <c r="J42" s="81">
        <v>2019</v>
      </c>
      <c r="K42" s="81">
        <v>2020</v>
      </c>
      <c r="L42" s="81">
        <v>2021</v>
      </c>
      <c r="M42" s="81">
        <v>2022</v>
      </c>
      <c r="N42" s="81">
        <v>2023</v>
      </c>
      <c r="O42" s="82">
        <v>2024</v>
      </c>
      <c r="P42" s="82">
        <v>2025</v>
      </c>
      <c r="Q42" s="82">
        <v>2026</v>
      </c>
      <c r="R42" s="82">
        <v>2027</v>
      </c>
      <c r="S42" s="82">
        <v>2028</v>
      </c>
      <c r="T42" s="83"/>
    </row>
    <row r="43" spans="1:20" x14ac:dyDescent="0.35">
      <c r="A43" s="4" t="s">
        <v>0</v>
      </c>
      <c r="B43" t="s">
        <v>153</v>
      </c>
      <c r="E43" s="96">
        <f>E22</f>
        <v>4108.2690000000002</v>
      </c>
      <c r="F43" s="96">
        <f t="shared" ref="F43:N43" si="22">F22</f>
        <v>4501.223</v>
      </c>
      <c r="G43" s="96">
        <f t="shared" si="22"/>
        <v>3904.384</v>
      </c>
      <c r="H43" s="96">
        <f t="shared" si="22"/>
        <v>4476.4120000000003</v>
      </c>
      <c r="I43" s="96">
        <f t="shared" si="22"/>
        <v>4864.9849999999997</v>
      </c>
      <c r="J43" s="96">
        <f t="shared" si="22"/>
        <v>5586.3689999999997</v>
      </c>
      <c r="K43" s="96">
        <f t="shared" si="22"/>
        <v>5984.634</v>
      </c>
      <c r="L43" s="96">
        <f t="shared" si="22"/>
        <v>7547.0609999999997</v>
      </c>
      <c r="M43" s="96">
        <f t="shared" si="22"/>
        <v>8634.652</v>
      </c>
      <c r="N43" s="96">
        <f>N22</f>
        <v>9871.6489999999994</v>
      </c>
      <c r="O43" s="97">
        <f ca="1">N43*(1+O44)</f>
        <v>11342</v>
      </c>
      <c r="P43" s="97">
        <f ca="1">O43*(1+P44)</f>
        <v>12870.199999999999</v>
      </c>
      <c r="Q43" s="97">
        <f ca="1">P43*(1+Q44)</f>
        <v>14344.19080356198</v>
      </c>
      <c r="R43" s="97">
        <f t="shared" ref="P43:S43" ca="1" si="23">Q43*(1+R44)</f>
        <v>15740.573496110692</v>
      </c>
      <c r="S43" s="97">
        <f t="shared" ca="1" si="23"/>
        <v>17043.043952374181</v>
      </c>
    </row>
    <row r="44" spans="1:20" ht="14.5" customHeight="1" x14ac:dyDescent="0.35">
      <c r="B44" s="84" t="s">
        <v>158</v>
      </c>
      <c r="E44" s="137" t="str">
        <f>E23</f>
        <v>--</v>
      </c>
      <c r="F44" s="137">
        <f t="shared" ref="F44:N44" si="24">F23</f>
        <v>9.5649530252278847E-2</v>
      </c>
      <c r="G44" s="137">
        <f t="shared" si="24"/>
        <v>-0.13259485255451686</v>
      </c>
      <c r="H44" s="137">
        <f t="shared" si="24"/>
        <v>0.14650915483722926</v>
      </c>
      <c r="I44" s="137">
        <f t="shared" si="24"/>
        <v>8.6804565799573297E-2</v>
      </c>
      <c r="J44" s="137">
        <f t="shared" si="24"/>
        <v>0.14828082717623992</v>
      </c>
      <c r="K44" s="137">
        <f t="shared" si="24"/>
        <v>7.1292283055415906E-2</v>
      </c>
      <c r="L44" s="137">
        <f t="shared" si="24"/>
        <v>0.26107310823017738</v>
      </c>
      <c r="M44" s="137">
        <f t="shared" si="24"/>
        <v>0.14410788517543449</v>
      </c>
      <c r="N44" s="137">
        <f t="shared" si="24"/>
        <v>0.14325962412845361</v>
      </c>
      <c r="O44" s="99">
        <f ca="1">OFFSET(O44,$E$12,0)</f>
        <v>0.14894684768471822</v>
      </c>
      <c r="P44" s="99">
        <f t="shared" ref="P44:S44" ca="1" si="25">OFFSET(P44,$E$12,0)</f>
        <v>0.13473814142126606</v>
      </c>
      <c r="Q44" s="99">
        <f t="shared" ca="1" si="25"/>
        <v>0.11452742020807614</v>
      </c>
      <c r="R44" s="99">
        <f t="shared" ca="1" si="25"/>
        <v>9.7348307176864726E-2</v>
      </c>
      <c r="S44" s="99">
        <f t="shared" ca="1" si="25"/>
        <v>8.2746061100335014E-2</v>
      </c>
    </row>
    <row r="45" spans="1:20" x14ac:dyDescent="0.35">
      <c r="B45" s="84" t="s">
        <v>148</v>
      </c>
      <c r="O45" s="138">
        <f>O46</f>
        <v>0.14894684768471822</v>
      </c>
      <c r="P45" s="100">
        <f>P46*(1+$J$12)</f>
        <v>0.12126432727913945</v>
      </c>
      <c r="Q45" s="100">
        <f t="shared" ref="Q45:S45" si="26">Q46*(1+$J$12)</f>
        <v>0.10307467818726854</v>
      </c>
      <c r="R45" s="100">
        <f t="shared" si="26"/>
        <v>8.7613476459178261E-2</v>
      </c>
      <c r="S45" s="100">
        <f t="shared" si="26"/>
        <v>7.4471454990301514E-2</v>
      </c>
    </row>
    <row r="46" spans="1:20" x14ac:dyDescent="0.35">
      <c r="B46" s="84" t="s">
        <v>169</v>
      </c>
      <c r="O46" s="101">
        <f>O23</f>
        <v>0.14894684768471822</v>
      </c>
      <c r="P46" s="101">
        <f>P23</f>
        <v>0.13473814142126606</v>
      </c>
      <c r="Q46" s="139">
        <f>P46*(1+$O$12)</f>
        <v>0.11452742020807614</v>
      </c>
      <c r="R46" s="139">
        <f t="shared" ref="R46:S46" si="27">Q46*(1+$O$12)</f>
        <v>9.7348307176864726E-2</v>
      </c>
      <c r="S46" s="139">
        <f t="shared" si="27"/>
        <v>8.2746061100335014E-2</v>
      </c>
    </row>
    <row r="47" spans="1:20" x14ac:dyDescent="0.35">
      <c r="B47" s="84" t="s">
        <v>150</v>
      </c>
      <c r="O47" s="138">
        <f>O46</f>
        <v>0.14894684768471822</v>
      </c>
      <c r="P47" s="100">
        <f>P46*(1+$T$12)</f>
        <v>0.14821195556339267</v>
      </c>
      <c r="Q47" s="100">
        <f t="shared" ref="Q47:S47" si="28">Q46*(1+$T$12)</f>
        <v>0.12598016222888378</v>
      </c>
      <c r="R47" s="100">
        <f t="shared" si="28"/>
        <v>0.10708313789455121</v>
      </c>
      <c r="S47" s="100">
        <f t="shared" si="28"/>
        <v>9.1020667210368528E-2</v>
      </c>
    </row>
    <row r="49" spans="2:19" x14ac:dyDescent="0.35">
      <c r="B49" t="s">
        <v>3</v>
      </c>
      <c r="E49" s="96">
        <f t="shared" ref="E49:N49" si="29">E25</f>
        <v>717.59199999999998</v>
      </c>
      <c r="F49" s="96">
        <f>F25</f>
        <v>777.35400000000004</v>
      </c>
      <c r="G49" s="96">
        <f t="shared" si="29"/>
        <v>57.857999999999997</v>
      </c>
      <c r="H49" s="96">
        <f t="shared" si="29"/>
        <v>312.61900000000003</v>
      </c>
      <c r="I49" s="96">
        <f t="shared" si="29"/>
        <v>389.89400000000001</v>
      </c>
      <c r="J49" s="96">
        <f t="shared" si="29"/>
        <v>487.23200000000003</v>
      </c>
      <c r="K49" s="96">
        <f t="shared" si="29"/>
        <v>374.54500000000002</v>
      </c>
      <c r="L49" s="96">
        <f t="shared" si="29"/>
        <v>866.09799999999996</v>
      </c>
      <c r="M49" s="96">
        <f t="shared" si="29"/>
        <v>1222.6489999999999</v>
      </c>
      <c r="N49" s="96">
        <f t="shared" si="29"/>
        <v>1628.3489999999999</v>
      </c>
      <c r="O49" s="97">
        <f ca="1">O50*O43</f>
        <v>1897.67</v>
      </c>
      <c r="P49" s="97">
        <f ca="1">P50*P43</f>
        <v>2284.4099999999994</v>
      </c>
      <c r="Q49" s="97">
        <f ca="1">Q50*Q43</f>
        <v>2673.3394631974074</v>
      </c>
      <c r="R49" s="97">
        <f ca="1">R50*R43</f>
        <v>3080.263761171223</v>
      </c>
      <c r="S49" s="97">
        <f ca="1">S50*S43</f>
        <v>3501.900627286157</v>
      </c>
    </row>
    <row r="50" spans="2:19" x14ac:dyDescent="0.35">
      <c r="B50" s="84" t="s">
        <v>160</v>
      </c>
      <c r="E50" s="137">
        <f t="shared" ref="E50:N50" si="30">E26</f>
        <v>0.17467015913514913</v>
      </c>
      <c r="F50" s="137">
        <f t="shared" si="30"/>
        <v>0.17269839774656801</v>
      </c>
      <c r="G50" s="137">
        <f t="shared" si="30"/>
        <v>1.4818726846539685E-2</v>
      </c>
      <c r="H50" s="137">
        <f t="shared" si="30"/>
        <v>6.9836958707107391E-2</v>
      </c>
      <c r="I50" s="137">
        <f t="shared" si="30"/>
        <v>8.0142898693418382E-2</v>
      </c>
      <c r="J50" s="137">
        <f t="shared" si="30"/>
        <v>8.7218012272372275E-2</v>
      </c>
      <c r="K50" s="137">
        <f t="shared" si="30"/>
        <v>6.258444543141653E-2</v>
      </c>
      <c r="L50" s="137">
        <f t="shared" si="30"/>
        <v>0.11475963954710316</v>
      </c>
      <c r="M50" s="137">
        <f t="shared" si="30"/>
        <v>0.14159794743320286</v>
      </c>
      <c r="N50" s="137">
        <f t="shared" si="30"/>
        <v>0.16495207639574705</v>
      </c>
      <c r="O50" s="99">
        <f ca="1">OFFSET(O50,$E$13,0)</f>
        <v>0.16731352495150767</v>
      </c>
      <c r="P50" s="99">
        <f t="shared" ref="P50:S50" ca="1" si="31">OFFSET(P50,$E$13,0)</f>
        <v>0.17749607620705193</v>
      </c>
      <c r="Q50" s="99">
        <f t="shared" ca="1" si="31"/>
        <v>0.18637088001740454</v>
      </c>
      <c r="R50" s="99">
        <f t="shared" ca="1" si="31"/>
        <v>0.19568942401827477</v>
      </c>
      <c r="S50" s="99">
        <f t="shared" ca="1" si="31"/>
        <v>0.20547389521918852</v>
      </c>
    </row>
    <row r="51" spans="2:19" x14ac:dyDescent="0.35">
      <c r="B51" s="84" t="s">
        <v>148</v>
      </c>
      <c r="O51" s="138">
        <f>O52</f>
        <v>0.16731352495150767</v>
      </c>
      <c r="P51" s="100">
        <f>P52*(1+$J$13)</f>
        <v>0.16684631163462882</v>
      </c>
      <c r="Q51" s="100">
        <f>Q52*(1+$J$13)</f>
        <v>0.17518862721636025</v>
      </c>
      <c r="R51" s="100">
        <f t="shared" ref="Q51:S51" si="32">R52*(1+$J$13)</f>
        <v>0.18394805857717828</v>
      </c>
      <c r="S51" s="100">
        <f t="shared" si="32"/>
        <v>0.1931454615060372</v>
      </c>
    </row>
    <row r="52" spans="2:19" x14ac:dyDescent="0.35">
      <c r="B52" s="84" t="s">
        <v>169</v>
      </c>
      <c r="O52" s="101">
        <f>O26</f>
        <v>0.16731352495150767</v>
      </c>
      <c r="P52" s="101">
        <f>P26</f>
        <v>0.17749607620705193</v>
      </c>
      <c r="Q52" s="139">
        <f>P52*(1+$O$13)</f>
        <v>0.18637088001740454</v>
      </c>
      <c r="R52" s="139">
        <f t="shared" ref="R52:S52" si="33">Q52*(1+$O$13)</f>
        <v>0.19568942401827477</v>
      </c>
      <c r="S52" s="139">
        <f t="shared" si="33"/>
        <v>0.20547389521918852</v>
      </c>
    </row>
    <row r="53" spans="2:19" x14ac:dyDescent="0.35">
      <c r="B53" s="84" t="s">
        <v>150</v>
      </c>
      <c r="O53" s="138">
        <f>O52</f>
        <v>0.16731352495150767</v>
      </c>
      <c r="P53" s="100">
        <f>P52*(1+$T$13)</f>
        <v>0.18637088001740454</v>
      </c>
      <c r="Q53" s="100">
        <f t="shared" ref="Q53:S53" si="34">Q52*(1+$T$13)</f>
        <v>0.19568942401827477</v>
      </c>
      <c r="R53" s="100">
        <f t="shared" si="34"/>
        <v>0.20547389521918852</v>
      </c>
      <c r="S53" s="100">
        <f t="shared" si="34"/>
        <v>0.21574758998014795</v>
      </c>
    </row>
    <row r="54" spans="2:19" x14ac:dyDescent="0.35">
      <c r="B54" s="84"/>
    </row>
    <row r="55" spans="2:19" x14ac:dyDescent="0.35">
      <c r="B55" t="s">
        <v>161</v>
      </c>
      <c r="E55" s="107">
        <f t="shared" ref="E55:N55" si="35">E28</f>
        <v>268.92899999999997</v>
      </c>
      <c r="F55" s="107">
        <f t="shared" si="35"/>
        <v>294.26499999999999</v>
      </c>
      <c r="G55" s="107">
        <f t="shared" si="35"/>
        <v>15.801</v>
      </c>
      <c r="H55" s="107">
        <f t="shared" si="35"/>
        <v>99.49</v>
      </c>
      <c r="I55" s="107">
        <f t="shared" si="35"/>
        <v>91.882999999999996</v>
      </c>
      <c r="J55" s="107">
        <f t="shared" si="35"/>
        <v>108.127</v>
      </c>
      <c r="K55" s="107">
        <f t="shared" si="35"/>
        <v>-61.984999999999999</v>
      </c>
      <c r="L55" s="107">
        <f t="shared" si="35"/>
        <v>159.779</v>
      </c>
      <c r="M55" s="107">
        <f t="shared" si="35"/>
        <v>282.43</v>
      </c>
      <c r="N55" s="107">
        <f t="shared" si="35"/>
        <v>391.76900000000001</v>
      </c>
      <c r="O55" s="108">
        <f ca="1">O49*O56</f>
        <v>428.48247730186694</v>
      </c>
      <c r="P55" s="108">
        <f t="shared" ref="P55:S55" ca="1" si="36">P49*P56</f>
        <v>515.80604424012483</v>
      </c>
      <c r="Q55" s="108">
        <f t="shared" ca="1" si="36"/>
        <v>603.62397880541312</v>
      </c>
      <c r="R55" s="108">
        <f t="shared" ca="1" si="36"/>
        <v>695.50503887915806</v>
      </c>
      <c r="S55" s="108">
        <f t="shared" ca="1" si="36"/>
        <v>790.70810838793591</v>
      </c>
    </row>
    <row r="56" spans="2:19" x14ac:dyDescent="0.35">
      <c r="B56" s="84" t="s">
        <v>162</v>
      </c>
      <c r="E56" s="137">
        <f t="shared" ref="E56:N56" si="37">E29</f>
        <v>0.37649148890596845</v>
      </c>
      <c r="F56" s="137">
        <f t="shared" si="37"/>
        <v>0.38222835892433371</v>
      </c>
      <c r="G56" s="137">
        <f t="shared" si="37"/>
        <v>0.40788352822736779</v>
      </c>
      <c r="H56" s="137">
        <f t="shared" si="37"/>
        <v>0.36080698331417299</v>
      </c>
      <c r="I56" s="137">
        <f t="shared" si="37"/>
        <v>0.34229015482275105</v>
      </c>
      <c r="J56" s="137">
        <f t="shared" si="37"/>
        <v>0.23593833531536051</v>
      </c>
      <c r="K56" s="137">
        <f t="shared" si="37"/>
        <v>-0.21099049972598635</v>
      </c>
      <c r="L56" s="137">
        <f t="shared" si="37"/>
        <v>0.19658744307996304</v>
      </c>
      <c r="M56" s="137">
        <f t="shared" si="37"/>
        <v>0.23903731683722224</v>
      </c>
      <c r="N56" s="137">
        <f t="shared" si="37"/>
        <v>0.24175720423127095</v>
      </c>
      <c r="O56" s="102">
        <f>AVERAGE(L56:N56)</f>
        <v>0.22579398804948539</v>
      </c>
      <c r="P56" s="98">
        <f>O56</f>
        <v>0.22579398804948539</v>
      </c>
      <c r="Q56" s="98">
        <f>P56</f>
        <v>0.22579398804948539</v>
      </c>
      <c r="R56" s="98">
        <f>Q56</f>
        <v>0.22579398804948539</v>
      </c>
      <c r="S56" s="98">
        <f>R56</f>
        <v>0.22579398804948539</v>
      </c>
    </row>
    <row r="58" spans="2:19" x14ac:dyDescent="0.35">
      <c r="B58" s="103" t="s">
        <v>170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5">
        <f ca="1">O49-O55</f>
        <v>1469.1875226981331</v>
      </c>
      <c r="P58" s="105">
        <f t="shared" ref="P58:S58" ca="1" si="38">P49-P55</f>
        <v>1768.6039557598747</v>
      </c>
      <c r="Q58" s="105">
        <f t="shared" ca="1" si="38"/>
        <v>2069.7154843919943</v>
      </c>
      <c r="R58" s="105">
        <f t="shared" ca="1" si="38"/>
        <v>2384.7587222920647</v>
      </c>
      <c r="S58" s="106">
        <f t="shared" ca="1" si="38"/>
        <v>2711.1925188982214</v>
      </c>
    </row>
    <row r="60" spans="2:19" x14ac:dyDescent="0.35">
      <c r="B60" t="s">
        <v>164</v>
      </c>
      <c r="E60" s="107">
        <f>E32</f>
        <v>110.474</v>
      </c>
      <c r="F60" s="107">
        <f t="shared" ref="F60:N61" si="39">F32</f>
        <v>130.36799999999999</v>
      </c>
      <c r="G60" s="107">
        <f t="shared" si="39"/>
        <v>146.36799999999999</v>
      </c>
      <c r="H60" s="107">
        <f t="shared" si="39"/>
        <v>163.34800000000001</v>
      </c>
      <c r="I60" s="107">
        <f t="shared" si="39"/>
        <v>201.97900000000001</v>
      </c>
      <c r="J60" s="107">
        <f t="shared" si="39"/>
        <v>376.73</v>
      </c>
      <c r="K60" s="107">
        <f t="shared" si="39"/>
        <v>423.072</v>
      </c>
      <c r="L60" s="107">
        <f t="shared" si="39"/>
        <v>254.65700000000001</v>
      </c>
      <c r="M60" s="107">
        <f t="shared" si="39"/>
        <v>286.82600000000002</v>
      </c>
      <c r="N60" s="107">
        <f t="shared" si="39"/>
        <v>319.39400000000001</v>
      </c>
      <c r="O60" s="97">
        <f ca="1">O61*O$43</f>
        <v>375.47777773246008</v>
      </c>
      <c r="P60" s="97">
        <f t="shared" ref="P60:S60" ca="1" si="40">P61*P$43</f>
        <v>426.06895564911895</v>
      </c>
      <c r="Q60" s="97">
        <f t="shared" ca="1" si="40"/>
        <v>474.86553397036175</v>
      </c>
      <c r="R60" s="97">
        <f t="shared" ca="1" si="40"/>
        <v>521.09288983901445</v>
      </c>
      <c r="S60" s="97">
        <f t="shared" ca="1" si="40"/>
        <v>564.21127394058374</v>
      </c>
    </row>
    <row r="61" spans="2:19" x14ac:dyDescent="0.35">
      <c r="B61" t="s">
        <v>160</v>
      </c>
      <c r="E61" s="137">
        <f>E33</f>
        <v>2.689064421049352E-2</v>
      </c>
      <c r="F61" s="137">
        <f t="shared" si="39"/>
        <v>2.8962795222542852E-2</v>
      </c>
      <c r="G61" s="137">
        <f t="shared" si="39"/>
        <v>3.7488115923023965E-2</v>
      </c>
      <c r="H61" s="137">
        <f t="shared" si="39"/>
        <v>3.6490832389869388E-2</v>
      </c>
      <c r="I61" s="137">
        <f t="shared" si="39"/>
        <v>4.1516880319261013E-2</v>
      </c>
      <c r="J61" s="137">
        <f t="shared" si="39"/>
        <v>6.7437364055256646E-2</v>
      </c>
      <c r="K61" s="137">
        <f t="shared" si="39"/>
        <v>7.0693044887958065E-2</v>
      </c>
      <c r="L61" s="137">
        <f t="shared" si="39"/>
        <v>3.3742538983055792E-2</v>
      </c>
      <c r="M61" s="137">
        <f t="shared" si="39"/>
        <v>3.3218015039864955E-2</v>
      </c>
      <c r="N61" s="137">
        <f t="shared" si="39"/>
        <v>3.2354675495451672E-2</v>
      </c>
      <c r="O61" s="102">
        <f>AVERAGE(L61:N61)</f>
        <v>3.3105076506124147E-2</v>
      </c>
      <c r="P61" s="98">
        <f>O61</f>
        <v>3.3105076506124147E-2</v>
      </c>
      <c r="Q61" s="98">
        <f t="shared" ref="Q61:S61" si="41">P61</f>
        <v>3.3105076506124147E-2</v>
      </c>
      <c r="R61" s="98">
        <f t="shared" si="41"/>
        <v>3.3105076506124147E-2</v>
      </c>
      <c r="S61" s="98">
        <f t="shared" si="41"/>
        <v>3.3105076506124147E-2</v>
      </c>
    </row>
    <row r="63" spans="2:19" x14ac:dyDescent="0.35">
      <c r="B63" t="s">
        <v>165</v>
      </c>
      <c r="E63" s="107">
        <f>E35</f>
        <v>-252.59</v>
      </c>
      <c r="F63" s="107">
        <f t="shared" ref="F63:N63" si="42">F35</f>
        <v>-257.41800000000001</v>
      </c>
      <c r="G63" s="107">
        <f t="shared" si="42"/>
        <v>-258.84199999999998</v>
      </c>
      <c r="H63" s="107">
        <f t="shared" si="42"/>
        <v>-216.77699999999999</v>
      </c>
      <c r="I63" s="107">
        <f t="shared" si="42"/>
        <v>-287.39</v>
      </c>
      <c r="J63" s="107">
        <f t="shared" si="42"/>
        <v>-333.91199999999998</v>
      </c>
      <c r="K63" s="107">
        <f t="shared" si="42"/>
        <v>-373.35199999999998</v>
      </c>
      <c r="L63" s="107">
        <f t="shared" si="42"/>
        <v>-442.47500000000002</v>
      </c>
      <c r="M63" s="107">
        <f t="shared" si="42"/>
        <v>-479.16399999999999</v>
      </c>
      <c r="N63" s="107">
        <f t="shared" si="42"/>
        <v>-560.73099999999999</v>
      </c>
      <c r="O63" s="97">
        <f ca="1">O64*O$43</f>
        <v>-646.20700856601275</v>
      </c>
      <c r="P63" s="97">
        <f t="shared" ref="P63" ca="1" si="43">P64*P$43</f>
        <v>-733.27573987359347</v>
      </c>
      <c r="Q63" s="97">
        <f t="shared" ref="Q63" ca="1" si="44">Q64*Q$43</f>
        <v>-817.25591866248442</v>
      </c>
      <c r="R63" s="97">
        <f t="shared" ref="R63" ca="1" si="45">R64*R$43</f>
        <v>-896.81439887455088</v>
      </c>
      <c r="S63" s="97">
        <f t="shared" ref="S63" ca="1" si="46">S64*S$43</f>
        <v>-971.02225791948467</v>
      </c>
    </row>
    <row r="64" spans="2:19" x14ac:dyDescent="0.35">
      <c r="B64" s="93" t="s">
        <v>160</v>
      </c>
      <c r="E64" s="137">
        <f>E36</f>
        <v>-6.1483315722509889E-2</v>
      </c>
      <c r="F64" s="137">
        <f t="shared" ref="F64:N64" si="47">F36</f>
        <v>-5.7188457448120213E-2</v>
      </c>
      <c r="G64" s="137">
        <f t="shared" si="47"/>
        <v>-6.6295220961872597E-2</v>
      </c>
      <c r="H64" s="137">
        <f t="shared" si="47"/>
        <v>-4.8426507658365668E-2</v>
      </c>
      <c r="I64" s="137">
        <f t="shared" si="47"/>
        <v>-5.9073152332432682E-2</v>
      </c>
      <c r="J64" s="137">
        <f t="shared" si="47"/>
        <v>-5.9772635857029854E-2</v>
      </c>
      <c r="K64" s="137">
        <f t="shared" si="47"/>
        <v>-6.2385101578475807E-2</v>
      </c>
      <c r="L64" s="137">
        <f t="shared" si="47"/>
        <v>-5.8628782780475744E-2</v>
      </c>
      <c r="M64" s="137">
        <f t="shared" si="47"/>
        <v>-5.5493145525725873E-2</v>
      </c>
      <c r="N64" s="137">
        <f t="shared" si="47"/>
        <v>-5.6802161422068391E-2</v>
      </c>
      <c r="O64" s="102">
        <f>AVERAGE(L64:N64)</f>
        <v>-5.697469657609E-2</v>
      </c>
      <c r="P64" s="98">
        <f>O64</f>
        <v>-5.697469657609E-2</v>
      </c>
      <c r="Q64" s="98">
        <f>P64</f>
        <v>-5.697469657609E-2</v>
      </c>
      <c r="R64" s="98">
        <f t="shared" ref="Q64:S64" si="48">Q64</f>
        <v>-5.697469657609E-2</v>
      </c>
      <c r="S64" s="98">
        <f t="shared" si="48"/>
        <v>-5.697469657609E-2</v>
      </c>
    </row>
    <row r="66" spans="2:19" x14ac:dyDescent="0.35">
      <c r="B66" t="s">
        <v>166</v>
      </c>
      <c r="E66" s="107">
        <f>E38</f>
        <v>65.028000000000006</v>
      </c>
      <c r="F66" s="107">
        <f t="shared" ref="F66:N66" si="49">F38</f>
        <v>68.457999999999998</v>
      </c>
      <c r="G66" s="107">
        <f t="shared" si="49"/>
        <v>108.286</v>
      </c>
      <c r="H66" s="107">
        <f t="shared" si="49"/>
        <v>66.933999999999997</v>
      </c>
      <c r="I66" s="107">
        <f t="shared" si="49"/>
        <v>104.077</v>
      </c>
      <c r="J66" s="107">
        <f t="shared" si="49"/>
        <v>-131.45699999999999</v>
      </c>
      <c r="K66" s="107">
        <f t="shared" si="49"/>
        <v>-338.64800000000002</v>
      </c>
      <c r="L66" s="107">
        <f t="shared" si="49"/>
        <v>197.42500000000001</v>
      </c>
      <c r="M66" s="107">
        <f t="shared" si="49"/>
        <v>78.641000000000005</v>
      </c>
      <c r="N66" s="107">
        <f t="shared" si="49"/>
        <v>95.32</v>
      </c>
      <c r="O66" s="97">
        <f ca="1">O67*O$43</f>
        <v>169.83786626653725</v>
      </c>
      <c r="P66" s="97">
        <f t="shared" ref="P66" ca="1" si="50">P67*P$43</f>
        <v>192.72150471024401</v>
      </c>
      <c r="Q66" s="97">
        <f t="shared" ref="Q66" ca="1" si="51">Q67*Q$43</f>
        <v>214.79340146332683</v>
      </c>
      <c r="R66" s="97">
        <f t="shared" ref="R66" ca="1" si="52">R67*R$43</f>
        <v>235.70317548854246</v>
      </c>
      <c r="S66" s="97">
        <f t="shared" ref="S66" ca="1" si="53">S67*S$43</f>
        <v>255.20668484906037</v>
      </c>
    </row>
    <row r="67" spans="2:19" x14ac:dyDescent="0.35">
      <c r="B67" s="93" t="s">
        <v>160</v>
      </c>
      <c r="E67" s="137">
        <f>E39</f>
        <v>1.5828564293136598E-2</v>
      </c>
      <c r="F67" s="137">
        <f t="shared" ref="F67:N67" si="54">F39</f>
        <v>1.5208755487119833E-2</v>
      </c>
      <c r="G67" s="137">
        <f t="shared" si="54"/>
        <v>2.7734464642822018E-2</v>
      </c>
      <c r="H67" s="137">
        <f t="shared" si="54"/>
        <v>1.4952600430880801E-2</v>
      </c>
      <c r="I67" s="137">
        <f t="shared" si="54"/>
        <v>2.139307726539753E-2</v>
      </c>
      <c r="J67" s="137">
        <f t="shared" si="54"/>
        <v>-2.3531743069603889E-2</v>
      </c>
      <c r="K67" s="137">
        <f t="shared" si="54"/>
        <v>-5.658625072143092E-2</v>
      </c>
      <c r="L67" s="137">
        <f t="shared" si="54"/>
        <v>2.6159189650116783E-2</v>
      </c>
      <c r="M67" s="137">
        <f t="shared" si="54"/>
        <v>9.1076050314477068E-3</v>
      </c>
      <c r="N67" s="137">
        <f t="shared" si="54"/>
        <v>9.6559348899054251E-3</v>
      </c>
      <c r="O67" s="102">
        <f>AVERAGE(L67:N67)</f>
        <v>1.4974243190489971E-2</v>
      </c>
      <c r="P67" s="98">
        <f>O67</f>
        <v>1.4974243190489971E-2</v>
      </c>
      <c r="Q67" s="98">
        <f t="shared" ref="Q67:S67" si="55">P67</f>
        <v>1.4974243190489971E-2</v>
      </c>
      <c r="R67" s="98">
        <f t="shared" si="55"/>
        <v>1.4974243190489971E-2</v>
      </c>
      <c r="S67" s="98">
        <f t="shared" si="55"/>
        <v>1.4974243190489971E-2</v>
      </c>
    </row>
    <row r="69" spans="2:19" x14ac:dyDescent="0.35">
      <c r="B69" s="109" t="s">
        <v>171</v>
      </c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1">
        <f ca="1">O58+O60-O63-O66</f>
        <v>2321.0344427300688</v>
      </c>
      <c r="P69" s="111">
        <f t="shared" ref="P69:S69" ca="1" si="56">P58+P60-P63-P66</f>
        <v>2735.2271465723429</v>
      </c>
      <c r="Q69" s="111">
        <f t="shared" ca="1" si="56"/>
        <v>3147.0435355615136</v>
      </c>
      <c r="R69" s="111">
        <f t="shared" ca="1" si="56"/>
        <v>3566.9628355170876</v>
      </c>
      <c r="S69" s="112">
        <f t="shared" ca="1" si="56"/>
        <v>3991.2193659092291</v>
      </c>
    </row>
    <row r="70" spans="2:19" x14ac:dyDescent="0.35">
      <c r="B70" s="113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14">
        <f ca="1">(O69*O72)/(1+wacc)^O73</f>
        <v>1223.6450554309047</v>
      </c>
      <c r="P70" s="114">
        <f ca="1">P69/(1+wacc)^P73</f>
        <v>2513.4298741516041</v>
      </c>
      <c r="Q70" s="114">
        <f ca="1">Q69/(1+wacc)^Q73</f>
        <v>2665.7799279480391</v>
      </c>
      <c r="R70" s="114">
        <f ca="1">R69/(1+wacc)^R73</f>
        <v>2785.2763734747896</v>
      </c>
      <c r="S70" s="115">
        <f ca="1">S69/(1+wacc)^S73</f>
        <v>2872.9196320465312</v>
      </c>
    </row>
    <row r="72" spans="2:19" x14ac:dyDescent="0.35">
      <c r="B72" t="s">
        <v>173</v>
      </c>
      <c r="O72" s="116">
        <f>YEARFRAC(D5,D6)</f>
        <v>0.53888888888888886</v>
      </c>
    </row>
    <row r="73" spans="2:19" x14ac:dyDescent="0.35">
      <c r="B73" t="s">
        <v>174</v>
      </c>
      <c r="O73" s="116">
        <f>O72/2</f>
        <v>0.26944444444444443</v>
      </c>
      <c r="P73" s="116">
        <f>O72+0.5</f>
        <v>1.0388888888888888</v>
      </c>
      <c r="Q73" s="116">
        <f>P73+1</f>
        <v>2.0388888888888888</v>
      </c>
      <c r="R73" s="116">
        <f t="shared" ref="R73:S73" si="57">Q73+1</f>
        <v>3.0388888888888888</v>
      </c>
      <c r="S73" s="116">
        <f t="shared" si="57"/>
        <v>4.0388888888888888</v>
      </c>
    </row>
    <row r="74" spans="2:19" x14ac:dyDescent="0.35">
      <c r="O74" s="148"/>
    </row>
    <row r="75" spans="2:19" x14ac:dyDescent="0.35">
      <c r="B75" t="s">
        <v>175</v>
      </c>
      <c r="S75" s="108">
        <f ca="1">(S69*(1+tgr))/(wacc-tgr)</f>
        <v>68405.210152935411</v>
      </c>
    </row>
    <row r="76" spans="2:19" x14ac:dyDescent="0.35">
      <c r="B76" t="s">
        <v>176</v>
      </c>
      <c r="S76" s="108">
        <f ca="1">S75/(1+wacc)^S73</f>
        <v>49238.754667614608</v>
      </c>
    </row>
    <row r="78" spans="2:19" x14ac:dyDescent="0.35">
      <c r="B78" t="s">
        <v>177</v>
      </c>
      <c r="S78" s="108">
        <f ca="1">SUM(O70:S70,S76)</f>
        <v>61299.805530666476</v>
      </c>
    </row>
    <row r="79" spans="2:19" x14ac:dyDescent="0.35">
      <c r="B79" t="s">
        <v>178</v>
      </c>
      <c r="S79" s="149">
        <f>WACC!F15</f>
        <v>0.5</v>
      </c>
    </row>
    <row r="80" spans="2:19" x14ac:dyDescent="0.35">
      <c r="B80" t="s">
        <v>179</v>
      </c>
      <c r="S80" s="150">
        <v>806.52800000000002</v>
      </c>
    </row>
    <row r="81" spans="1:27" x14ac:dyDescent="0.35">
      <c r="B81" t="s">
        <v>180</v>
      </c>
      <c r="S81" s="62">
        <f ca="1">S78-S79+S80</f>
        <v>62105.833530666474</v>
      </c>
    </row>
    <row r="82" spans="1:27" x14ac:dyDescent="0.35">
      <c r="B82" t="s">
        <v>181</v>
      </c>
      <c r="S82" s="62">
        <f>Shares!E16*1000</f>
        <v>1381.0555586995783</v>
      </c>
    </row>
    <row r="83" spans="1:27" x14ac:dyDescent="0.35">
      <c r="B83" t="s">
        <v>182</v>
      </c>
      <c r="S83" s="70">
        <f ca="1">S81/S82</f>
        <v>44.969829880809584</v>
      </c>
    </row>
    <row r="85" spans="1:27" x14ac:dyDescent="0.35">
      <c r="B85" s="5" t="s">
        <v>183</v>
      </c>
      <c r="C85" s="5"/>
      <c r="D85" s="5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spans="1:27" x14ac:dyDescent="0.35">
      <c r="A86" s="4" t="s">
        <v>0</v>
      </c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7"/>
      <c r="P86" s="97"/>
      <c r="Q86" s="97"/>
      <c r="R86" s="97"/>
      <c r="S86" s="97"/>
    </row>
    <row r="87" spans="1:27" x14ac:dyDescent="0.35">
      <c r="U87" s="117"/>
      <c r="V87" s="118"/>
      <c r="W87" s="119" t="s">
        <v>155</v>
      </c>
      <c r="X87" s="120"/>
      <c r="Y87" s="120"/>
      <c r="Z87" s="120"/>
      <c r="AA87" s="121"/>
    </row>
    <row r="88" spans="1:27" x14ac:dyDescent="0.35">
      <c r="U88" s="122"/>
      <c r="V88" s="123">
        <f ca="1">S83</f>
        <v>44.969829880809584</v>
      </c>
      <c r="W88" s="124">
        <f>X88-0.25%</f>
        <v>2.0000000000000004E-2</v>
      </c>
      <c r="X88" s="124">
        <f>Y88-0.25%</f>
        <v>2.2500000000000003E-2</v>
      </c>
      <c r="Y88" s="124">
        <v>2.5000000000000001E-2</v>
      </c>
      <c r="Z88" s="124">
        <f>Y88+0.25%</f>
        <v>2.75E-2</v>
      </c>
      <c r="AA88" s="125">
        <f>Z88+0.25%</f>
        <v>0.03</v>
      </c>
    </row>
    <row r="89" spans="1:27" ht="16.5" customHeight="1" x14ac:dyDescent="0.35">
      <c r="U89" s="151" t="s">
        <v>127</v>
      </c>
      <c r="V89" s="126">
        <f>V90+0.25%</f>
        <v>8.9806000000000011E-2</v>
      </c>
      <c r="W89" s="127">
        <f t="dataTable" ref="W89:AA93" dt2D="1" dtr="1" r1="E19" r2="E18" ca="1"/>
        <v>39.059607234205025</v>
      </c>
      <c r="X89" s="128">
        <v>40.243705840704301</v>
      </c>
      <c r="Y89" s="128">
        <v>41.5191616214235</v>
      </c>
      <c r="Z89" s="128">
        <v>42.896971571943304</v>
      </c>
      <c r="AA89" s="129">
        <v>44.38997146582328</v>
      </c>
    </row>
    <row r="90" spans="1:27" x14ac:dyDescent="0.35">
      <c r="U90" s="151"/>
      <c r="V90" s="126">
        <f>V91+0.25%</f>
        <v>8.7306000000000009E-2</v>
      </c>
      <c r="W90" s="130">
        <v>40.503042846845936</v>
      </c>
      <c r="X90" s="70">
        <v>41.787431395301326</v>
      </c>
      <c r="Y90" s="70">
        <v>43.174890960067785</v>
      </c>
      <c r="Z90" s="70">
        <v>44.678347211183976</v>
      </c>
      <c r="AA90" s="131">
        <v>46.312981371342524</v>
      </c>
    </row>
    <row r="91" spans="1:27" x14ac:dyDescent="0.35">
      <c r="U91" s="151"/>
      <c r="V91" s="126">
        <v>8.4806000000000006E-2</v>
      </c>
      <c r="W91" s="130">
        <v>42.058159705191926</v>
      </c>
      <c r="X91" s="70">
        <v>43.455358912563682</v>
      </c>
      <c r="Y91" s="70">
        <v>44.969369075974285</v>
      </c>
      <c r="Z91" s="70">
        <v>46.615477986759565</v>
      </c>
      <c r="AA91" s="131">
        <v>48.411762873786977</v>
      </c>
    </row>
    <row r="92" spans="1:27" x14ac:dyDescent="0.35">
      <c r="U92" s="151"/>
      <c r="V92" s="124">
        <f>V91-0.25%</f>
        <v>8.2306000000000004E-2</v>
      </c>
      <c r="W92" s="130">
        <v>43.738404911491095</v>
      </c>
      <c r="X92" s="70">
        <v>45.263067680395174</v>
      </c>
      <c r="Y92" s="70">
        <v>46.920758646076578</v>
      </c>
      <c r="Z92" s="70">
        <v>48.729682229143066</v>
      </c>
      <c r="AA92" s="131">
        <v>50.7115232196835</v>
      </c>
    </row>
    <row r="93" spans="1:27" x14ac:dyDescent="0.35">
      <c r="U93" s="152"/>
      <c r="V93" s="132">
        <f>V92-0.25%</f>
        <v>7.9806000000000002E-2</v>
      </c>
      <c r="W93" s="133">
        <v>45.559474071680079</v>
      </c>
      <c r="X93" s="134">
        <v>47.228855651313744</v>
      </c>
      <c r="Y93" s="134">
        <v>49.05053639341444</v>
      </c>
      <c r="Z93" s="134">
        <v>51.046354016762102</v>
      </c>
      <c r="AA93" s="135">
        <v>53.242530795969252</v>
      </c>
    </row>
  </sheetData>
  <mergeCells count="1">
    <mergeCell ref="U89:U93"/>
  </mergeCells>
  <dataValidations count="1">
    <dataValidation type="list" allowBlank="1" showInputMessage="1" showErrorMessage="1" sqref="E12:E15" xr:uid="{A1FEEF47-14F0-4975-AC02-43A32970385E}">
      <formula1>"1,2,3"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1B7-4704-4358-B1F6-6E37B2489D70}">
  <dimension ref="A2:H22"/>
  <sheetViews>
    <sheetView showGridLines="0" workbookViewId="0">
      <selection activeCell="F15" sqref="F15"/>
    </sheetView>
  </sheetViews>
  <sheetFormatPr defaultColWidth="8.81640625" defaultRowHeight="14.5" x14ac:dyDescent="0.35"/>
  <cols>
    <col min="1" max="1" width="3.6328125" customWidth="1"/>
    <col min="6" max="6" width="12.6328125" customWidth="1"/>
  </cols>
  <sheetData>
    <row r="2" spans="1:8" s="3" customFormat="1" ht="21" x14ac:dyDescent="0.5">
      <c r="B2" s="2" t="s">
        <v>127</v>
      </c>
    </row>
    <row r="4" spans="1:8" x14ac:dyDescent="0.35">
      <c r="B4" t="s">
        <v>128</v>
      </c>
    </row>
    <row r="5" spans="1:8" x14ac:dyDescent="0.35">
      <c r="B5" t="s">
        <v>129</v>
      </c>
    </row>
    <row r="7" spans="1:8" x14ac:dyDescent="0.35">
      <c r="A7" t="s">
        <v>0</v>
      </c>
      <c r="B7" s="60" t="s">
        <v>127</v>
      </c>
      <c r="C7" s="61"/>
      <c r="D7" s="61"/>
      <c r="E7" s="61"/>
      <c r="F7" s="61"/>
    </row>
    <row r="8" spans="1:8" x14ac:dyDescent="0.35">
      <c r="B8" t="s">
        <v>130</v>
      </c>
      <c r="F8" s="62">
        <f>Shares!E6*Shares!E16*1000</f>
        <v>68817.998489999984</v>
      </c>
    </row>
    <row r="9" spans="1:8" x14ac:dyDescent="0.35">
      <c r="B9" t="s">
        <v>131</v>
      </c>
      <c r="F9" s="63">
        <f>F8/$F$20</f>
        <v>0.99999273451163606</v>
      </c>
    </row>
    <row r="10" spans="1:8" x14ac:dyDescent="0.35">
      <c r="B10" t="s">
        <v>132</v>
      </c>
      <c r="F10" s="64">
        <f>F11+F12*F13</f>
        <v>8.4806000000000006E-2</v>
      </c>
    </row>
    <row r="11" spans="1:8" x14ac:dyDescent="0.35">
      <c r="B11" t="s">
        <v>133</v>
      </c>
      <c r="F11" s="65">
        <v>4.1930000000000002E-2</v>
      </c>
    </row>
    <row r="12" spans="1:8" x14ac:dyDescent="0.35">
      <c r="B12" t="s">
        <v>134</v>
      </c>
      <c r="F12" s="66">
        <v>1.08</v>
      </c>
    </row>
    <row r="13" spans="1:8" x14ac:dyDescent="0.35">
      <c r="B13" t="s">
        <v>135</v>
      </c>
      <c r="F13" s="65">
        <v>3.9699999999999999E-2</v>
      </c>
      <c r="H13" s="67"/>
    </row>
    <row r="15" spans="1:8" x14ac:dyDescent="0.35">
      <c r="B15" t="s">
        <v>136</v>
      </c>
      <c r="F15" s="68">
        <v>0.5</v>
      </c>
    </row>
    <row r="16" spans="1:8" x14ac:dyDescent="0.35">
      <c r="B16" t="s">
        <v>137</v>
      </c>
      <c r="F16" s="63">
        <f>F15/$F$20</f>
        <v>7.265488363897608E-6</v>
      </c>
    </row>
    <row r="17" spans="1:6" x14ac:dyDescent="0.35">
      <c r="B17" t="s">
        <v>138</v>
      </c>
      <c r="F17" s="65">
        <v>0</v>
      </c>
    </row>
    <row r="18" spans="1:6" x14ac:dyDescent="0.35">
      <c r="B18" t="s">
        <v>139</v>
      </c>
      <c r="F18" s="65">
        <f>DCF!O56</f>
        <v>0.22579398804948539</v>
      </c>
    </row>
    <row r="20" spans="1:6" x14ac:dyDescent="0.35">
      <c r="B20" t="s">
        <v>126</v>
      </c>
      <c r="F20" s="62">
        <f>F8+F15</f>
        <v>68818.498489999984</v>
      </c>
    </row>
    <row r="22" spans="1:6" x14ac:dyDescent="0.35">
      <c r="A22" t="s">
        <v>0</v>
      </c>
      <c r="B22" t="s">
        <v>127</v>
      </c>
      <c r="F22" s="64">
        <f>F9*F10+(F16*F17*(1-F18))</f>
        <v>8.4805383842993812E-2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1D1-3D56-457B-88B7-C4658B87B70E}">
  <dimension ref="A2:G32"/>
  <sheetViews>
    <sheetView showGridLines="0" workbookViewId="0">
      <selection activeCell="E16" sqref="E16"/>
    </sheetView>
  </sheetViews>
  <sheetFormatPr defaultColWidth="8.81640625" defaultRowHeight="14.5" x14ac:dyDescent="0.35"/>
  <cols>
    <col min="1" max="1" width="3.6328125" style="4" customWidth="1"/>
    <col min="2" max="2" width="36.453125" bestFit="1" customWidth="1"/>
    <col min="3" max="5" width="15.81640625" customWidth="1"/>
  </cols>
  <sheetData>
    <row r="2" spans="1:7" s="3" customFormat="1" ht="21" x14ac:dyDescent="0.5">
      <c r="A2" s="1"/>
      <c r="B2" s="2" t="s">
        <v>114</v>
      </c>
    </row>
    <row r="3" spans="1:7" x14ac:dyDescent="0.35">
      <c r="B3" s="41"/>
    </row>
    <row r="4" spans="1:7" x14ac:dyDescent="0.35">
      <c r="A4" s="4" t="s">
        <v>0</v>
      </c>
      <c r="B4" s="42" t="s">
        <v>115</v>
      </c>
      <c r="C4" s="43"/>
      <c r="D4" s="43"/>
      <c r="E4" s="43"/>
    </row>
    <row r="5" spans="1:7" ht="5" customHeight="1" x14ac:dyDescent="0.35">
      <c r="B5" s="44"/>
      <c r="C5" s="45"/>
      <c r="D5" s="45"/>
      <c r="E5" s="45"/>
    </row>
    <row r="6" spans="1:7" x14ac:dyDescent="0.35">
      <c r="B6" s="46" t="s">
        <v>221</v>
      </c>
      <c r="E6" s="140">
        <v>49.83</v>
      </c>
      <c r="G6" s="54"/>
    </row>
    <row r="7" spans="1:7" ht="14.5" customHeight="1" x14ac:dyDescent="0.35">
      <c r="B7" s="47" t="s">
        <v>116</v>
      </c>
      <c r="E7" s="141">
        <v>1.3694759999999999</v>
      </c>
    </row>
    <row r="8" spans="1:7" ht="14.5" customHeight="1" x14ac:dyDescent="0.35">
      <c r="B8" s="46" t="s">
        <v>117</v>
      </c>
      <c r="E8" s="143">
        <f>E32</f>
        <v>1.4612999999999999E-2</v>
      </c>
    </row>
    <row r="9" spans="1:7" ht="14.5" customHeight="1" x14ac:dyDescent="0.35">
      <c r="B9" s="46" t="s">
        <v>118</v>
      </c>
      <c r="E9" s="144">
        <f>SUMPRODUCT(D21:D30,E21:E30)</f>
        <v>0.45198008999999995</v>
      </c>
    </row>
    <row r="10" spans="1:7" ht="14.5" customHeight="1" x14ac:dyDescent="0.35">
      <c r="B10" s="46" t="s">
        <v>119</v>
      </c>
      <c r="E10" s="144">
        <f>E9/E6</f>
        <v>9.0704413004214328E-3</v>
      </c>
    </row>
    <row r="11" spans="1:7" ht="14.5" customHeight="1" x14ac:dyDescent="0.35">
      <c r="B11" s="46" t="s">
        <v>120</v>
      </c>
      <c r="E11" s="144">
        <f>E8-E10</f>
        <v>5.5425586995785665E-3</v>
      </c>
    </row>
    <row r="12" spans="1:7" ht="14.5" customHeight="1" x14ac:dyDescent="0.35">
      <c r="B12" s="46"/>
      <c r="E12" s="144"/>
    </row>
    <row r="13" spans="1:7" ht="14.5" customHeight="1" x14ac:dyDescent="0.35">
      <c r="B13" s="46" t="s">
        <v>222</v>
      </c>
      <c r="E13" s="141">
        <v>3.2179999999999999E-3</v>
      </c>
    </row>
    <row r="14" spans="1:7" ht="14.5" customHeight="1" x14ac:dyDescent="0.35">
      <c r="B14" s="46" t="s">
        <v>223</v>
      </c>
      <c r="E14" s="141">
        <v>2.8189999999999999E-3</v>
      </c>
    </row>
    <row r="15" spans="1:7" ht="14.5" customHeight="1" x14ac:dyDescent="0.35">
      <c r="B15" s="46"/>
      <c r="E15" s="145"/>
    </row>
    <row r="16" spans="1:7" ht="14.5" customHeight="1" x14ac:dyDescent="0.35">
      <c r="B16" s="49" t="s">
        <v>121</v>
      </c>
      <c r="D16" s="50"/>
      <c r="E16" s="146">
        <f>E7+E11+E13+E14</f>
        <v>1.3810555586995783</v>
      </c>
    </row>
    <row r="17" spans="1:7" x14ac:dyDescent="0.35">
      <c r="B17" s="49"/>
      <c r="D17" s="50"/>
      <c r="E17" s="48"/>
    </row>
    <row r="18" spans="1:7" x14ac:dyDescent="0.35">
      <c r="A18" s="4" t="s">
        <v>0</v>
      </c>
      <c r="B18" s="42" t="s">
        <v>122</v>
      </c>
      <c r="C18" s="43"/>
      <c r="D18" s="43"/>
      <c r="E18" s="43"/>
    </row>
    <row r="19" spans="1:7" ht="5" customHeight="1" x14ac:dyDescent="0.35">
      <c r="B19" s="44"/>
      <c r="C19" s="45"/>
      <c r="D19" s="45"/>
      <c r="E19" s="45"/>
    </row>
    <row r="20" spans="1:7" x14ac:dyDescent="0.35">
      <c r="C20" s="51" t="s">
        <v>123</v>
      </c>
      <c r="D20" s="51" t="s">
        <v>124</v>
      </c>
      <c r="E20" s="51" t="s">
        <v>125</v>
      </c>
    </row>
    <row r="21" spans="1:7" x14ac:dyDescent="0.35">
      <c r="B21" s="52">
        <v>1</v>
      </c>
      <c r="C21" s="141">
        <v>1.4612999999999999E-2</v>
      </c>
      <c r="D21" s="53">
        <v>30.93</v>
      </c>
      <c r="E21" s="142">
        <f>IF(D21&lt;$E$6,C21)</f>
        <v>1.4612999999999999E-2</v>
      </c>
      <c r="G21" s="54"/>
    </row>
    <row r="22" spans="1:7" x14ac:dyDescent="0.35">
      <c r="B22" s="52">
        <f t="shared" ref="B22:B30" si="0">B21+1</f>
        <v>2</v>
      </c>
      <c r="C22" s="141"/>
      <c r="D22" s="53"/>
      <c r="E22" s="142">
        <f t="shared" ref="E22:E30" si="1">IF(D22&lt;$E$6,C22)</f>
        <v>0</v>
      </c>
    </row>
    <row r="23" spans="1:7" x14ac:dyDescent="0.35">
      <c r="B23" s="52">
        <f t="shared" si="0"/>
        <v>3</v>
      </c>
      <c r="C23" s="141"/>
      <c r="D23" s="53"/>
      <c r="E23" s="142">
        <f t="shared" si="1"/>
        <v>0</v>
      </c>
    </row>
    <row r="24" spans="1:7" x14ac:dyDescent="0.35">
      <c r="B24" s="52">
        <f t="shared" si="0"/>
        <v>4</v>
      </c>
      <c r="C24" s="141"/>
      <c r="D24" s="53"/>
      <c r="E24" s="142">
        <f t="shared" si="1"/>
        <v>0</v>
      </c>
    </row>
    <row r="25" spans="1:7" x14ac:dyDescent="0.35">
      <c r="B25" s="52">
        <f t="shared" si="0"/>
        <v>5</v>
      </c>
      <c r="C25" s="141"/>
      <c r="D25" s="53"/>
      <c r="E25" s="142">
        <f t="shared" si="1"/>
        <v>0</v>
      </c>
    </row>
    <row r="26" spans="1:7" x14ac:dyDescent="0.35">
      <c r="B26" s="52">
        <f t="shared" si="0"/>
        <v>6</v>
      </c>
      <c r="C26" s="141"/>
      <c r="D26" s="53"/>
      <c r="E26" s="142">
        <f t="shared" si="1"/>
        <v>0</v>
      </c>
    </row>
    <row r="27" spans="1:7" x14ac:dyDescent="0.35">
      <c r="B27" s="52">
        <f t="shared" si="0"/>
        <v>7</v>
      </c>
      <c r="C27" s="141"/>
      <c r="D27" s="53"/>
      <c r="E27" s="142">
        <f t="shared" si="1"/>
        <v>0</v>
      </c>
    </row>
    <row r="28" spans="1:7" x14ac:dyDescent="0.35">
      <c r="B28" s="52">
        <f t="shared" si="0"/>
        <v>8</v>
      </c>
      <c r="C28" s="141"/>
      <c r="D28" s="53"/>
      <c r="E28" s="142">
        <f t="shared" si="1"/>
        <v>0</v>
      </c>
    </row>
    <row r="29" spans="1:7" x14ac:dyDescent="0.35">
      <c r="B29" s="52">
        <f t="shared" si="0"/>
        <v>9</v>
      </c>
      <c r="C29" s="141"/>
      <c r="D29" s="53"/>
      <c r="E29" s="142">
        <f t="shared" si="1"/>
        <v>0</v>
      </c>
    </row>
    <row r="30" spans="1:7" x14ac:dyDescent="0.35">
      <c r="B30" s="52">
        <f t="shared" si="0"/>
        <v>10</v>
      </c>
      <c r="C30" s="141"/>
      <c r="D30" s="53"/>
      <c r="E30" s="142">
        <f t="shared" si="1"/>
        <v>0</v>
      </c>
    </row>
    <row r="31" spans="1:7" ht="5" customHeight="1" x14ac:dyDescent="0.35">
      <c r="B31" s="55"/>
      <c r="C31" s="56"/>
      <c r="D31" s="56"/>
      <c r="E31" s="57"/>
    </row>
    <row r="32" spans="1:7" x14ac:dyDescent="0.35">
      <c r="A32" s="4" t="s">
        <v>0</v>
      </c>
      <c r="B32" s="58" t="s">
        <v>126</v>
      </c>
      <c r="C32" s="59"/>
      <c r="D32" s="59"/>
      <c r="E32" s="147">
        <f>SUM(E21:E30)</f>
        <v>1.4612999999999999E-2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02F9-5DD3-44E7-8319-D66953D57808}">
  <sheetPr>
    <outlinePr summaryBelow="0" summaryRight="0"/>
  </sheetPr>
  <dimension ref="A1:L52"/>
  <sheetViews>
    <sheetView topLeftCell="A4" workbookViewId="0">
      <selection activeCell="B13" sqref="B13"/>
    </sheetView>
  </sheetViews>
  <sheetFormatPr defaultColWidth="9.1796875" defaultRowHeight="15" customHeight="1" outlineLevelRow="3" x14ac:dyDescent="0.25"/>
  <cols>
    <col min="1" max="1" width="50.36328125" style="7" customWidth="1"/>
    <col min="2" max="12" width="8.453125" style="7" customWidth="1"/>
    <col min="13" max="16384" width="9.1796875" style="7"/>
  </cols>
  <sheetData>
    <row r="1" spans="1:12" ht="15" customHeight="1" x14ac:dyDescent="0.3">
      <c r="A1" s="36" t="s">
        <v>57</v>
      </c>
    </row>
    <row r="2" spans="1:12" ht="15" customHeight="1" x14ac:dyDescent="0.25">
      <c r="A2" s="35" t="s">
        <v>56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3">
      <c r="A5" s="33" t="s">
        <v>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 t="s">
        <v>53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3">
      <c r="A8" s="33"/>
      <c r="B8" s="33" t="s">
        <v>52</v>
      </c>
      <c r="C8" s="33" t="s">
        <v>51</v>
      </c>
      <c r="D8" s="33" t="s">
        <v>50</v>
      </c>
      <c r="E8" s="33" t="s">
        <v>49</v>
      </c>
      <c r="F8" s="33" t="s">
        <v>48</v>
      </c>
      <c r="G8" s="33" t="s">
        <v>47</v>
      </c>
      <c r="H8" s="33" t="s">
        <v>46</v>
      </c>
      <c r="I8" s="33" t="s">
        <v>45</v>
      </c>
      <c r="J8" s="33" t="s">
        <v>44</v>
      </c>
      <c r="K8" s="33" t="s">
        <v>43</v>
      </c>
      <c r="L8" s="33" t="s">
        <v>42</v>
      </c>
    </row>
    <row r="9" spans="1:12" ht="1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41</v>
      </c>
    </row>
    <row r="10" spans="1:12" ht="15" customHeight="1" x14ac:dyDescent="0.3">
      <c r="A10" s="15" t="s">
        <v>40</v>
      </c>
      <c r="B10" s="28">
        <v>4108.2690000000002</v>
      </c>
      <c r="C10" s="28">
        <v>4501.223</v>
      </c>
      <c r="D10" s="28">
        <v>3904.384</v>
      </c>
      <c r="E10" s="28">
        <v>4476.4120000000003</v>
      </c>
      <c r="F10" s="28">
        <v>4864.9849999999997</v>
      </c>
      <c r="G10" s="28">
        <v>5586.3689999999997</v>
      </c>
      <c r="H10" s="28">
        <v>5984.634</v>
      </c>
      <c r="I10" s="28">
        <v>7547.0609999999997</v>
      </c>
      <c r="J10" s="28">
        <v>8634.652</v>
      </c>
      <c r="K10" s="28">
        <v>9871.6489999999994</v>
      </c>
      <c r="L10" s="28">
        <v>10663.233</v>
      </c>
    </row>
    <row r="11" spans="1:12" ht="15" customHeight="1" outlineLevel="1" x14ac:dyDescent="0.3">
      <c r="A11" s="14" t="s">
        <v>39</v>
      </c>
      <c r="B11" s="13">
        <v>3100.9870000000001</v>
      </c>
      <c r="C11" s="13">
        <v>3457.3040000000001</v>
      </c>
      <c r="D11" s="13">
        <v>3552.538</v>
      </c>
      <c r="E11" s="13">
        <v>3883.5439999999999</v>
      </c>
      <c r="F11" s="13">
        <v>4155.9719999999998</v>
      </c>
      <c r="G11" s="13">
        <v>4656.6570000000002</v>
      </c>
      <c r="H11" s="13">
        <v>5182.0870000000004</v>
      </c>
      <c r="I11" s="13">
        <v>6094.7089999999998</v>
      </c>
      <c r="J11" s="13">
        <v>6859.3590000000004</v>
      </c>
      <c r="K11" s="13">
        <v>7604.951</v>
      </c>
      <c r="L11" s="13">
        <v>8104.6790000000001</v>
      </c>
    </row>
    <row r="12" spans="1:12" ht="15" customHeight="1" outlineLevel="2" x14ac:dyDescent="0.25">
      <c r="A12" s="12" t="s">
        <v>38</v>
      </c>
      <c r="B12" s="11">
        <v>2990.5129999999999</v>
      </c>
      <c r="C12" s="11">
        <v>3326.9360000000001</v>
      </c>
      <c r="D12" s="11">
        <v>3406.17</v>
      </c>
      <c r="E12" s="11">
        <v>3720.1959999999999</v>
      </c>
      <c r="F12" s="11">
        <v>3953.9929999999999</v>
      </c>
      <c r="G12" s="11">
        <v>4279.9269999999997</v>
      </c>
      <c r="H12" s="11">
        <v>4759.0150000000003</v>
      </c>
      <c r="I12" s="11">
        <v>5840.0519999999997</v>
      </c>
      <c r="J12" s="11">
        <v>6572.5330000000004</v>
      </c>
      <c r="K12" s="11">
        <v>7285.5569999999998</v>
      </c>
      <c r="L12" s="11">
        <v>7773.8360000000002</v>
      </c>
    </row>
    <row r="13" spans="1:12" ht="15" customHeight="1" outlineLevel="2" x14ac:dyDescent="0.3">
      <c r="A13" s="32" t="s">
        <v>2</v>
      </c>
      <c r="B13" s="13">
        <v>110.474</v>
      </c>
      <c r="C13" s="13">
        <v>130.36799999999999</v>
      </c>
      <c r="D13" s="13">
        <v>146.36799999999999</v>
      </c>
      <c r="E13" s="13">
        <v>163.34800000000001</v>
      </c>
      <c r="F13" s="13">
        <v>201.97900000000001</v>
      </c>
      <c r="G13" s="13">
        <v>376.73</v>
      </c>
      <c r="H13" s="13">
        <v>423.072</v>
      </c>
      <c r="I13" s="13">
        <v>254.65700000000001</v>
      </c>
      <c r="J13" s="13">
        <v>286.82600000000002</v>
      </c>
      <c r="K13" s="13">
        <v>319.39400000000001</v>
      </c>
      <c r="L13" s="13">
        <v>330.84300000000002</v>
      </c>
    </row>
    <row r="14" spans="1:12" ht="15" customHeight="1" outlineLevel="3" x14ac:dyDescent="0.25">
      <c r="A14" s="31" t="s">
        <v>37</v>
      </c>
      <c r="B14" s="11">
        <v>110.474</v>
      </c>
      <c r="C14" s="11">
        <v>130.36799999999999</v>
      </c>
      <c r="D14" s="11">
        <v>146.36799999999999</v>
      </c>
      <c r="E14" s="11">
        <v>163.34800000000001</v>
      </c>
      <c r="F14" s="11">
        <v>201.97900000000001</v>
      </c>
      <c r="G14" s="11">
        <v>376.73</v>
      </c>
      <c r="H14" s="11">
        <v>423.072</v>
      </c>
      <c r="I14" s="11">
        <v>254.65700000000001</v>
      </c>
      <c r="J14" s="11">
        <v>286.82600000000002</v>
      </c>
      <c r="K14" s="11">
        <v>319.39400000000001</v>
      </c>
      <c r="L14" s="11">
        <v>330.84300000000002</v>
      </c>
    </row>
    <row r="15" spans="1:12" ht="15" customHeight="1" x14ac:dyDescent="0.3">
      <c r="A15" s="24" t="s">
        <v>36</v>
      </c>
      <c r="B15" s="13">
        <v>1007.282</v>
      </c>
      <c r="C15" s="13">
        <v>1043.9190000000001</v>
      </c>
      <c r="D15" s="13">
        <v>351.846</v>
      </c>
      <c r="E15" s="13">
        <v>592.86800000000005</v>
      </c>
      <c r="F15" s="13">
        <v>709.01300000000003</v>
      </c>
      <c r="G15" s="13">
        <v>929.71199999999999</v>
      </c>
      <c r="H15" s="13">
        <v>802.54700000000003</v>
      </c>
      <c r="I15" s="13">
        <v>1452.3520000000001</v>
      </c>
      <c r="J15" s="13">
        <v>1775.2929999999999</v>
      </c>
      <c r="K15" s="13">
        <v>2266.6979999999999</v>
      </c>
      <c r="L15" s="13">
        <v>2558.5540000000001</v>
      </c>
    </row>
    <row r="16" spans="1:12" ht="15" customHeight="1" outlineLevel="1" x14ac:dyDescent="0.3">
      <c r="A16" s="21" t="s">
        <v>35</v>
      </c>
      <c r="B16" s="28">
        <v>289.69</v>
      </c>
      <c r="C16" s="28">
        <v>266.565</v>
      </c>
      <c r="D16" s="28">
        <v>293.988</v>
      </c>
      <c r="E16" s="28">
        <v>280.24900000000002</v>
      </c>
      <c r="F16" s="28">
        <v>319.11900000000003</v>
      </c>
      <c r="G16" s="28">
        <v>442.48</v>
      </c>
      <c r="H16" s="28">
        <v>428.00200000000001</v>
      </c>
      <c r="I16" s="28">
        <v>586.25400000000002</v>
      </c>
      <c r="J16" s="28">
        <v>552.64400000000001</v>
      </c>
      <c r="K16" s="28">
        <v>638.34900000000005</v>
      </c>
      <c r="L16" s="28">
        <v>709.19799999999998</v>
      </c>
    </row>
    <row r="17" spans="1:12" ht="15" customHeight="1" outlineLevel="2" x14ac:dyDescent="0.25">
      <c r="A17" s="10" t="s">
        <v>34</v>
      </c>
      <c r="B17" s="9">
        <v>289.69</v>
      </c>
      <c r="C17" s="9">
        <v>266.565</v>
      </c>
      <c r="D17" s="9">
        <v>293.988</v>
      </c>
      <c r="E17" s="9">
        <v>280.24900000000002</v>
      </c>
      <c r="F17" s="9">
        <v>319.11900000000003</v>
      </c>
      <c r="G17" s="9">
        <v>442.48</v>
      </c>
      <c r="H17" s="9">
        <v>428.00200000000001</v>
      </c>
      <c r="I17" s="9">
        <v>586.25400000000002</v>
      </c>
      <c r="J17" s="9">
        <v>552.64400000000001</v>
      </c>
      <c r="K17" s="9">
        <v>638.34900000000005</v>
      </c>
      <c r="L17" s="9">
        <v>709.19799999999998</v>
      </c>
    </row>
    <row r="18" spans="1:12" ht="15" customHeight="1" x14ac:dyDescent="0.3">
      <c r="A18" s="15" t="s">
        <v>33</v>
      </c>
      <c r="B18" s="28">
        <v>717.59199999999998</v>
      </c>
      <c r="C18" s="28">
        <v>777.35400000000004</v>
      </c>
      <c r="D18" s="28">
        <v>57.857999999999997</v>
      </c>
      <c r="E18" s="28">
        <v>312.61900000000003</v>
      </c>
      <c r="F18" s="28">
        <v>389.89400000000001</v>
      </c>
      <c r="G18" s="28">
        <v>487.23200000000003</v>
      </c>
      <c r="H18" s="28">
        <v>374.54500000000002</v>
      </c>
      <c r="I18" s="28">
        <v>866.09799999999996</v>
      </c>
      <c r="J18" s="28">
        <v>1222.6489999999999</v>
      </c>
      <c r="K18" s="28">
        <v>1628.3489999999999</v>
      </c>
      <c r="L18" s="28">
        <v>1849.356</v>
      </c>
    </row>
    <row r="19" spans="1:12" ht="15" customHeight="1" outlineLevel="1" x14ac:dyDescent="0.3">
      <c r="A19" s="14" t="s">
        <v>32</v>
      </c>
      <c r="B19" s="13">
        <v>-3.4729999999999999</v>
      </c>
      <c r="C19" s="13">
        <v>3.0000000000000001E-3</v>
      </c>
      <c r="D19" s="13">
        <v>-2.3109999999999999</v>
      </c>
      <c r="E19" s="13">
        <v>-5.1050000000000004</v>
      </c>
      <c r="F19" s="13">
        <v>-65.117000000000004</v>
      </c>
      <c r="G19" s="13">
        <v>-14.771000000000001</v>
      </c>
      <c r="H19" s="13">
        <v>-38.887</v>
      </c>
      <c r="I19" s="13">
        <v>-27.805</v>
      </c>
      <c r="J19" s="13">
        <v>-24.126999999999999</v>
      </c>
      <c r="K19" s="13">
        <v>-7.843</v>
      </c>
      <c r="L19" s="13">
        <v>14.112</v>
      </c>
    </row>
    <row r="20" spans="1:12" ht="15" customHeight="1" outlineLevel="2" x14ac:dyDescent="0.25">
      <c r="A20" s="12" t="s">
        <v>31</v>
      </c>
      <c r="B20" s="11">
        <v>3.5030000000000001</v>
      </c>
      <c r="C20" s="11">
        <v>6.5220000000000002</v>
      </c>
      <c r="D20" s="11">
        <v>3.625</v>
      </c>
      <c r="E20" s="11">
        <v>4.9489999999999998</v>
      </c>
      <c r="F20" s="11">
        <v>10.068</v>
      </c>
      <c r="G20" s="11">
        <v>14.327</v>
      </c>
      <c r="H20" s="11">
        <v>3.617</v>
      </c>
      <c r="I20" s="11">
        <v>0</v>
      </c>
      <c r="J20" s="11">
        <v>0</v>
      </c>
      <c r="K20" s="11">
        <v>0</v>
      </c>
      <c r="L20" s="11">
        <v>0</v>
      </c>
    </row>
    <row r="21" spans="1:12" ht="15" customHeight="1" outlineLevel="2" x14ac:dyDescent="0.25">
      <c r="A21" s="10" t="s">
        <v>30</v>
      </c>
      <c r="B21" s="26">
        <v>-6.976</v>
      </c>
      <c r="C21" s="26">
        <v>-6.5190000000000001</v>
      </c>
      <c r="D21" s="26">
        <v>-5.9359999999999999</v>
      </c>
      <c r="E21" s="26">
        <v>-10.054</v>
      </c>
      <c r="F21" s="26">
        <v>-75.185000000000002</v>
      </c>
      <c r="G21" s="26">
        <v>-29.097999999999999</v>
      </c>
      <c r="H21" s="26">
        <v>-42.503999999999998</v>
      </c>
      <c r="I21" s="26">
        <v>-27.805</v>
      </c>
      <c r="J21" s="26">
        <v>-24.126999999999999</v>
      </c>
      <c r="K21" s="26">
        <v>-7.843</v>
      </c>
      <c r="L21" s="9">
        <v>14.112</v>
      </c>
    </row>
    <row r="22" spans="1:12" ht="15" customHeight="1" outlineLevel="1" x14ac:dyDescent="0.3">
      <c r="A22" s="21" t="s">
        <v>29</v>
      </c>
      <c r="B22" s="28">
        <v>-0.184</v>
      </c>
      <c r="C22" s="28">
        <v>7.49</v>
      </c>
      <c r="D22" s="28">
        <v>16.808</v>
      </c>
      <c r="E22" s="28">
        <v>31.771000000000001</v>
      </c>
      <c r="F22" s="28">
        <v>56.341000000000001</v>
      </c>
      <c r="G22" s="28">
        <v>14.176</v>
      </c>
      <c r="H22" s="28">
        <v>41.877000000000002</v>
      </c>
      <c r="I22" s="28">
        <v>25.53</v>
      </c>
      <c r="J22" s="28">
        <v>16.991</v>
      </c>
      <c r="K22" s="28">
        <v>0</v>
      </c>
      <c r="L22" s="28">
        <v>-0.79700000000000004</v>
      </c>
    </row>
    <row r="23" spans="1:12" ht="15" customHeight="1" outlineLevel="2" x14ac:dyDescent="0.3">
      <c r="A23" s="32" t="s">
        <v>28</v>
      </c>
      <c r="B23" s="13">
        <v>0</v>
      </c>
      <c r="C23" s="13">
        <v>6.9189999999999996</v>
      </c>
      <c r="D23" s="13">
        <v>17.393999999999998</v>
      </c>
      <c r="E23" s="13">
        <v>3.2909999999999999</v>
      </c>
      <c r="F23" s="24"/>
      <c r="G23" s="24"/>
      <c r="H23" s="24"/>
      <c r="I23" s="24"/>
      <c r="J23" s="24"/>
      <c r="K23" s="24"/>
      <c r="L23" s="24"/>
    </row>
    <row r="24" spans="1:12" ht="15" customHeight="1" outlineLevel="3" x14ac:dyDescent="0.25">
      <c r="A24" s="31" t="s">
        <v>27</v>
      </c>
      <c r="B24" s="11">
        <v>0</v>
      </c>
      <c r="C24" s="11">
        <v>6.6749999999999998</v>
      </c>
      <c r="D24" s="11">
        <v>17.393999999999998</v>
      </c>
      <c r="E24" s="11">
        <v>3.2909999999999999</v>
      </c>
      <c r="F24" s="25"/>
      <c r="G24" s="25"/>
      <c r="H24" s="25"/>
      <c r="I24" s="25"/>
      <c r="J24" s="25"/>
      <c r="K24" s="25"/>
      <c r="L24" s="25"/>
    </row>
    <row r="25" spans="1:12" ht="15" customHeight="1" outlineLevel="3" x14ac:dyDescent="0.25">
      <c r="A25" s="29" t="s">
        <v>26</v>
      </c>
      <c r="B25" s="16"/>
      <c r="C25" s="9">
        <v>0.24399999999999999</v>
      </c>
      <c r="D25" s="9">
        <v>0</v>
      </c>
      <c r="E25" s="9">
        <v>0</v>
      </c>
      <c r="F25" s="16"/>
      <c r="G25" s="16"/>
      <c r="H25" s="16"/>
      <c r="I25" s="16"/>
      <c r="J25" s="16"/>
      <c r="K25" s="16"/>
      <c r="L25" s="16"/>
    </row>
    <row r="26" spans="1:12" ht="15" customHeight="1" outlineLevel="2" x14ac:dyDescent="0.25">
      <c r="A26" s="12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27.052</v>
      </c>
      <c r="G26" s="11">
        <v>14.176</v>
      </c>
      <c r="H26" s="11">
        <v>6.399</v>
      </c>
      <c r="I26" s="11">
        <v>5.4130000000000003</v>
      </c>
      <c r="J26" s="11">
        <v>7.4749999999999996</v>
      </c>
      <c r="K26" s="11">
        <v>0</v>
      </c>
      <c r="L26" s="11">
        <v>0</v>
      </c>
    </row>
    <row r="27" spans="1:12" ht="15" customHeight="1" outlineLevel="2" x14ac:dyDescent="0.25">
      <c r="A27" s="10" t="s">
        <v>24</v>
      </c>
      <c r="B27" s="16"/>
      <c r="C27" s="16"/>
      <c r="D27" s="16"/>
      <c r="E27" s="9">
        <v>30</v>
      </c>
      <c r="F27" s="9">
        <v>29.289000000000001</v>
      </c>
      <c r="G27" s="16"/>
      <c r="H27" s="9">
        <v>35.478000000000002</v>
      </c>
      <c r="I27" s="9">
        <v>20.117000000000001</v>
      </c>
      <c r="J27" s="9">
        <v>9.516</v>
      </c>
      <c r="K27" s="16"/>
      <c r="L27" s="16"/>
    </row>
    <row r="28" spans="1:12" ht="15" customHeight="1" outlineLevel="2" x14ac:dyDescent="0.3">
      <c r="A28" s="30" t="s">
        <v>23</v>
      </c>
      <c r="B28" s="28">
        <v>0.184</v>
      </c>
      <c r="C28" s="28">
        <v>-0.57099999999999995</v>
      </c>
      <c r="D28" s="28">
        <v>0.58599999999999997</v>
      </c>
      <c r="E28" s="28">
        <v>1.52</v>
      </c>
      <c r="F28" s="15"/>
      <c r="G28" s="15"/>
      <c r="H28" s="15"/>
      <c r="I28" s="15"/>
      <c r="J28" s="15"/>
      <c r="K28" s="15"/>
      <c r="L28" s="15"/>
    </row>
    <row r="29" spans="1:12" ht="15" customHeight="1" outlineLevel="3" x14ac:dyDescent="0.25">
      <c r="A29" s="29" t="s">
        <v>22</v>
      </c>
      <c r="B29" s="9">
        <v>0.184</v>
      </c>
      <c r="C29" s="26">
        <v>-0.57099999999999995</v>
      </c>
      <c r="D29" s="9">
        <v>0.58599999999999997</v>
      </c>
      <c r="E29" s="9">
        <v>1.52</v>
      </c>
      <c r="F29" s="16"/>
      <c r="G29" s="16"/>
      <c r="H29" s="16"/>
      <c r="I29" s="16"/>
      <c r="J29" s="16"/>
      <c r="K29" s="16"/>
      <c r="L29" s="16"/>
    </row>
    <row r="30" spans="1:12" ht="15" customHeight="1" x14ac:dyDescent="0.3">
      <c r="A30" s="15" t="s">
        <v>21</v>
      </c>
      <c r="B30" s="28">
        <v>714.303</v>
      </c>
      <c r="C30" s="28">
        <v>769.86699999999996</v>
      </c>
      <c r="D30" s="28">
        <v>38.738999999999997</v>
      </c>
      <c r="E30" s="28">
        <v>275.74299999999999</v>
      </c>
      <c r="F30" s="28">
        <v>268.43599999999998</v>
      </c>
      <c r="G30" s="28">
        <v>458.28500000000003</v>
      </c>
      <c r="H30" s="28">
        <v>293.78100000000001</v>
      </c>
      <c r="I30" s="28">
        <v>812.76300000000003</v>
      </c>
      <c r="J30" s="28">
        <v>1181.5309999999999</v>
      </c>
      <c r="K30" s="28">
        <v>1620.5060000000001</v>
      </c>
      <c r="L30" s="28">
        <v>1864.2650000000001</v>
      </c>
    </row>
    <row r="31" spans="1:12" ht="15" customHeight="1" outlineLevel="1" x14ac:dyDescent="0.3">
      <c r="A31" s="14" t="s">
        <v>20</v>
      </c>
      <c r="B31" s="13">
        <v>268.92899999999997</v>
      </c>
      <c r="C31" s="13">
        <v>294.26499999999999</v>
      </c>
      <c r="D31" s="13">
        <v>15.801</v>
      </c>
      <c r="E31" s="13">
        <v>99.49</v>
      </c>
      <c r="F31" s="13">
        <v>91.882999999999996</v>
      </c>
      <c r="G31" s="13">
        <v>108.127</v>
      </c>
      <c r="H31" s="13">
        <v>-61.984999999999999</v>
      </c>
      <c r="I31" s="13">
        <v>159.779</v>
      </c>
      <c r="J31" s="13">
        <v>282.43</v>
      </c>
      <c r="K31" s="13">
        <v>391.76900000000001</v>
      </c>
      <c r="L31" s="13">
        <v>454.00400000000002</v>
      </c>
    </row>
    <row r="32" spans="1:12" ht="15" customHeight="1" outlineLevel="2" x14ac:dyDescent="0.25">
      <c r="A32" s="12" t="s">
        <v>19</v>
      </c>
      <c r="B32" s="11">
        <v>292.47800000000001</v>
      </c>
      <c r="C32" s="11">
        <v>284.68200000000002</v>
      </c>
      <c r="D32" s="11">
        <v>31.856999999999999</v>
      </c>
      <c r="E32" s="11">
        <v>117.077</v>
      </c>
      <c r="F32" s="11">
        <v>82.486999999999995</v>
      </c>
      <c r="G32" s="11">
        <v>80.194999999999993</v>
      </c>
      <c r="H32" s="27">
        <v>-164.43</v>
      </c>
      <c r="I32" s="11">
        <v>179.27</v>
      </c>
      <c r="J32" s="11">
        <v>321.72699999999998</v>
      </c>
      <c r="K32" s="11">
        <v>407.73700000000002</v>
      </c>
      <c r="L32" s="25"/>
    </row>
    <row r="33" spans="1:12" ht="15" customHeight="1" outlineLevel="2" x14ac:dyDescent="0.25">
      <c r="A33" s="10" t="s">
        <v>18</v>
      </c>
      <c r="B33" s="9">
        <v>0.156</v>
      </c>
      <c r="C33" s="9">
        <v>0.17199999999999999</v>
      </c>
      <c r="D33" s="9">
        <v>0.55600000000000005</v>
      </c>
      <c r="E33" s="9">
        <v>0.66900000000000004</v>
      </c>
      <c r="F33" s="9">
        <v>0.63700000000000001</v>
      </c>
      <c r="G33" s="9">
        <v>0.64600000000000002</v>
      </c>
      <c r="H33" s="9">
        <v>1.044</v>
      </c>
      <c r="I33" s="9">
        <v>0.33800000000000002</v>
      </c>
      <c r="J33" s="9">
        <v>0.374</v>
      </c>
      <c r="K33" s="9">
        <v>1.1619999999999999</v>
      </c>
      <c r="L33" s="16"/>
    </row>
    <row r="34" spans="1:12" ht="15" customHeight="1" outlineLevel="2" x14ac:dyDescent="0.25">
      <c r="A34" s="12" t="s">
        <v>17</v>
      </c>
      <c r="B34" s="27">
        <v>-20.63</v>
      </c>
      <c r="C34" s="11">
        <v>11.699</v>
      </c>
      <c r="D34" s="27">
        <v>-14.141999999999999</v>
      </c>
      <c r="E34" s="27">
        <v>-17.760000000000002</v>
      </c>
      <c r="F34" s="11">
        <v>11.02</v>
      </c>
      <c r="G34" s="11">
        <v>29.971</v>
      </c>
      <c r="H34" s="11">
        <v>108.559</v>
      </c>
      <c r="I34" s="27">
        <v>-12.6</v>
      </c>
      <c r="J34" s="27">
        <v>-43.442</v>
      </c>
      <c r="K34" s="27">
        <v>-9.5239999999999991</v>
      </c>
      <c r="L34" s="25"/>
    </row>
    <row r="35" spans="1:12" ht="15" customHeight="1" outlineLevel="2" x14ac:dyDescent="0.25">
      <c r="A35" s="10" t="s">
        <v>16</v>
      </c>
      <c r="B35" s="26">
        <v>-3.0750000000000002</v>
      </c>
      <c r="C35" s="26">
        <v>-2.2879999999999998</v>
      </c>
      <c r="D35" s="26">
        <v>-2.4700000000000002</v>
      </c>
      <c r="E35" s="26">
        <v>-0.496</v>
      </c>
      <c r="F35" s="26">
        <v>-2.2610000000000001</v>
      </c>
      <c r="G35" s="26">
        <v>-2.6850000000000001</v>
      </c>
      <c r="H35" s="26">
        <v>-7.1580000000000004</v>
      </c>
      <c r="I35" s="26">
        <v>-7.2290000000000001</v>
      </c>
      <c r="J35" s="9">
        <v>3.7709999999999999</v>
      </c>
      <c r="K35" s="26">
        <v>-7.6059999999999999</v>
      </c>
      <c r="L35" s="16"/>
    </row>
    <row r="36" spans="1:12" ht="15" customHeight="1" x14ac:dyDescent="0.25">
      <c r="A36" s="25" t="s">
        <v>15</v>
      </c>
      <c r="B36" s="11">
        <v>445.37400000000002</v>
      </c>
      <c r="C36" s="11">
        <v>475.60199999999998</v>
      </c>
      <c r="D36" s="11">
        <v>22.937999999999999</v>
      </c>
      <c r="E36" s="11">
        <v>176.25299999999999</v>
      </c>
      <c r="F36" s="11">
        <v>176.553</v>
      </c>
      <c r="G36" s="11">
        <v>350.15800000000002</v>
      </c>
      <c r="H36" s="11">
        <v>355.76600000000002</v>
      </c>
      <c r="I36" s="11">
        <v>652.98400000000004</v>
      </c>
      <c r="J36" s="11">
        <v>899.101</v>
      </c>
      <c r="K36" s="11">
        <v>1228.7370000000001</v>
      </c>
      <c r="L36" s="11">
        <v>1410.261</v>
      </c>
    </row>
    <row r="37" spans="1:12" ht="15" customHeight="1" x14ac:dyDescent="0.3">
      <c r="A37" s="24" t="s">
        <v>14</v>
      </c>
      <c r="B37" s="13">
        <v>445.37400000000002</v>
      </c>
      <c r="C37" s="13">
        <v>475.60199999999998</v>
      </c>
      <c r="D37" s="13">
        <v>22.937999999999999</v>
      </c>
      <c r="E37" s="13">
        <v>176.25299999999999</v>
      </c>
      <c r="F37" s="13">
        <v>176.553</v>
      </c>
      <c r="G37" s="13">
        <v>350.15800000000002</v>
      </c>
      <c r="H37" s="13">
        <v>355.76600000000002</v>
      </c>
      <c r="I37" s="13">
        <v>652.98400000000004</v>
      </c>
      <c r="J37" s="13">
        <v>899.101</v>
      </c>
      <c r="K37" s="13">
        <v>1228.7370000000001</v>
      </c>
      <c r="L37" s="13">
        <v>1410.261</v>
      </c>
    </row>
    <row r="38" spans="1:12" ht="15" customHeight="1" outlineLevel="1" x14ac:dyDescent="0.25">
      <c r="A38" s="23" t="s">
        <v>13</v>
      </c>
      <c r="B38" s="11">
        <v>445.37400000000002</v>
      </c>
      <c r="C38" s="11">
        <v>475.60199999999998</v>
      </c>
      <c r="D38" s="11">
        <v>22.937999999999999</v>
      </c>
      <c r="E38" s="11">
        <v>176.25299999999999</v>
      </c>
      <c r="F38" s="11">
        <v>176.553</v>
      </c>
      <c r="G38" s="11">
        <v>350.15800000000002</v>
      </c>
      <c r="H38" s="11">
        <v>355.76600000000002</v>
      </c>
      <c r="I38" s="11">
        <v>652.98400000000004</v>
      </c>
      <c r="J38" s="11">
        <v>899.101</v>
      </c>
      <c r="K38" s="11">
        <v>1228.7370000000001</v>
      </c>
      <c r="L38" s="11">
        <v>1410.261</v>
      </c>
    </row>
    <row r="39" spans="1:12" ht="15" customHeight="1" x14ac:dyDescent="0.3">
      <c r="A39" s="24" t="s">
        <v>12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" customHeight="1" outlineLevel="1" x14ac:dyDescent="0.25">
      <c r="A40" s="23" t="s">
        <v>11</v>
      </c>
      <c r="B40" s="19">
        <v>0.28258800000000001</v>
      </c>
      <c r="C40" s="19">
        <v>0.30535699999999999</v>
      </c>
      <c r="D40" s="19">
        <v>2.3314000000000001E-2</v>
      </c>
      <c r="E40" s="19">
        <v>0.13899600000000001</v>
      </c>
      <c r="F40" s="19">
        <v>0.15448899999999999</v>
      </c>
      <c r="G40" s="19">
        <v>0.254519</v>
      </c>
      <c r="H40" s="19">
        <v>0.27102999999999999</v>
      </c>
      <c r="I40" s="19">
        <v>0.47059400000000001</v>
      </c>
      <c r="J40" s="19">
        <v>0.64927299999999999</v>
      </c>
      <c r="K40" s="19">
        <v>0.88685499999999995</v>
      </c>
      <c r="L40" s="19">
        <v>1.020402</v>
      </c>
    </row>
    <row r="41" spans="1:12" ht="15" customHeight="1" outlineLevel="1" x14ac:dyDescent="0.3">
      <c r="A41" s="14" t="s">
        <v>10</v>
      </c>
      <c r="B41" s="22">
        <v>0.28699999999999998</v>
      </c>
      <c r="C41" s="22">
        <v>0.30599999999999999</v>
      </c>
      <c r="D41" s="22">
        <v>1.5599999999999999E-2</v>
      </c>
      <c r="E41" s="22">
        <v>0.12379999999999999</v>
      </c>
      <c r="F41" s="22">
        <v>0.127</v>
      </c>
      <c r="G41" s="22">
        <v>0.2525</v>
      </c>
      <c r="H41" s="22">
        <v>0.25490000000000002</v>
      </c>
      <c r="I41" s="22">
        <v>0.4642</v>
      </c>
      <c r="J41" s="22">
        <v>0.64559999999999995</v>
      </c>
      <c r="K41" s="22">
        <v>0.89180000000000004</v>
      </c>
      <c r="L41" s="22">
        <v>1.0266999999999999</v>
      </c>
    </row>
    <row r="42" spans="1:12" ht="15" customHeight="1" outlineLevel="2" x14ac:dyDescent="0.25">
      <c r="A42" s="12" t="s">
        <v>9</v>
      </c>
      <c r="B42" s="19">
        <v>1551.9</v>
      </c>
      <c r="C42" s="19">
        <v>1554.6</v>
      </c>
      <c r="D42" s="19">
        <v>1463.25</v>
      </c>
      <c r="E42" s="19">
        <v>1424.55</v>
      </c>
      <c r="F42" s="19">
        <v>1391.15</v>
      </c>
      <c r="G42" s="19">
        <v>1387</v>
      </c>
      <c r="H42" s="19">
        <v>1395.85</v>
      </c>
      <c r="I42" s="19">
        <v>1406.6</v>
      </c>
      <c r="J42" s="19">
        <v>1392.55</v>
      </c>
      <c r="K42" s="19">
        <v>1377.75</v>
      </c>
      <c r="L42" s="19">
        <v>1372.8</v>
      </c>
    </row>
    <row r="43" spans="1:12" ht="15" customHeight="1" outlineLevel="2" x14ac:dyDescent="0.25">
      <c r="A43" s="10" t="s">
        <v>6</v>
      </c>
      <c r="B43" s="17">
        <v>1551.35</v>
      </c>
      <c r="C43" s="17">
        <v>1529.2</v>
      </c>
      <c r="D43" s="17">
        <v>1440.7</v>
      </c>
      <c r="E43" s="17">
        <v>1401.3</v>
      </c>
      <c r="F43" s="17">
        <v>1384.85</v>
      </c>
      <c r="G43" s="17">
        <v>1387.75</v>
      </c>
      <c r="H43" s="17">
        <v>1400.05</v>
      </c>
      <c r="I43" s="17">
        <v>1404</v>
      </c>
      <c r="J43" s="17">
        <v>1381.35</v>
      </c>
      <c r="K43" s="17">
        <v>1371.3</v>
      </c>
      <c r="L43" s="17">
        <v>1371.3720000000001</v>
      </c>
    </row>
    <row r="44" spans="1:12" ht="15" customHeight="1" outlineLevel="1" x14ac:dyDescent="0.3">
      <c r="A44" s="21" t="s">
        <v>8</v>
      </c>
      <c r="B44" s="20">
        <v>0.28260000000000002</v>
      </c>
      <c r="C44" s="20">
        <v>0.30199999999999999</v>
      </c>
      <c r="D44" s="20">
        <v>1.54E-2</v>
      </c>
      <c r="E44" s="20">
        <v>0.1234</v>
      </c>
      <c r="F44" s="20">
        <v>0.12620000000000001</v>
      </c>
      <c r="G44" s="20">
        <v>0.2475</v>
      </c>
      <c r="H44" s="20">
        <v>0.25040000000000001</v>
      </c>
      <c r="I44" s="20">
        <v>0.45810000000000001</v>
      </c>
      <c r="J44" s="20">
        <v>0.64080000000000004</v>
      </c>
      <c r="K44" s="20">
        <v>0.88680000000000003</v>
      </c>
      <c r="L44" s="20">
        <v>1.0205</v>
      </c>
    </row>
    <row r="45" spans="1:12" ht="15" customHeight="1" outlineLevel="2" x14ac:dyDescent="0.25">
      <c r="A45" s="10" t="s">
        <v>7</v>
      </c>
      <c r="B45" s="17">
        <v>1575.6</v>
      </c>
      <c r="C45" s="17">
        <v>1574.7</v>
      </c>
      <c r="D45" s="17">
        <v>1488.5</v>
      </c>
      <c r="E45" s="17">
        <v>1428.05</v>
      </c>
      <c r="F45" s="17">
        <v>1398.1</v>
      </c>
      <c r="G45" s="17">
        <v>1414.75</v>
      </c>
      <c r="H45" s="17">
        <v>1420.8</v>
      </c>
      <c r="I45" s="17">
        <v>1425.55</v>
      </c>
      <c r="J45" s="17">
        <v>1403.1</v>
      </c>
      <c r="K45" s="17">
        <v>1385.5</v>
      </c>
      <c r="L45" s="17">
        <v>1381.518</v>
      </c>
    </row>
    <row r="46" spans="1:12" ht="15" customHeight="1" outlineLevel="2" x14ac:dyDescent="0.25">
      <c r="A46" s="12" t="s">
        <v>6</v>
      </c>
      <c r="B46" s="19">
        <v>1551.35</v>
      </c>
      <c r="C46" s="19">
        <v>1529.2</v>
      </c>
      <c r="D46" s="19">
        <v>1440.7</v>
      </c>
      <c r="E46" s="19">
        <v>1401.3</v>
      </c>
      <c r="F46" s="19">
        <v>1384.85</v>
      </c>
      <c r="G46" s="19">
        <v>1387.75</v>
      </c>
      <c r="H46" s="19">
        <v>1400.05</v>
      </c>
      <c r="I46" s="19">
        <v>1404</v>
      </c>
      <c r="J46" s="19">
        <v>1381.35</v>
      </c>
      <c r="K46" s="19">
        <v>1371.3</v>
      </c>
      <c r="L46" s="19">
        <v>1371.3720000000001</v>
      </c>
    </row>
    <row r="47" spans="1:12" ht="15" customHeight="1" outlineLevel="1" x14ac:dyDescent="0.25">
      <c r="A47" s="18" t="s">
        <v>5</v>
      </c>
      <c r="B47" s="17">
        <v>74.536000000000001</v>
      </c>
      <c r="C47" s="17">
        <v>79.313000000000002</v>
      </c>
      <c r="D47" s="17">
        <v>66.063999999999993</v>
      </c>
      <c r="E47" s="17">
        <v>78.745999999999995</v>
      </c>
      <c r="F47" s="17">
        <v>84.885999999999996</v>
      </c>
      <c r="G47" s="17">
        <v>59.101999999999997</v>
      </c>
      <c r="H47" s="17">
        <v>85.183000000000007</v>
      </c>
      <c r="I47" s="17">
        <v>86.835999999999999</v>
      </c>
      <c r="J47" s="17">
        <v>85.27</v>
      </c>
      <c r="K47" s="17">
        <v>84.885000000000005</v>
      </c>
      <c r="L47" s="16"/>
    </row>
    <row r="48" spans="1:12" ht="15" customHeight="1" x14ac:dyDescent="0.3">
      <c r="A48" s="15" t="s">
        <v>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 ht="15" customHeight="1" outlineLevel="1" x14ac:dyDescent="0.3">
      <c r="A49" s="14" t="s">
        <v>4</v>
      </c>
      <c r="B49" s="13">
        <v>828.06600000000003</v>
      </c>
      <c r="C49" s="13">
        <v>907.72199999999998</v>
      </c>
      <c r="D49" s="13">
        <v>204.226</v>
      </c>
      <c r="E49" s="13">
        <v>475.96699999999998</v>
      </c>
      <c r="F49" s="13">
        <v>591.87300000000005</v>
      </c>
      <c r="G49" s="13">
        <v>863.96199999999999</v>
      </c>
      <c r="H49" s="13">
        <v>797.61699999999996</v>
      </c>
      <c r="I49" s="13">
        <v>1120.7550000000001</v>
      </c>
      <c r="J49" s="13">
        <v>1509.4749999999999</v>
      </c>
      <c r="K49" s="13">
        <v>1947.7429999999999</v>
      </c>
      <c r="L49" s="13">
        <v>2180.1990000000001</v>
      </c>
    </row>
    <row r="50" spans="1:12" ht="15" customHeight="1" outlineLevel="2" x14ac:dyDescent="0.25">
      <c r="A50" s="12" t="s">
        <v>3</v>
      </c>
      <c r="B50" s="11">
        <v>717.59199999999998</v>
      </c>
      <c r="C50" s="11">
        <v>777.35400000000004</v>
      </c>
      <c r="D50" s="11">
        <v>57.857999999999997</v>
      </c>
      <c r="E50" s="11">
        <v>312.61900000000003</v>
      </c>
      <c r="F50" s="11">
        <v>389.89400000000001</v>
      </c>
      <c r="G50" s="11">
        <v>487.23200000000003</v>
      </c>
      <c r="H50" s="11">
        <v>374.54500000000002</v>
      </c>
      <c r="I50" s="11">
        <v>866.09799999999996</v>
      </c>
      <c r="J50" s="11">
        <v>1222.6489999999999</v>
      </c>
      <c r="K50" s="11">
        <v>1628.3489999999999</v>
      </c>
      <c r="L50" s="11">
        <v>1849.356</v>
      </c>
    </row>
    <row r="51" spans="1:12" ht="15" customHeight="1" outlineLevel="2" x14ac:dyDescent="0.25">
      <c r="A51" s="10" t="s">
        <v>2</v>
      </c>
      <c r="B51" s="9">
        <v>110.474</v>
      </c>
      <c r="C51" s="9">
        <v>130.36799999999999</v>
      </c>
      <c r="D51" s="9">
        <v>146.36799999999999</v>
      </c>
      <c r="E51" s="9">
        <v>163.34800000000001</v>
      </c>
      <c r="F51" s="9">
        <v>201.97900000000001</v>
      </c>
      <c r="G51" s="9">
        <v>376.73</v>
      </c>
      <c r="H51" s="9">
        <v>423.072</v>
      </c>
      <c r="I51" s="9">
        <v>254.65700000000001</v>
      </c>
      <c r="J51" s="9">
        <v>286.82600000000002</v>
      </c>
      <c r="K51" s="9">
        <v>319.39400000000001</v>
      </c>
      <c r="L51" s="9">
        <v>330.84300000000002</v>
      </c>
    </row>
    <row r="52" spans="1:12" ht="15" customHeight="1" x14ac:dyDescent="0.25">
      <c r="A52" s="8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3D87-F281-4917-8F98-BDBDD02677E8}">
  <sheetPr>
    <outlinePr summaryBelow="0" summaryRight="0"/>
  </sheetPr>
  <dimension ref="A1:Q25"/>
  <sheetViews>
    <sheetView workbookViewId="0"/>
  </sheetViews>
  <sheetFormatPr defaultColWidth="9.1796875" defaultRowHeight="15" customHeight="1" x14ac:dyDescent="0.25"/>
  <cols>
    <col min="1" max="1" width="26.6328125" style="7" customWidth="1"/>
    <col min="2" max="11" width="7.6328125" style="7" customWidth="1"/>
    <col min="12" max="17" width="8.81640625" style="7" customWidth="1"/>
    <col min="18" max="16384" width="9.1796875" style="7"/>
  </cols>
  <sheetData>
    <row r="1" spans="1:17" ht="15" customHeight="1" x14ac:dyDescent="0.3">
      <c r="A1" s="36" t="s">
        <v>97</v>
      </c>
    </row>
    <row r="2" spans="1:17" ht="15" customHeight="1" x14ac:dyDescent="0.25">
      <c r="A2" s="7" t="s">
        <v>113</v>
      </c>
    </row>
    <row r="3" spans="1:17" ht="15" customHeight="1" x14ac:dyDescent="0.3">
      <c r="A3" s="33"/>
      <c r="B3" s="33" t="s">
        <v>95</v>
      </c>
      <c r="C3" s="33" t="s">
        <v>94</v>
      </c>
      <c r="D3" s="33" t="s">
        <v>93</v>
      </c>
      <c r="E3" s="33" t="s">
        <v>92</v>
      </c>
      <c r="F3" s="33" t="s">
        <v>91</v>
      </c>
      <c r="G3" s="33" t="s">
        <v>90</v>
      </c>
      <c r="H3" s="33" t="s">
        <v>89</v>
      </c>
      <c r="I3" s="33" t="s">
        <v>88</v>
      </c>
      <c r="J3" s="33" t="s">
        <v>87</v>
      </c>
      <c r="K3" s="33" t="s">
        <v>86</v>
      </c>
      <c r="L3" s="33" t="s">
        <v>85</v>
      </c>
      <c r="M3" s="33" t="s">
        <v>84</v>
      </c>
      <c r="N3" s="33" t="s">
        <v>83</v>
      </c>
      <c r="O3" s="33" t="s">
        <v>82</v>
      </c>
      <c r="P3" s="33" t="s">
        <v>81</v>
      </c>
      <c r="Q3" s="33" t="s">
        <v>80</v>
      </c>
    </row>
    <row r="4" spans="1:17" ht="15" customHeight="1" x14ac:dyDescent="0.3">
      <c r="A4" s="33"/>
      <c r="B4" s="33" t="s">
        <v>79</v>
      </c>
      <c r="C4" s="33" t="s">
        <v>78</v>
      </c>
      <c r="D4" s="33" t="s">
        <v>77</v>
      </c>
      <c r="E4" s="33" t="s">
        <v>76</v>
      </c>
      <c r="F4" s="33" t="s">
        <v>75</v>
      </c>
      <c r="G4" s="33" t="s">
        <v>74</v>
      </c>
      <c r="H4" s="33" t="s">
        <v>73</v>
      </c>
      <c r="I4" s="33" t="s">
        <v>72</v>
      </c>
      <c r="J4" s="33" t="s">
        <v>71</v>
      </c>
      <c r="K4" s="33" t="s">
        <v>70</v>
      </c>
      <c r="L4" s="33" t="s">
        <v>69</v>
      </c>
      <c r="M4" s="33" t="s">
        <v>68</v>
      </c>
      <c r="N4" s="33" t="s">
        <v>67</v>
      </c>
      <c r="O4" s="33" t="s">
        <v>66</v>
      </c>
      <c r="P4" s="33" t="s">
        <v>65</v>
      </c>
      <c r="Q4" s="33" t="s">
        <v>64</v>
      </c>
    </row>
    <row r="5" spans="1:17" ht="15" customHeight="1" x14ac:dyDescent="0.25">
      <c r="A5" s="16" t="s">
        <v>40</v>
      </c>
      <c r="B5" s="40">
        <v>4108.26</v>
      </c>
      <c r="C5" s="40">
        <v>4501.22</v>
      </c>
      <c r="D5" s="40">
        <v>3904.38</v>
      </c>
      <c r="E5" s="40">
        <v>4476.41</v>
      </c>
      <c r="F5" s="40">
        <v>4864.9799999999996</v>
      </c>
      <c r="G5" s="40">
        <v>5586.37</v>
      </c>
      <c r="H5" s="40">
        <v>5984.63</v>
      </c>
      <c r="I5" s="40">
        <v>7547.06</v>
      </c>
      <c r="J5" s="40">
        <v>8634.65</v>
      </c>
      <c r="K5" s="40">
        <v>9871.65</v>
      </c>
      <c r="L5" s="40">
        <v>11342</v>
      </c>
      <c r="M5" s="40">
        <v>12870.2</v>
      </c>
      <c r="N5" s="40">
        <v>14641.7</v>
      </c>
      <c r="O5" s="40">
        <v>16729.5</v>
      </c>
      <c r="P5" s="40">
        <v>18816</v>
      </c>
      <c r="Q5" s="40">
        <v>20848</v>
      </c>
    </row>
    <row r="6" spans="1:17" ht="15" customHeight="1" x14ac:dyDescent="0.25">
      <c r="A6" s="25" t="s">
        <v>112</v>
      </c>
      <c r="B6" s="39">
        <v>1421</v>
      </c>
      <c r="C6" s="39">
        <v>1503.83</v>
      </c>
      <c r="D6" s="39">
        <v>1365.6</v>
      </c>
      <c r="E6" s="39">
        <v>1535.4</v>
      </c>
      <c r="F6" s="39">
        <v>1600.8</v>
      </c>
      <c r="G6" s="39">
        <v>1847.9</v>
      </c>
      <c r="H6" s="39">
        <v>1932.8</v>
      </c>
      <c r="I6" s="39">
        <v>2308.6</v>
      </c>
      <c r="J6" s="39">
        <v>2602.1999999999998</v>
      </c>
      <c r="K6" s="39">
        <v>2912.6</v>
      </c>
      <c r="L6" s="39">
        <v>3392.06</v>
      </c>
      <c r="M6" s="39">
        <v>3843.04</v>
      </c>
      <c r="N6" s="39">
        <v>4307.4799999999996</v>
      </c>
      <c r="O6" s="39">
        <v>4765</v>
      </c>
      <c r="P6" s="39">
        <v>5359</v>
      </c>
      <c r="Q6" s="39">
        <v>6004</v>
      </c>
    </row>
    <row r="7" spans="1:17" ht="15" customHeight="1" x14ac:dyDescent="0.25">
      <c r="A7" s="16" t="s">
        <v>36</v>
      </c>
      <c r="B7" s="40">
        <v>1117.8</v>
      </c>
      <c r="C7" s="40">
        <v>1174.3</v>
      </c>
      <c r="D7" s="40">
        <v>498.20699999999999</v>
      </c>
      <c r="E7" s="40">
        <v>756.2</v>
      </c>
      <c r="F7" s="40">
        <v>911</v>
      </c>
      <c r="G7" s="40">
        <v>1142.5</v>
      </c>
      <c r="H7" s="40">
        <v>1042.05</v>
      </c>
      <c r="I7" s="40">
        <v>1707</v>
      </c>
      <c r="J7" s="40">
        <v>2062</v>
      </c>
      <c r="K7" s="40">
        <v>2586.0500000000002</v>
      </c>
      <c r="L7" s="40">
        <v>3020.09</v>
      </c>
      <c r="M7" s="40">
        <v>3509.13</v>
      </c>
      <c r="N7" s="40">
        <v>4692.91</v>
      </c>
      <c r="O7" s="40">
        <v>4818.5</v>
      </c>
      <c r="P7" s="40">
        <v>5461.5</v>
      </c>
      <c r="Q7" s="40">
        <v>6052</v>
      </c>
    </row>
    <row r="8" spans="1:17" ht="15" customHeight="1" x14ac:dyDescent="0.25">
      <c r="A8" s="25" t="s">
        <v>35</v>
      </c>
      <c r="B8" s="39">
        <v>273.85000000000002</v>
      </c>
      <c r="C8" s="39">
        <v>250</v>
      </c>
      <c r="D8" s="39">
        <v>276.14999999999998</v>
      </c>
      <c r="E8" s="39">
        <v>281.14999999999998</v>
      </c>
      <c r="F8" s="39">
        <v>359.25</v>
      </c>
      <c r="G8" s="39">
        <v>407</v>
      </c>
      <c r="H8" s="39">
        <v>420</v>
      </c>
      <c r="I8" s="39">
        <v>519</v>
      </c>
      <c r="J8" s="39">
        <v>552.5</v>
      </c>
      <c r="K8" s="39">
        <v>630</v>
      </c>
      <c r="L8" s="39">
        <v>717.82100000000003</v>
      </c>
      <c r="M8" s="39">
        <v>774.99599999999998</v>
      </c>
      <c r="N8" s="39">
        <v>855</v>
      </c>
      <c r="O8" s="39">
        <v>962</v>
      </c>
      <c r="P8" s="39">
        <v>1032</v>
      </c>
      <c r="Q8" s="25" t="s">
        <v>58</v>
      </c>
    </row>
    <row r="9" spans="1:17" ht="15" customHeight="1" x14ac:dyDescent="0.25">
      <c r="A9" s="16" t="s">
        <v>111</v>
      </c>
      <c r="B9" s="16" t="s">
        <v>58</v>
      </c>
      <c r="C9" s="16" t="s">
        <v>58</v>
      </c>
      <c r="D9" s="16" t="s">
        <v>58</v>
      </c>
      <c r="E9" s="16" t="s">
        <v>58</v>
      </c>
      <c r="F9" s="16" t="s">
        <v>58</v>
      </c>
      <c r="G9" s="40">
        <v>167</v>
      </c>
      <c r="H9" s="40">
        <v>224.9</v>
      </c>
      <c r="I9" s="40">
        <v>224.9</v>
      </c>
      <c r="J9" s="40">
        <v>249</v>
      </c>
      <c r="K9" s="16" t="s">
        <v>58</v>
      </c>
      <c r="L9" s="40">
        <v>290</v>
      </c>
      <c r="M9" s="40">
        <v>322</v>
      </c>
      <c r="N9" s="40">
        <v>367</v>
      </c>
      <c r="O9" s="40">
        <v>414</v>
      </c>
      <c r="P9" s="40">
        <v>467</v>
      </c>
      <c r="Q9" s="40">
        <v>524</v>
      </c>
    </row>
    <row r="10" spans="1:17" ht="15" customHeight="1" x14ac:dyDescent="0.25">
      <c r="A10" s="25" t="s">
        <v>110</v>
      </c>
      <c r="B10" s="39">
        <v>273.89999999999998</v>
      </c>
      <c r="C10" s="39">
        <v>250.20500000000001</v>
      </c>
      <c r="D10" s="39">
        <v>276.2</v>
      </c>
      <c r="E10" s="39">
        <v>266</v>
      </c>
      <c r="F10" s="39">
        <v>375.46</v>
      </c>
      <c r="G10" s="39">
        <v>451.55200000000002</v>
      </c>
      <c r="H10" s="39">
        <v>466.291</v>
      </c>
      <c r="I10" s="39">
        <v>518.70000000000005</v>
      </c>
      <c r="J10" s="39">
        <v>564.19100000000003</v>
      </c>
      <c r="K10" s="39">
        <v>633.58399999999995</v>
      </c>
      <c r="L10" s="39">
        <v>717.00300000000004</v>
      </c>
      <c r="M10" s="39">
        <v>757.24</v>
      </c>
      <c r="N10" s="39">
        <v>807.1</v>
      </c>
      <c r="O10" s="39">
        <v>854</v>
      </c>
      <c r="P10" s="39">
        <v>948</v>
      </c>
      <c r="Q10" s="39">
        <v>1000</v>
      </c>
    </row>
    <row r="11" spans="1:17" ht="15" customHeight="1" x14ac:dyDescent="0.25">
      <c r="A11" s="16" t="s">
        <v>4</v>
      </c>
      <c r="B11" s="40">
        <v>821.3</v>
      </c>
      <c r="C11" s="40">
        <v>894</v>
      </c>
      <c r="D11" s="40">
        <v>195.3</v>
      </c>
      <c r="E11" s="40">
        <v>464.1</v>
      </c>
      <c r="F11" s="40">
        <v>544</v>
      </c>
      <c r="G11" s="40">
        <v>710.88099999999997</v>
      </c>
      <c r="H11" s="40">
        <v>594.9</v>
      </c>
      <c r="I11" s="40">
        <v>1153.3</v>
      </c>
      <c r="J11" s="40">
        <v>1474</v>
      </c>
      <c r="K11" s="40">
        <v>1889.74</v>
      </c>
      <c r="L11" s="40">
        <v>2241.7600000000002</v>
      </c>
      <c r="M11" s="40">
        <v>2647.64</v>
      </c>
      <c r="N11" s="40">
        <v>3130.42</v>
      </c>
      <c r="O11" s="40">
        <v>3767</v>
      </c>
      <c r="P11" s="40">
        <v>4311</v>
      </c>
      <c r="Q11" s="40">
        <v>4960</v>
      </c>
    </row>
    <row r="12" spans="1:17" ht="15" customHeight="1" x14ac:dyDescent="0.25">
      <c r="A12" s="25" t="s">
        <v>109</v>
      </c>
      <c r="B12" s="39">
        <v>872.995</v>
      </c>
      <c r="C12" s="39">
        <v>894</v>
      </c>
      <c r="D12" s="39">
        <v>195.4</v>
      </c>
      <c r="E12" s="39">
        <v>499.39699999999999</v>
      </c>
      <c r="F12" s="39">
        <v>544.71600000000001</v>
      </c>
      <c r="G12" s="39">
        <v>709.4</v>
      </c>
      <c r="H12" s="39">
        <v>594.88499999999999</v>
      </c>
      <c r="I12" s="39">
        <v>1153.31</v>
      </c>
      <c r="J12" s="39">
        <v>1474.33</v>
      </c>
      <c r="K12" s="39">
        <v>1892.92</v>
      </c>
      <c r="L12" s="39">
        <v>2254.5300000000002</v>
      </c>
      <c r="M12" s="39">
        <v>2659.54</v>
      </c>
      <c r="N12" s="39">
        <v>3019.35</v>
      </c>
      <c r="O12" s="25" t="s">
        <v>58</v>
      </c>
      <c r="P12" s="25" t="s">
        <v>58</v>
      </c>
      <c r="Q12" s="25" t="s">
        <v>58</v>
      </c>
    </row>
    <row r="13" spans="1:17" ht="15" customHeight="1" x14ac:dyDescent="0.25">
      <c r="A13" s="16" t="s">
        <v>108</v>
      </c>
      <c r="B13" s="16" t="s">
        <v>58</v>
      </c>
      <c r="C13" s="40">
        <v>893.97500000000002</v>
      </c>
      <c r="D13" s="40">
        <v>193.96700000000001</v>
      </c>
      <c r="E13" s="16" t="s">
        <v>58</v>
      </c>
      <c r="F13" s="16" t="s">
        <v>58</v>
      </c>
      <c r="G13" s="16" t="s">
        <v>58</v>
      </c>
      <c r="H13" s="40">
        <v>593.37400000000002</v>
      </c>
      <c r="I13" s="40">
        <v>1153.31</v>
      </c>
      <c r="J13" s="40">
        <v>1474.33</v>
      </c>
      <c r="K13" s="40">
        <v>1889.74</v>
      </c>
      <c r="L13" s="40">
        <v>2214.38</v>
      </c>
      <c r="M13" s="40">
        <v>2642.46</v>
      </c>
      <c r="N13" s="40">
        <v>3078.69</v>
      </c>
      <c r="O13" s="16" t="s">
        <v>58</v>
      </c>
      <c r="P13" s="16" t="s">
        <v>58</v>
      </c>
      <c r="Q13" s="16" t="s">
        <v>58</v>
      </c>
    </row>
    <row r="14" spans="1:17" ht="15" customHeight="1" x14ac:dyDescent="0.25">
      <c r="A14" s="25" t="s">
        <v>107</v>
      </c>
      <c r="B14" s="39">
        <v>110.5</v>
      </c>
      <c r="C14" s="39">
        <v>130.36799999999999</v>
      </c>
      <c r="D14" s="39">
        <v>146.37</v>
      </c>
      <c r="E14" s="39">
        <v>163.30000000000001</v>
      </c>
      <c r="F14" s="39">
        <v>195.16499999999999</v>
      </c>
      <c r="G14" s="39">
        <v>212.751</v>
      </c>
      <c r="H14" s="39">
        <v>238.5</v>
      </c>
      <c r="I14" s="39">
        <v>254.7</v>
      </c>
      <c r="J14" s="39">
        <v>286.82600000000002</v>
      </c>
      <c r="K14" s="39">
        <v>319.39400000000001</v>
      </c>
      <c r="L14" s="39">
        <v>341.48399999999998</v>
      </c>
      <c r="M14" s="39">
        <v>378.01100000000002</v>
      </c>
      <c r="N14" s="39">
        <v>423.89699999999999</v>
      </c>
      <c r="O14" s="39">
        <v>467</v>
      </c>
      <c r="P14" s="39">
        <v>505</v>
      </c>
      <c r="Q14" s="39">
        <v>572</v>
      </c>
    </row>
    <row r="15" spans="1:17" ht="15" customHeight="1" x14ac:dyDescent="0.25">
      <c r="A15" s="16" t="s">
        <v>106</v>
      </c>
      <c r="B15" s="40">
        <v>710.8</v>
      </c>
      <c r="C15" s="40">
        <v>763.6</v>
      </c>
      <c r="D15" s="40">
        <v>51.3</v>
      </c>
      <c r="E15" s="40">
        <v>300.8</v>
      </c>
      <c r="F15" s="40">
        <v>349.07299999999998</v>
      </c>
      <c r="G15" s="40">
        <v>498</v>
      </c>
      <c r="H15" s="40">
        <v>356.3</v>
      </c>
      <c r="I15" s="40">
        <v>898.67700000000002</v>
      </c>
      <c r="J15" s="40">
        <v>1182</v>
      </c>
      <c r="K15" s="40">
        <v>1576.7</v>
      </c>
      <c r="L15" s="40">
        <v>1897.67</v>
      </c>
      <c r="M15" s="40">
        <v>2284.41</v>
      </c>
      <c r="N15" s="40">
        <v>2702.22</v>
      </c>
      <c r="O15" s="40">
        <v>3376</v>
      </c>
      <c r="P15" s="40">
        <v>3896.5</v>
      </c>
      <c r="Q15" s="40">
        <v>4389</v>
      </c>
    </row>
    <row r="16" spans="1:17" ht="15" customHeight="1" x14ac:dyDescent="0.25">
      <c r="A16" s="25" t="s">
        <v>105</v>
      </c>
      <c r="B16" s="25" t="s">
        <v>58</v>
      </c>
      <c r="C16" s="39">
        <v>763.8</v>
      </c>
      <c r="D16" s="39">
        <v>49.1</v>
      </c>
      <c r="E16" s="25" t="s">
        <v>58</v>
      </c>
      <c r="F16" s="25" t="s">
        <v>58</v>
      </c>
      <c r="G16" s="39">
        <v>496.82299999999998</v>
      </c>
      <c r="H16" s="39">
        <v>356.31799999999998</v>
      </c>
      <c r="I16" s="39">
        <v>898.67700000000002</v>
      </c>
      <c r="J16" s="39">
        <v>1187.5</v>
      </c>
      <c r="K16" s="39">
        <v>1576.72</v>
      </c>
      <c r="L16" s="39">
        <v>1909.14</v>
      </c>
      <c r="M16" s="39">
        <v>2282.16</v>
      </c>
      <c r="N16" s="39">
        <v>2678.16</v>
      </c>
      <c r="O16" s="39">
        <v>3452</v>
      </c>
      <c r="P16" s="39">
        <v>4000</v>
      </c>
      <c r="Q16" s="25" t="s">
        <v>58</v>
      </c>
    </row>
    <row r="17" spans="1:17" ht="15" customHeight="1" x14ac:dyDescent="0.25">
      <c r="A17" s="16" t="s">
        <v>104</v>
      </c>
      <c r="B17" s="16" t="s">
        <v>58</v>
      </c>
      <c r="C17" s="40">
        <v>764</v>
      </c>
      <c r="D17" s="40">
        <v>35</v>
      </c>
      <c r="E17" s="16" t="s">
        <v>58</v>
      </c>
      <c r="F17" s="16" t="s">
        <v>58</v>
      </c>
      <c r="G17" s="16" t="s">
        <v>58</v>
      </c>
      <c r="H17" s="16" t="s">
        <v>58</v>
      </c>
      <c r="I17" s="40">
        <v>898.65300000000002</v>
      </c>
      <c r="J17" s="40">
        <v>1187.5</v>
      </c>
      <c r="K17" s="40">
        <v>1558</v>
      </c>
      <c r="L17" s="40">
        <v>1907.63</v>
      </c>
      <c r="M17" s="40">
        <v>2306.2800000000002</v>
      </c>
      <c r="N17" s="40">
        <v>2721.4</v>
      </c>
      <c r="O17" s="40">
        <v>3452</v>
      </c>
      <c r="P17" s="40">
        <v>4000</v>
      </c>
      <c r="Q17" s="16" t="s">
        <v>58</v>
      </c>
    </row>
    <row r="18" spans="1:17" ht="15" customHeight="1" x14ac:dyDescent="0.25">
      <c r="A18" s="25" t="s">
        <v>103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0.3</v>
      </c>
      <c r="I18" s="39">
        <v>2.2999999999999998</v>
      </c>
      <c r="J18" s="39">
        <v>0.2</v>
      </c>
      <c r="K18" s="39">
        <v>0</v>
      </c>
      <c r="L18" s="39">
        <v>21.5</v>
      </c>
      <c r="M18" s="39">
        <v>26.25</v>
      </c>
      <c r="N18" s="39">
        <v>0</v>
      </c>
      <c r="O18" s="25" t="s">
        <v>58</v>
      </c>
      <c r="P18" s="25" t="s">
        <v>58</v>
      </c>
      <c r="Q18" s="25" t="s">
        <v>58</v>
      </c>
    </row>
    <row r="19" spans="1:17" ht="15" customHeight="1" x14ac:dyDescent="0.25">
      <c r="A19" s="16" t="s">
        <v>21</v>
      </c>
      <c r="B19" s="40">
        <v>714.3</v>
      </c>
      <c r="C19" s="40">
        <v>769.9</v>
      </c>
      <c r="D19" s="40">
        <v>38.869999999999997</v>
      </c>
      <c r="E19" s="40">
        <v>305.7</v>
      </c>
      <c r="F19" s="40">
        <v>359.1</v>
      </c>
      <c r="G19" s="40">
        <v>512.6</v>
      </c>
      <c r="H19" s="40">
        <v>360</v>
      </c>
      <c r="I19" s="40">
        <v>906</v>
      </c>
      <c r="J19" s="40">
        <v>1198.1500000000001</v>
      </c>
      <c r="K19" s="40">
        <v>1639</v>
      </c>
      <c r="L19" s="40">
        <v>1981.13</v>
      </c>
      <c r="M19" s="40">
        <v>2362.0500000000002</v>
      </c>
      <c r="N19" s="40">
        <v>2775.1</v>
      </c>
      <c r="O19" s="40">
        <v>3444.5</v>
      </c>
      <c r="P19" s="40">
        <v>3968.5</v>
      </c>
      <c r="Q19" s="40">
        <v>4517</v>
      </c>
    </row>
    <row r="20" spans="1:17" ht="15" customHeight="1" x14ac:dyDescent="0.25">
      <c r="A20" s="25" t="s">
        <v>102</v>
      </c>
      <c r="B20" s="39">
        <v>714.30200000000002</v>
      </c>
      <c r="C20" s="39">
        <v>769.86400000000003</v>
      </c>
      <c r="D20" s="39">
        <v>45.988999999999997</v>
      </c>
      <c r="E20" s="39">
        <v>290.721</v>
      </c>
      <c r="F20" s="39">
        <v>359.14100000000002</v>
      </c>
      <c r="G20" s="39">
        <v>512.57600000000002</v>
      </c>
      <c r="H20" s="39">
        <v>359.202</v>
      </c>
      <c r="I20" s="39">
        <v>906.47299999999996</v>
      </c>
      <c r="J20" s="39">
        <v>1198.22</v>
      </c>
      <c r="K20" s="39">
        <v>1639.43</v>
      </c>
      <c r="L20" s="39">
        <v>1985.65</v>
      </c>
      <c r="M20" s="39">
        <v>2336.34</v>
      </c>
      <c r="N20" s="39">
        <v>2729.91</v>
      </c>
      <c r="O20" s="25" t="s">
        <v>58</v>
      </c>
      <c r="P20" s="25" t="s">
        <v>58</v>
      </c>
      <c r="Q20" s="25" t="s">
        <v>58</v>
      </c>
    </row>
    <row r="21" spans="1:17" ht="15" customHeight="1" x14ac:dyDescent="0.25">
      <c r="A21" s="16" t="s">
        <v>101</v>
      </c>
      <c r="B21" s="40">
        <v>714.30200000000002</v>
      </c>
      <c r="C21" s="40">
        <v>769.86400000000003</v>
      </c>
      <c r="D21" s="40">
        <v>53.238999999999997</v>
      </c>
      <c r="E21" s="40">
        <v>275.7</v>
      </c>
      <c r="F21" s="40">
        <v>268.39999999999998</v>
      </c>
      <c r="G21" s="40">
        <v>485.43799999999999</v>
      </c>
      <c r="H21" s="40">
        <v>293.89999999999998</v>
      </c>
      <c r="I21" s="40">
        <v>859.73699999999997</v>
      </c>
      <c r="J21" s="40">
        <v>1198.22</v>
      </c>
      <c r="K21" s="40">
        <v>1630.21</v>
      </c>
      <c r="L21" s="40">
        <v>2004.78</v>
      </c>
      <c r="M21" s="40">
        <v>2359.65</v>
      </c>
      <c r="N21" s="40">
        <v>2784.83</v>
      </c>
      <c r="O21" s="16" t="s">
        <v>58</v>
      </c>
      <c r="P21" s="16" t="s">
        <v>58</v>
      </c>
      <c r="Q21" s="16" t="s">
        <v>58</v>
      </c>
    </row>
    <row r="22" spans="1:17" ht="15" customHeight="1" x14ac:dyDescent="0.25">
      <c r="A22" s="25" t="s">
        <v>100</v>
      </c>
      <c r="B22" s="39">
        <v>268.91399999999999</v>
      </c>
      <c r="C22" s="39">
        <v>294.28500000000003</v>
      </c>
      <c r="D22" s="39">
        <v>17.45</v>
      </c>
      <c r="E22" s="39">
        <v>111.3</v>
      </c>
      <c r="F22" s="39">
        <v>105.86799999999999</v>
      </c>
      <c r="G22" s="39">
        <v>114.59</v>
      </c>
      <c r="H22" s="39">
        <v>55</v>
      </c>
      <c r="I22" s="39">
        <v>181.697</v>
      </c>
      <c r="J22" s="39">
        <v>278.39999999999998</v>
      </c>
      <c r="K22" s="39">
        <v>396</v>
      </c>
      <c r="L22" s="39">
        <v>487.03899999999999</v>
      </c>
      <c r="M22" s="39">
        <v>593.17899999999997</v>
      </c>
      <c r="N22" s="39">
        <v>688.37099999999998</v>
      </c>
      <c r="O22" s="39">
        <v>878</v>
      </c>
      <c r="P22" s="39">
        <v>1012</v>
      </c>
      <c r="Q22" s="39">
        <v>1174</v>
      </c>
    </row>
    <row r="23" spans="1:17" ht="15" customHeight="1" x14ac:dyDescent="0.25">
      <c r="A23" s="16" t="s">
        <v>14</v>
      </c>
      <c r="B23" s="40">
        <v>445.37400000000002</v>
      </c>
      <c r="C23" s="40">
        <v>475.60199999999998</v>
      </c>
      <c r="D23" s="40">
        <v>22.937999999999999</v>
      </c>
      <c r="E23" s="40">
        <v>194</v>
      </c>
      <c r="F23" s="40">
        <v>253.40600000000001</v>
      </c>
      <c r="G23" s="40">
        <v>397.66500000000002</v>
      </c>
      <c r="H23" s="40">
        <v>304.98099999999999</v>
      </c>
      <c r="I23" s="40">
        <v>724.779</v>
      </c>
      <c r="J23" s="40">
        <v>919.79499999999996</v>
      </c>
      <c r="K23" s="40">
        <v>1243.05</v>
      </c>
      <c r="L23" s="40">
        <v>1495.62</v>
      </c>
      <c r="M23" s="40">
        <v>1765.77</v>
      </c>
      <c r="N23" s="40">
        <v>2074.9</v>
      </c>
      <c r="O23" s="40">
        <v>2566.5</v>
      </c>
      <c r="P23" s="40">
        <v>2956.5</v>
      </c>
      <c r="Q23" s="40">
        <v>3343</v>
      </c>
    </row>
    <row r="24" spans="1:17" ht="15" customHeight="1" x14ac:dyDescent="0.25">
      <c r="A24" s="25" t="s">
        <v>99</v>
      </c>
      <c r="B24" s="39">
        <v>445.37400000000002</v>
      </c>
      <c r="C24" s="39">
        <v>475.6</v>
      </c>
      <c r="D24" s="39">
        <v>31.5</v>
      </c>
      <c r="E24" s="39">
        <v>194</v>
      </c>
      <c r="F24" s="39">
        <v>253.40600000000001</v>
      </c>
      <c r="G24" s="39">
        <v>397.66500000000002</v>
      </c>
      <c r="H24" s="39">
        <v>304.98099999999999</v>
      </c>
      <c r="I24" s="39">
        <v>724.779</v>
      </c>
      <c r="J24" s="39">
        <v>919.79499999999996</v>
      </c>
      <c r="K24" s="39">
        <v>1243.05</v>
      </c>
      <c r="L24" s="39">
        <v>1494.08</v>
      </c>
      <c r="M24" s="39">
        <v>1763.78</v>
      </c>
      <c r="N24" s="39">
        <v>2064.56</v>
      </c>
      <c r="O24" s="39">
        <v>2566.5</v>
      </c>
      <c r="P24" s="39">
        <v>2956.5</v>
      </c>
      <c r="Q24" s="39">
        <v>3343</v>
      </c>
    </row>
    <row r="25" spans="1:17" ht="15" customHeight="1" x14ac:dyDescent="0.25">
      <c r="A25" s="16" t="s">
        <v>98</v>
      </c>
      <c r="B25" s="40">
        <v>445.37400000000002</v>
      </c>
      <c r="C25" s="40">
        <v>475.60199999999998</v>
      </c>
      <c r="D25" s="40">
        <v>22.9</v>
      </c>
      <c r="E25" s="40">
        <v>176.25299999999999</v>
      </c>
      <c r="F25" s="40">
        <v>176.553</v>
      </c>
      <c r="G25" s="40">
        <v>350.15800000000002</v>
      </c>
      <c r="H25" s="40">
        <v>355.76600000000002</v>
      </c>
      <c r="I25" s="40">
        <v>652.98400000000004</v>
      </c>
      <c r="J25" s="40">
        <v>899.101</v>
      </c>
      <c r="K25" s="40">
        <v>1228.74</v>
      </c>
      <c r="L25" s="40">
        <v>1489.85</v>
      </c>
      <c r="M25" s="40">
        <v>1778.14</v>
      </c>
      <c r="N25" s="40">
        <v>2114.04</v>
      </c>
      <c r="O25" s="40">
        <v>2566.5</v>
      </c>
      <c r="P25" s="40">
        <v>2956.5</v>
      </c>
      <c r="Q25" s="40">
        <v>3343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407D-A793-41E0-97C4-EAC1ACBDDBCF}">
  <sheetPr>
    <outlinePr summaryBelow="0" summaryRight="0"/>
  </sheetPr>
  <dimension ref="A1:L48"/>
  <sheetViews>
    <sheetView topLeftCell="A4" workbookViewId="0">
      <selection activeCell="B16" sqref="B16"/>
    </sheetView>
  </sheetViews>
  <sheetFormatPr defaultColWidth="9.1796875" defaultRowHeight="15" customHeight="1" outlineLevelRow="3" x14ac:dyDescent="0.25"/>
  <cols>
    <col min="1" max="1" width="50.36328125" style="7" customWidth="1"/>
    <col min="2" max="11" width="8" style="7" customWidth="1"/>
    <col min="12" max="12" width="7.81640625" style="7" customWidth="1"/>
    <col min="13" max="16384" width="9.1796875" style="7"/>
  </cols>
  <sheetData>
    <row r="1" spans="1:12" ht="15" customHeight="1" x14ac:dyDescent="0.3">
      <c r="A1" s="36" t="s">
        <v>57</v>
      </c>
    </row>
    <row r="2" spans="1:12" ht="15" customHeight="1" x14ac:dyDescent="0.25">
      <c r="A2" s="35" t="s">
        <v>56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3">
      <c r="A5" s="33" t="s">
        <v>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 t="s">
        <v>53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3">
      <c r="A8" s="33"/>
      <c r="B8" s="33" t="s">
        <v>52</v>
      </c>
      <c r="C8" s="33" t="s">
        <v>51</v>
      </c>
      <c r="D8" s="33" t="s">
        <v>50</v>
      </c>
      <c r="E8" s="33" t="s">
        <v>49</v>
      </c>
      <c r="F8" s="33" t="s">
        <v>48</v>
      </c>
      <c r="G8" s="33" t="s">
        <v>47</v>
      </c>
      <c r="H8" s="33" t="s">
        <v>46</v>
      </c>
      <c r="I8" s="33" t="s">
        <v>45</v>
      </c>
      <c r="J8" s="33" t="s">
        <v>44</v>
      </c>
      <c r="K8" s="33" t="s">
        <v>43</v>
      </c>
      <c r="L8" s="33" t="s">
        <v>42</v>
      </c>
    </row>
    <row r="9" spans="1:12" ht="15" customHeigh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41</v>
      </c>
    </row>
    <row r="10" spans="1:12" ht="15" customHeight="1" x14ac:dyDescent="0.3">
      <c r="A10" s="15" t="s">
        <v>219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5" customHeight="1" outlineLevel="1" x14ac:dyDescent="0.25">
      <c r="A11" s="18" t="s">
        <v>218</v>
      </c>
      <c r="B11" s="9">
        <v>445.37400000000002</v>
      </c>
      <c r="C11" s="9">
        <v>475.60199999999998</v>
      </c>
      <c r="D11" s="9">
        <v>22.937999999999999</v>
      </c>
      <c r="E11" s="9">
        <v>176.25299999999999</v>
      </c>
      <c r="F11" s="9">
        <v>176.553</v>
      </c>
      <c r="G11" s="9">
        <v>350.15800000000002</v>
      </c>
      <c r="H11" s="9">
        <v>355.76600000000002</v>
      </c>
      <c r="I11" s="9">
        <v>652.98400000000004</v>
      </c>
      <c r="J11" s="9">
        <v>899.101</v>
      </c>
      <c r="K11" s="9">
        <v>1228.7370000000001</v>
      </c>
      <c r="L11" s="9">
        <v>1410.261</v>
      </c>
    </row>
    <row r="12" spans="1:12" ht="15" customHeight="1" outlineLevel="1" x14ac:dyDescent="0.3">
      <c r="A12" s="21" t="s">
        <v>217</v>
      </c>
      <c r="B12" s="28">
        <v>110.474</v>
      </c>
      <c r="C12" s="28">
        <v>130.36799999999999</v>
      </c>
      <c r="D12" s="28">
        <v>146.36799999999999</v>
      </c>
      <c r="E12" s="28">
        <v>163.34800000000001</v>
      </c>
      <c r="F12" s="28">
        <v>201.97900000000001</v>
      </c>
      <c r="G12" s="28">
        <v>376.73</v>
      </c>
      <c r="H12" s="28">
        <v>423.072</v>
      </c>
      <c r="I12" s="28">
        <v>254.65700000000001</v>
      </c>
      <c r="J12" s="28">
        <v>286.82600000000002</v>
      </c>
      <c r="K12" s="28">
        <v>319.39400000000001</v>
      </c>
      <c r="L12" s="28">
        <v>330.84300000000002</v>
      </c>
    </row>
    <row r="13" spans="1:12" ht="15" customHeight="1" outlineLevel="2" x14ac:dyDescent="0.25">
      <c r="A13" s="10" t="s">
        <v>216</v>
      </c>
      <c r="B13" s="9">
        <v>110.474</v>
      </c>
      <c r="C13" s="9">
        <v>130.36799999999999</v>
      </c>
      <c r="D13" s="9">
        <v>146.36799999999999</v>
      </c>
      <c r="E13" s="9">
        <v>163.34800000000001</v>
      </c>
      <c r="F13" s="9">
        <v>201.97900000000001</v>
      </c>
      <c r="G13" s="9">
        <v>376.73</v>
      </c>
      <c r="H13" s="9">
        <v>423.072</v>
      </c>
      <c r="I13" s="9">
        <v>254.65700000000001</v>
      </c>
      <c r="J13" s="9">
        <v>286.82600000000002</v>
      </c>
      <c r="K13" s="9">
        <v>319.39400000000001</v>
      </c>
      <c r="L13" s="9">
        <v>330.84300000000002</v>
      </c>
    </row>
    <row r="14" spans="1:12" ht="15" customHeight="1" outlineLevel="1" x14ac:dyDescent="0.3">
      <c r="A14" s="21" t="s">
        <v>215</v>
      </c>
      <c r="B14" s="28">
        <v>-20.670999999999999</v>
      </c>
      <c r="C14" s="28">
        <v>11.666</v>
      </c>
      <c r="D14" s="28">
        <v>-14.207000000000001</v>
      </c>
      <c r="E14" s="28">
        <v>-18.026</v>
      </c>
      <c r="F14" s="28">
        <v>10.585000000000001</v>
      </c>
      <c r="G14" s="28">
        <v>29.962</v>
      </c>
      <c r="H14" s="28">
        <v>108.35</v>
      </c>
      <c r="I14" s="28">
        <v>-12.356999999999999</v>
      </c>
      <c r="J14" s="28">
        <v>-43.195</v>
      </c>
      <c r="K14" s="28">
        <v>-9.5050000000000008</v>
      </c>
      <c r="L14" s="28">
        <v>-23.158000000000001</v>
      </c>
    </row>
    <row r="15" spans="1:12" ht="15" customHeight="1" outlineLevel="2" x14ac:dyDescent="0.25">
      <c r="A15" s="10" t="s">
        <v>214</v>
      </c>
      <c r="B15" s="26">
        <v>-20.670999999999999</v>
      </c>
      <c r="C15" s="9">
        <v>11.666</v>
      </c>
      <c r="D15" s="26">
        <v>-14.207000000000001</v>
      </c>
      <c r="E15" s="26">
        <v>-18.026</v>
      </c>
      <c r="F15" s="9">
        <v>10.585000000000001</v>
      </c>
      <c r="G15" s="9">
        <v>29.962</v>
      </c>
      <c r="H15" s="9">
        <v>108.35</v>
      </c>
      <c r="I15" s="26">
        <v>-12.356999999999999</v>
      </c>
      <c r="J15" s="26">
        <v>-43.195</v>
      </c>
      <c r="K15" s="26">
        <v>-9.5050000000000008</v>
      </c>
      <c r="L15" s="26">
        <v>-23.158000000000001</v>
      </c>
    </row>
    <row r="16" spans="1:12" ht="15" customHeight="1" outlineLevel="1" x14ac:dyDescent="0.25">
      <c r="A16" s="23" t="s">
        <v>193</v>
      </c>
      <c r="B16" s="11">
        <v>81.861999999999995</v>
      </c>
      <c r="C16" s="27">
        <v>-2.778</v>
      </c>
      <c r="D16" s="11">
        <v>85.856999999999999</v>
      </c>
      <c r="E16" s="11">
        <v>78.596000000000004</v>
      </c>
      <c r="F16" s="11">
        <v>128.358</v>
      </c>
      <c r="G16" s="11">
        <v>96.239000000000004</v>
      </c>
      <c r="H16" s="11">
        <v>115.307</v>
      </c>
      <c r="I16" s="11">
        <v>189.37200000000001</v>
      </c>
      <c r="J16" s="11">
        <v>101.806</v>
      </c>
      <c r="K16" s="11">
        <v>149.53100000000001</v>
      </c>
      <c r="L16" s="11">
        <v>179.04300000000001</v>
      </c>
    </row>
    <row r="17" spans="1:12" ht="15" customHeight="1" outlineLevel="1" x14ac:dyDescent="0.25">
      <c r="A17" s="18" t="s">
        <v>213</v>
      </c>
      <c r="B17" s="9">
        <v>617.03899999999999</v>
      </c>
      <c r="C17" s="9">
        <v>614.85799999999995</v>
      </c>
      <c r="D17" s="9">
        <v>240.95599999999999</v>
      </c>
      <c r="E17" s="9">
        <v>400.17099999999999</v>
      </c>
      <c r="F17" s="9">
        <v>517.47500000000002</v>
      </c>
      <c r="G17" s="9">
        <v>853.08900000000006</v>
      </c>
      <c r="H17" s="9">
        <v>1002.495</v>
      </c>
      <c r="I17" s="9">
        <v>1084.6559999999999</v>
      </c>
      <c r="J17" s="9">
        <v>1244.538</v>
      </c>
      <c r="K17" s="9">
        <v>1688.1569999999999</v>
      </c>
      <c r="L17" s="9">
        <v>1896.989</v>
      </c>
    </row>
    <row r="18" spans="1:12" ht="15" customHeight="1" outlineLevel="1" x14ac:dyDescent="0.3">
      <c r="A18" s="21" t="s">
        <v>212</v>
      </c>
      <c r="B18" s="28">
        <v>65.028000000000006</v>
      </c>
      <c r="C18" s="28">
        <v>68.457999999999998</v>
      </c>
      <c r="D18" s="28">
        <v>108.286</v>
      </c>
      <c r="E18" s="28">
        <v>66.933999999999997</v>
      </c>
      <c r="F18" s="28">
        <v>104.077</v>
      </c>
      <c r="G18" s="28">
        <v>-131.45699999999999</v>
      </c>
      <c r="H18" s="28">
        <v>-338.64800000000002</v>
      </c>
      <c r="I18" s="28">
        <v>197.42500000000001</v>
      </c>
      <c r="J18" s="28">
        <v>78.641000000000005</v>
      </c>
      <c r="K18" s="28">
        <v>95.32</v>
      </c>
      <c r="L18" s="28">
        <v>-19.245999999999999</v>
      </c>
    </row>
    <row r="19" spans="1:12" ht="15" customHeight="1" outlineLevel="2" x14ac:dyDescent="0.25">
      <c r="A19" s="10" t="s">
        <v>211</v>
      </c>
      <c r="B19" s="26">
        <v>-10.965999999999999</v>
      </c>
      <c r="C19" s="26">
        <v>-3.504</v>
      </c>
      <c r="D19" s="26">
        <v>-1.923</v>
      </c>
      <c r="E19" s="26">
        <v>-0.14000000000000001</v>
      </c>
      <c r="F19" s="26">
        <v>-8.298</v>
      </c>
      <c r="G19" s="26">
        <v>-2.63</v>
      </c>
      <c r="H19" s="9">
        <v>3.01</v>
      </c>
      <c r="I19" s="26">
        <v>-1.6870000000000001</v>
      </c>
      <c r="J19" s="26">
        <v>-14.026</v>
      </c>
      <c r="K19" s="26">
        <v>-11.215999999999999</v>
      </c>
      <c r="L19" s="26">
        <v>-36.911999999999999</v>
      </c>
    </row>
    <row r="20" spans="1:12" ht="15" customHeight="1" outlineLevel="2" x14ac:dyDescent="0.25">
      <c r="A20" s="12" t="s">
        <v>210</v>
      </c>
      <c r="B20" s="27">
        <v>-2.3069999999999999</v>
      </c>
      <c r="C20" s="11">
        <v>0.26200000000000001</v>
      </c>
      <c r="D20" s="27">
        <v>-9.0999999999999998E-2</v>
      </c>
      <c r="E20" s="27">
        <v>-5.25</v>
      </c>
      <c r="F20" s="27">
        <v>-1.722</v>
      </c>
      <c r="G20" s="27">
        <v>-4.53</v>
      </c>
      <c r="H20" s="27">
        <v>-0.39400000000000002</v>
      </c>
      <c r="I20" s="27">
        <v>-6.3920000000000003</v>
      </c>
      <c r="J20" s="27">
        <v>-3.0110000000000001</v>
      </c>
      <c r="K20" s="27">
        <v>-3.649</v>
      </c>
      <c r="L20" s="11">
        <v>0.42699999999999999</v>
      </c>
    </row>
    <row r="21" spans="1:12" ht="15" customHeight="1" outlineLevel="2" x14ac:dyDescent="0.25">
      <c r="A21" s="10" t="s">
        <v>209</v>
      </c>
      <c r="B21" s="9">
        <v>2.1680000000000001</v>
      </c>
      <c r="C21" s="9">
        <v>19.524999999999999</v>
      </c>
      <c r="D21" s="26">
        <v>-6.734</v>
      </c>
      <c r="E21" s="9">
        <v>10.907999999999999</v>
      </c>
      <c r="F21" s="9">
        <v>32.08</v>
      </c>
      <c r="G21" s="26">
        <v>-0.97299999999999998</v>
      </c>
      <c r="H21" s="26">
        <v>-3.859</v>
      </c>
      <c r="I21" s="9">
        <v>21.44</v>
      </c>
      <c r="J21" s="9">
        <v>18.207999999999998</v>
      </c>
      <c r="K21" s="9">
        <v>5.3129999999999997</v>
      </c>
      <c r="L21" s="9">
        <v>23.898</v>
      </c>
    </row>
    <row r="22" spans="1:12" ht="15" customHeight="1" outlineLevel="2" x14ac:dyDescent="0.25">
      <c r="A22" s="12" t="s">
        <v>208</v>
      </c>
      <c r="B22" s="11">
        <v>62.043999999999997</v>
      </c>
      <c r="C22" s="11">
        <v>25.471</v>
      </c>
      <c r="D22" s="11">
        <v>70.521000000000001</v>
      </c>
      <c r="E22" s="11">
        <v>38.573999999999998</v>
      </c>
      <c r="F22" s="11">
        <v>51.228000000000002</v>
      </c>
      <c r="G22" s="11">
        <v>48.302</v>
      </c>
      <c r="H22" s="11">
        <v>82.278999999999996</v>
      </c>
      <c r="I22" s="27">
        <v>-33.558</v>
      </c>
      <c r="J22" s="27">
        <v>-18.100000000000001</v>
      </c>
      <c r="K22" s="11">
        <v>60.235999999999997</v>
      </c>
      <c r="L22" s="11">
        <v>65.322999999999993</v>
      </c>
    </row>
    <row r="23" spans="1:12" ht="15" customHeight="1" outlineLevel="2" x14ac:dyDescent="0.25">
      <c r="A23" s="10" t="s">
        <v>207</v>
      </c>
      <c r="B23" s="9">
        <v>14.089</v>
      </c>
      <c r="C23" s="9">
        <v>26.704000000000001</v>
      </c>
      <c r="D23" s="9">
        <v>46.512999999999998</v>
      </c>
      <c r="E23" s="9">
        <v>22.841999999999999</v>
      </c>
      <c r="F23" s="9">
        <v>30.789000000000001</v>
      </c>
      <c r="G23" s="26">
        <v>-171.626</v>
      </c>
      <c r="H23" s="26">
        <v>-419.68400000000003</v>
      </c>
      <c r="I23" s="9">
        <v>217.62200000000001</v>
      </c>
      <c r="J23" s="9">
        <v>95.57</v>
      </c>
      <c r="K23" s="9">
        <v>44.636000000000003</v>
      </c>
      <c r="L23" s="26">
        <v>-71.981999999999999</v>
      </c>
    </row>
    <row r="24" spans="1:12" ht="15" customHeight="1" outlineLevel="1" x14ac:dyDescent="0.25">
      <c r="A24" s="23" t="s">
        <v>206</v>
      </c>
      <c r="B24" s="11">
        <v>682.06700000000001</v>
      </c>
      <c r="C24" s="11">
        <v>683.31600000000003</v>
      </c>
      <c r="D24" s="11">
        <v>349.24200000000002</v>
      </c>
      <c r="E24" s="11">
        <v>467.10500000000002</v>
      </c>
      <c r="F24" s="11">
        <v>621.55200000000002</v>
      </c>
      <c r="G24" s="11">
        <v>721.63199999999995</v>
      </c>
      <c r="H24" s="11">
        <v>663.84699999999998</v>
      </c>
      <c r="I24" s="11">
        <v>1282.0809999999999</v>
      </c>
      <c r="J24" s="11">
        <v>1323.1790000000001</v>
      </c>
      <c r="K24" s="11">
        <v>1783.4770000000001</v>
      </c>
      <c r="L24" s="11">
        <v>1877.7429999999999</v>
      </c>
    </row>
    <row r="25" spans="1:12" ht="15" customHeight="1" x14ac:dyDescent="0.3">
      <c r="A25" s="24" t="s">
        <v>205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" customHeight="1" outlineLevel="1" x14ac:dyDescent="0.3">
      <c r="A26" s="21" t="s">
        <v>63</v>
      </c>
      <c r="B26" s="28">
        <v>-252.59</v>
      </c>
      <c r="C26" s="28">
        <v>-257.41800000000001</v>
      </c>
      <c r="D26" s="28">
        <v>-258.84199999999998</v>
      </c>
      <c r="E26" s="28">
        <v>-216.77699999999999</v>
      </c>
      <c r="F26" s="28">
        <v>-287.39</v>
      </c>
      <c r="G26" s="28">
        <v>-333.91199999999998</v>
      </c>
      <c r="H26" s="28">
        <v>-373.35199999999998</v>
      </c>
      <c r="I26" s="28">
        <v>-442.47500000000002</v>
      </c>
      <c r="J26" s="28">
        <v>-479.16399999999999</v>
      </c>
      <c r="K26" s="28">
        <v>-560.73099999999999</v>
      </c>
      <c r="L26" s="28">
        <v>-576.32299999999998</v>
      </c>
    </row>
    <row r="27" spans="1:12" ht="15" customHeight="1" outlineLevel="2" x14ac:dyDescent="0.25">
      <c r="A27" s="10" t="s">
        <v>204</v>
      </c>
      <c r="B27" s="26">
        <v>-252.59</v>
      </c>
      <c r="C27" s="26">
        <v>-257.41800000000001</v>
      </c>
      <c r="D27" s="26">
        <v>-258.84199999999998</v>
      </c>
      <c r="E27" s="26">
        <v>-216.77699999999999</v>
      </c>
      <c r="F27" s="26">
        <v>-287.39</v>
      </c>
      <c r="G27" s="26">
        <v>-333.91199999999998</v>
      </c>
      <c r="H27" s="26">
        <v>-373.35199999999998</v>
      </c>
      <c r="I27" s="26">
        <v>-442.47500000000002</v>
      </c>
      <c r="J27" s="26">
        <v>-479.16399999999999</v>
      </c>
      <c r="K27" s="26">
        <v>-560.73099999999999</v>
      </c>
      <c r="L27" s="26">
        <v>-576.32299999999998</v>
      </c>
    </row>
    <row r="28" spans="1:12" ht="15" customHeight="1" outlineLevel="1" x14ac:dyDescent="0.25">
      <c r="A28" s="23" t="s">
        <v>203</v>
      </c>
      <c r="B28" s="25"/>
      <c r="C28" s="25"/>
      <c r="D28" s="25"/>
      <c r="E28" s="25"/>
      <c r="F28" s="25"/>
      <c r="G28" s="11">
        <v>0</v>
      </c>
      <c r="H28" s="11">
        <v>0</v>
      </c>
      <c r="I28" s="11">
        <v>4.0350000000000001</v>
      </c>
      <c r="J28" s="11">
        <v>0</v>
      </c>
      <c r="K28" s="11">
        <v>0</v>
      </c>
      <c r="L28" s="11">
        <v>0</v>
      </c>
    </row>
    <row r="29" spans="1:12" ht="15" customHeight="1" outlineLevel="1" x14ac:dyDescent="0.3">
      <c r="A29" s="14" t="s">
        <v>202</v>
      </c>
      <c r="B29" s="13">
        <v>-266.25400000000002</v>
      </c>
      <c r="C29" s="13">
        <v>-206.72200000000001</v>
      </c>
      <c r="D29" s="13">
        <v>585.64800000000002</v>
      </c>
      <c r="E29" s="13">
        <v>130.19900000000001</v>
      </c>
      <c r="F29" s="13">
        <v>-100.188</v>
      </c>
      <c r="G29" s="13">
        <v>41.938000000000002</v>
      </c>
      <c r="H29" s="13">
        <v>-59.365000000000002</v>
      </c>
      <c r="I29" s="13">
        <v>-83.602000000000004</v>
      </c>
      <c r="J29" s="13">
        <v>-350.86799999999999</v>
      </c>
      <c r="K29" s="13">
        <v>-385.27800000000002</v>
      </c>
      <c r="L29" s="13">
        <v>-379.24799999999999</v>
      </c>
    </row>
    <row r="30" spans="1:12" ht="15" customHeight="1" outlineLevel="2" x14ac:dyDescent="0.25">
      <c r="A30" s="12" t="s">
        <v>201</v>
      </c>
      <c r="B30" s="11">
        <v>521.00400000000002</v>
      </c>
      <c r="C30" s="11">
        <v>559.37199999999996</v>
      </c>
      <c r="D30" s="11">
        <v>0</v>
      </c>
      <c r="E30" s="11">
        <v>199.80099999999999</v>
      </c>
      <c r="F30" s="11">
        <v>485.18799999999999</v>
      </c>
      <c r="G30" s="11">
        <v>448.75400000000002</v>
      </c>
      <c r="H30" s="11">
        <v>478.44299999999998</v>
      </c>
      <c r="I30" s="11">
        <v>429.35</v>
      </c>
      <c r="J30" s="11">
        <v>614.41600000000005</v>
      </c>
      <c r="K30" s="11">
        <v>1115.1310000000001</v>
      </c>
      <c r="L30" s="11">
        <v>1262.9090000000001</v>
      </c>
    </row>
    <row r="31" spans="1:12" ht="15" customHeight="1" outlineLevel="2" x14ac:dyDescent="0.25">
      <c r="A31" s="10" t="s">
        <v>200</v>
      </c>
      <c r="B31" s="9">
        <v>254.75</v>
      </c>
      <c r="C31" s="9">
        <v>352.65</v>
      </c>
      <c r="D31" s="9">
        <v>585.64800000000002</v>
      </c>
      <c r="E31" s="9">
        <v>330</v>
      </c>
      <c r="F31" s="9">
        <v>385</v>
      </c>
      <c r="G31" s="9">
        <v>490.69200000000001</v>
      </c>
      <c r="H31" s="9">
        <v>419.07799999999997</v>
      </c>
      <c r="I31" s="9">
        <v>345.74799999999999</v>
      </c>
      <c r="J31" s="9">
        <v>263.548</v>
      </c>
      <c r="K31" s="9">
        <v>729.85299999999995</v>
      </c>
      <c r="L31" s="9">
        <v>883.66099999999994</v>
      </c>
    </row>
    <row r="32" spans="1:12" ht="15" customHeight="1" outlineLevel="1" x14ac:dyDescent="0.25">
      <c r="A32" s="23" t="s">
        <v>199</v>
      </c>
      <c r="B32" s="27">
        <v>-518.84400000000005</v>
      </c>
      <c r="C32" s="27">
        <v>-464.14</v>
      </c>
      <c r="D32" s="11">
        <v>326.80599999999998</v>
      </c>
      <c r="E32" s="27">
        <v>-86.578000000000003</v>
      </c>
      <c r="F32" s="27">
        <v>-387.57799999999997</v>
      </c>
      <c r="G32" s="27">
        <v>-291.97399999999999</v>
      </c>
      <c r="H32" s="27">
        <v>-432.71699999999998</v>
      </c>
      <c r="I32" s="27">
        <v>-522.04200000000003</v>
      </c>
      <c r="J32" s="27">
        <v>-830.03200000000004</v>
      </c>
      <c r="K32" s="27">
        <v>-946.00900000000001</v>
      </c>
      <c r="L32" s="27">
        <v>-955.57100000000003</v>
      </c>
    </row>
    <row r="33" spans="1:12" ht="15" customHeight="1" x14ac:dyDescent="0.3">
      <c r="A33" s="24" t="s">
        <v>198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" customHeight="1" outlineLevel="1" x14ac:dyDescent="0.3">
      <c r="A34" s="21" t="s">
        <v>197</v>
      </c>
      <c r="B34" s="28">
        <v>-88.337999999999994</v>
      </c>
      <c r="C34" s="28">
        <v>-460.67500000000001</v>
      </c>
      <c r="D34" s="28">
        <v>-837.65499999999997</v>
      </c>
      <c r="E34" s="28">
        <v>-285.92</v>
      </c>
      <c r="F34" s="28">
        <v>-160.93700000000001</v>
      </c>
      <c r="G34" s="28">
        <v>-201.03700000000001</v>
      </c>
      <c r="H34" s="28">
        <v>-102.956</v>
      </c>
      <c r="I34" s="28">
        <v>-546.33199999999999</v>
      </c>
      <c r="J34" s="28">
        <v>-929.11</v>
      </c>
      <c r="K34" s="28">
        <v>-661.495</v>
      </c>
      <c r="L34" s="28">
        <v>-544.63499999999999</v>
      </c>
    </row>
    <row r="35" spans="1:12" ht="15" customHeight="1" outlineLevel="2" x14ac:dyDescent="0.25">
      <c r="A35" s="10" t="s">
        <v>196</v>
      </c>
      <c r="B35" s="26">
        <v>-88.337999999999994</v>
      </c>
      <c r="C35" s="26">
        <v>-460.67500000000001</v>
      </c>
      <c r="D35" s="26">
        <v>-837.65499999999997</v>
      </c>
      <c r="E35" s="26">
        <v>-285.92</v>
      </c>
      <c r="F35" s="26">
        <v>-160.93700000000001</v>
      </c>
      <c r="G35" s="26">
        <v>-190.61699999999999</v>
      </c>
      <c r="H35" s="26">
        <v>-54.401000000000003</v>
      </c>
      <c r="I35" s="26">
        <v>-466.46199999999999</v>
      </c>
      <c r="J35" s="26">
        <v>-830.14</v>
      </c>
      <c r="K35" s="26">
        <v>-592.34900000000005</v>
      </c>
      <c r="L35" s="26">
        <v>-542.96299999999997</v>
      </c>
    </row>
    <row r="36" spans="1:12" ht="15" customHeight="1" outlineLevel="2" x14ac:dyDescent="0.3">
      <c r="A36" s="30" t="s">
        <v>195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-10.42</v>
      </c>
      <c r="H36" s="28">
        <v>-48.555</v>
      </c>
      <c r="I36" s="28">
        <v>-79.87</v>
      </c>
      <c r="J36" s="28">
        <v>-98.97</v>
      </c>
      <c r="K36" s="28">
        <v>-69.146000000000001</v>
      </c>
      <c r="L36" s="28">
        <v>-1.6719999999999999</v>
      </c>
    </row>
    <row r="37" spans="1:12" ht="15" customHeight="1" outlineLevel="3" x14ac:dyDescent="0.25">
      <c r="A37" s="29" t="s">
        <v>194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26">
        <v>-10.42</v>
      </c>
      <c r="H37" s="26">
        <v>-48.555</v>
      </c>
      <c r="I37" s="26">
        <v>-79.87</v>
      </c>
      <c r="J37" s="26">
        <v>-98.97</v>
      </c>
      <c r="K37" s="26">
        <v>-69.146000000000001</v>
      </c>
      <c r="L37" s="26">
        <v>-1.6719999999999999</v>
      </c>
    </row>
    <row r="38" spans="1:12" ht="15" customHeight="1" outlineLevel="1" x14ac:dyDescent="0.3">
      <c r="A38" s="21" t="s">
        <v>193</v>
      </c>
      <c r="B38" s="28">
        <v>21.600999999999999</v>
      </c>
      <c r="C38" s="28">
        <v>74.234999999999999</v>
      </c>
      <c r="D38" s="28">
        <v>1.3720000000000001</v>
      </c>
      <c r="E38" s="28">
        <v>2.5999999999999999E-2</v>
      </c>
      <c r="F38" s="28">
        <v>-5.5979999999999999</v>
      </c>
      <c r="G38" s="28">
        <v>-0.69799999999999995</v>
      </c>
      <c r="H38" s="28">
        <v>-1.895</v>
      </c>
      <c r="I38" s="28">
        <v>-2.274</v>
      </c>
      <c r="J38" s="28">
        <v>-0.29399999999999998</v>
      </c>
      <c r="K38" s="28">
        <v>0.84299999999999997</v>
      </c>
      <c r="L38" s="28">
        <v>-72.311999999999998</v>
      </c>
    </row>
    <row r="39" spans="1:12" ht="15" customHeight="1" outlineLevel="2" x14ac:dyDescent="0.25">
      <c r="A39" s="10" t="s">
        <v>192</v>
      </c>
      <c r="B39" s="26">
        <v>-6.6000000000000003E-2</v>
      </c>
      <c r="C39" s="26">
        <v>-0.20699999999999999</v>
      </c>
      <c r="D39" s="9">
        <v>0</v>
      </c>
      <c r="E39" s="9">
        <v>0</v>
      </c>
      <c r="F39" s="26">
        <v>-5.5979999999999999</v>
      </c>
      <c r="G39" s="26">
        <v>-0.69799999999999995</v>
      </c>
      <c r="H39" s="26">
        <v>-1.895</v>
      </c>
      <c r="I39" s="26">
        <v>-2.274</v>
      </c>
      <c r="J39" s="26">
        <v>-0.29399999999999998</v>
      </c>
      <c r="K39" s="9">
        <v>0</v>
      </c>
      <c r="L39" s="26">
        <v>-73.040000000000006</v>
      </c>
    </row>
    <row r="40" spans="1:12" ht="15" customHeight="1" outlineLevel="2" x14ac:dyDescent="0.25">
      <c r="A40" s="12" t="s">
        <v>191</v>
      </c>
      <c r="B40" s="11">
        <v>21.667000000000002</v>
      </c>
      <c r="C40" s="11">
        <v>74.441999999999993</v>
      </c>
      <c r="D40" s="11">
        <v>1.3720000000000001</v>
      </c>
      <c r="E40" s="11">
        <v>2.5999999999999999E-2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0.84299999999999997</v>
      </c>
      <c r="L40" s="11">
        <v>0.72799999999999998</v>
      </c>
    </row>
    <row r="41" spans="1:12" ht="15" customHeight="1" outlineLevel="1" x14ac:dyDescent="0.25">
      <c r="A41" s="18" t="s">
        <v>190</v>
      </c>
      <c r="B41" s="26">
        <v>-66.736999999999995</v>
      </c>
      <c r="C41" s="26">
        <v>-386.44</v>
      </c>
      <c r="D41" s="26">
        <v>-836.28300000000002</v>
      </c>
      <c r="E41" s="26">
        <v>-285.89400000000001</v>
      </c>
      <c r="F41" s="26">
        <v>-166.535</v>
      </c>
      <c r="G41" s="26">
        <v>-201.73500000000001</v>
      </c>
      <c r="H41" s="26">
        <v>-104.851</v>
      </c>
      <c r="I41" s="26">
        <v>-548.60599999999999</v>
      </c>
      <c r="J41" s="26">
        <v>-929.404</v>
      </c>
      <c r="K41" s="26">
        <v>-660.65200000000004</v>
      </c>
      <c r="L41" s="26">
        <v>-616.947</v>
      </c>
    </row>
    <row r="42" spans="1:12" ht="15" customHeight="1" x14ac:dyDescent="0.3">
      <c r="A42" s="15" t="s">
        <v>189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5" customHeight="1" outlineLevel="1" x14ac:dyDescent="0.25">
      <c r="A43" s="18" t="s">
        <v>188</v>
      </c>
      <c r="B43" s="26">
        <v>-0.224</v>
      </c>
      <c r="C43" s="26">
        <v>-4.1959999999999997</v>
      </c>
      <c r="D43" s="9">
        <v>0.11</v>
      </c>
      <c r="E43" s="9">
        <v>2.056</v>
      </c>
      <c r="F43" s="26">
        <v>-1.4570000000000001</v>
      </c>
      <c r="G43" s="9">
        <v>0.40600000000000003</v>
      </c>
      <c r="H43" s="9">
        <v>1.0760000000000001</v>
      </c>
      <c r="I43" s="26">
        <v>-1.0389999999999999</v>
      </c>
      <c r="J43" s="26">
        <v>-1.0069999999999999</v>
      </c>
      <c r="K43" s="9">
        <v>0.38100000000000001</v>
      </c>
      <c r="L43" s="26">
        <v>-1.0049999999999999</v>
      </c>
    </row>
    <row r="44" spans="1:12" ht="15" customHeight="1" outlineLevel="1" x14ac:dyDescent="0.25">
      <c r="A44" s="23" t="s">
        <v>187</v>
      </c>
      <c r="B44" s="11">
        <v>96.262</v>
      </c>
      <c r="C44" s="27">
        <v>-171.46</v>
      </c>
      <c r="D44" s="27">
        <v>-160.125</v>
      </c>
      <c r="E44" s="11">
        <v>96.688999999999993</v>
      </c>
      <c r="F44" s="11">
        <v>65.981999999999999</v>
      </c>
      <c r="G44" s="11">
        <v>228.32900000000001</v>
      </c>
      <c r="H44" s="11">
        <v>127.355</v>
      </c>
      <c r="I44" s="11">
        <v>210.39400000000001</v>
      </c>
      <c r="J44" s="27">
        <v>-437.26400000000001</v>
      </c>
      <c r="K44" s="11">
        <v>177.197</v>
      </c>
      <c r="L44" s="11">
        <v>304.22000000000003</v>
      </c>
    </row>
    <row r="45" spans="1:12" ht="15" customHeight="1" outlineLevel="1" x14ac:dyDescent="0.3">
      <c r="A45" s="14" t="s">
        <v>62</v>
      </c>
      <c r="B45" s="13">
        <v>429.47699999999998</v>
      </c>
      <c r="C45" s="13">
        <v>425.89800000000002</v>
      </c>
      <c r="D45" s="13">
        <v>90.4</v>
      </c>
      <c r="E45" s="13">
        <v>250.328</v>
      </c>
      <c r="F45" s="13">
        <v>334.16199999999998</v>
      </c>
      <c r="G45" s="13">
        <v>387.72</v>
      </c>
      <c r="H45" s="13">
        <v>290.495</v>
      </c>
      <c r="I45" s="13">
        <v>839.60599999999999</v>
      </c>
      <c r="J45" s="13">
        <v>844.01499999999999</v>
      </c>
      <c r="K45" s="13">
        <v>1222.7460000000001</v>
      </c>
      <c r="L45" s="13">
        <v>1301.42</v>
      </c>
    </row>
    <row r="46" spans="1:12" ht="15" customHeight="1" outlineLevel="2" x14ac:dyDescent="0.25">
      <c r="A46" s="12" t="s">
        <v>186</v>
      </c>
      <c r="B46" s="11">
        <v>0.27257999999999999</v>
      </c>
      <c r="C46" s="11">
        <v>0.27046300000000001</v>
      </c>
      <c r="D46" s="11">
        <v>6.0732000000000001E-2</v>
      </c>
      <c r="E46" s="11">
        <v>0.17529400000000001</v>
      </c>
      <c r="F46" s="11">
        <v>0.239012</v>
      </c>
      <c r="G46" s="11">
        <v>0.27405499999999999</v>
      </c>
      <c r="H46" s="11">
        <v>0.204459</v>
      </c>
      <c r="I46" s="11">
        <v>0.58896999999999999</v>
      </c>
      <c r="J46" s="11">
        <v>0.60153599999999996</v>
      </c>
      <c r="K46" s="11">
        <v>0.88253000000000004</v>
      </c>
      <c r="L46" s="11">
        <v>0.94202200000000003</v>
      </c>
    </row>
    <row r="47" spans="1:12" ht="15" customHeight="1" outlineLevel="2" x14ac:dyDescent="0.25">
      <c r="A47" s="10" t="s">
        <v>185</v>
      </c>
      <c r="B47" s="17">
        <v>1.9910589999999999</v>
      </c>
      <c r="C47" s="17">
        <v>2.818203</v>
      </c>
      <c r="D47" s="17">
        <v>0.80478499999999997</v>
      </c>
      <c r="E47" s="17">
        <v>3.0324460000000002</v>
      </c>
      <c r="F47" s="17">
        <v>2.7676820000000002</v>
      </c>
      <c r="G47" s="17">
        <v>1.636914</v>
      </c>
      <c r="H47" s="17">
        <v>0.73720799999999997</v>
      </c>
      <c r="I47" s="17">
        <v>1.684456</v>
      </c>
      <c r="J47" s="17">
        <v>2.167713</v>
      </c>
      <c r="K47" s="17">
        <v>1.929484</v>
      </c>
      <c r="L47" s="17">
        <v>1.5036259999999999</v>
      </c>
    </row>
    <row r="48" spans="1:12" ht="15" customHeight="1" x14ac:dyDescent="0.25">
      <c r="A48" s="8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7D0-D5EE-4DDD-A8BC-127E2C88A8CC}">
  <sheetPr>
    <outlinePr summaryBelow="0" summaryRight="0"/>
  </sheetPr>
  <dimension ref="A1:Q9"/>
  <sheetViews>
    <sheetView tabSelected="1" workbookViewId="0"/>
  </sheetViews>
  <sheetFormatPr defaultColWidth="9.1796875" defaultRowHeight="15" customHeight="1" x14ac:dyDescent="0.25"/>
  <cols>
    <col min="1" max="1" width="23.6328125" style="7" customWidth="1"/>
    <col min="2" max="11" width="7.6328125" style="7" customWidth="1"/>
    <col min="12" max="17" width="8.81640625" style="7" customWidth="1"/>
    <col min="18" max="16384" width="9.1796875" style="7"/>
  </cols>
  <sheetData>
    <row r="1" spans="1:17" ht="15" customHeight="1" x14ac:dyDescent="0.3">
      <c r="A1" s="36" t="s">
        <v>97</v>
      </c>
    </row>
    <row r="2" spans="1:17" ht="15" customHeight="1" x14ac:dyDescent="0.25">
      <c r="A2" s="7" t="s">
        <v>96</v>
      </c>
    </row>
    <row r="3" spans="1:17" ht="15" customHeight="1" x14ac:dyDescent="0.3">
      <c r="A3" s="33"/>
      <c r="B3" s="33" t="s">
        <v>95</v>
      </c>
      <c r="C3" s="33" t="s">
        <v>94</v>
      </c>
      <c r="D3" s="33" t="s">
        <v>93</v>
      </c>
      <c r="E3" s="33" t="s">
        <v>92</v>
      </c>
      <c r="F3" s="33" t="s">
        <v>91</v>
      </c>
      <c r="G3" s="33" t="s">
        <v>90</v>
      </c>
      <c r="H3" s="33" t="s">
        <v>89</v>
      </c>
      <c r="I3" s="33" t="s">
        <v>88</v>
      </c>
      <c r="J3" s="33" t="s">
        <v>87</v>
      </c>
      <c r="K3" s="33" t="s">
        <v>86</v>
      </c>
      <c r="L3" s="33" t="s">
        <v>85</v>
      </c>
      <c r="M3" s="33" t="s">
        <v>84</v>
      </c>
      <c r="N3" s="33" t="s">
        <v>83</v>
      </c>
      <c r="O3" s="33" t="s">
        <v>82</v>
      </c>
      <c r="P3" s="33" t="s">
        <v>81</v>
      </c>
      <c r="Q3" s="33" t="s">
        <v>80</v>
      </c>
    </row>
    <row r="4" spans="1:17" ht="15" customHeight="1" x14ac:dyDescent="0.3">
      <c r="A4" s="33"/>
      <c r="B4" s="33" t="s">
        <v>79</v>
      </c>
      <c r="C4" s="33" t="s">
        <v>78</v>
      </c>
      <c r="D4" s="33" t="s">
        <v>77</v>
      </c>
      <c r="E4" s="33" t="s">
        <v>76</v>
      </c>
      <c r="F4" s="33" t="s">
        <v>75</v>
      </c>
      <c r="G4" s="33" t="s">
        <v>74</v>
      </c>
      <c r="H4" s="33" t="s">
        <v>73</v>
      </c>
      <c r="I4" s="33" t="s">
        <v>72</v>
      </c>
      <c r="J4" s="33" t="s">
        <v>71</v>
      </c>
      <c r="K4" s="33" t="s">
        <v>70</v>
      </c>
      <c r="L4" s="33" t="s">
        <v>69</v>
      </c>
      <c r="M4" s="33" t="s">
        <v>68</v>
      </c>
      <c r="N4" s="33" t="s">
        <v>67</v>
      </c>
      <c r="O4" s="33" t="s">
        <v>66</v>
      </c>
      <c r="P4" s="33" t="s">
        <v>65</v>
      </c>
      <c r="Q4" s="33" t="s">
        <v>64</v>
      </c>
    </row>
    <row r="5" spans="1:17" ht="15" customHeight="1" x14ac:dyDescent="0.25">
      <c r="A5" s="16" t="s">
        <v>63</v>
      </c>
      <c r="B5" s="40">
        <v>252.6</v>
      </c>
      <c r="C5" s="40">
        <v>257.39999999999998</v>
      </c>
      <c r="D5" s="40">
        <v>258.84199999999998</v>
      </c>
      <c r="E5" s="40">
        <v>216.9</v>
      </c>
      <c r="F5" s="40">
        <v>287</v>
      </c>
      <c r="G5" s="40">
        <v>333.91199999999998</v>
      </c>
      <c r="H5" s="40">
        <v>373</v>
      </c>
      <c r="I5" s="40">
        <v>442</v>
      </c>
      <c r="J5" s="40">
        <v>479</v>
      </c>
      <c r="K5" s="40">
        <v>560.73099999999999</v>
      </c>
      <c r="L5" s="40">
        <v>645.98299999999995</v>
      </c>
      <c r="M5" s="40">
        <v>695.29300000000001</v>
      </c>
      <c r="N5" s="40">
        <v>792.01900000000001</v>
      </c>
      <c r="O5" s="40">
        <v>780</v>
      </c>
      <c r="P5" s="40">
        <v>760</v>
      </c>
      <c r="Q5" s="16" t="s">
        <v>58</v>
      </c>
    </row>
    <row r="6" spans="1:17" ht="15" customHeight="1" x14ac:dyDescent="0.25">
      <c r="A6" s="25" t="s">
        <v>62</v>
      </c>
      <c r="B6" s="39">
        <v>429</v>
      </c>
      <c r="C6" s="39">
        <v>425.899</v>
      </c>
      <c r="D6" s="39">
        <v>90.4</v>
      </c>
      <c r="E6" s="39">
        <v>250.16399999999999</v>
      </c>
      <c r="F6" s="39">
        <v>334</v>
      </c>
      <c r="G6" s="39">
        <v>387.86</v>
      </c>
      <c r="H6" s="39">
        <v>290.49700000000001</v>
      </c>
      <c r="I6" s="39">
        <v>840</v>
      </c>
      <c r="J6" s="39">
        <v>844.00800000000004</v>
      </c>
      <c r="K6" s="39">
        <v>1222.8</v>
      </c>
      <c r="L6" s="39">
        <v>1504.56</v>
      </c>
      <c r="M6" s="39">
        <v>1703.41</v>
      </c>
      <c r="N6" s="39">
        <v>1801.48</v>
      </c>
      <c r="O6" s="25" t="s">
        <v>58</v>
      </c>
      <c r="P6" s="25" t="s">
        <v>58</v>
      </c>
      <c r="Q6" s="25" t="s">
        <v>58</v>
      </c>
    </row>
    <row r="7" spans="1:17" ht="15" customHeight="1" x14ac:dyDescent="0.25">
      <c r="A7" s="16" t="s">
        <v>61</v>
      </c>
      <c r="B7" s="40">
        <v>682.06799999999998</v>
      </c>
      <c r="C7" s="40">
        <v>683.3</v>
      </c>
      <c r="D7" s="40">
        <v>349.1</v>
      </c>
      <c r="E7" s="40">
        <v>467.05200000000002</v>
      </c>
      <c r="F7" s="40">
        <v>622</v>
      </c>
      <c r="G7" s="40">
        <v>721.63199999999995</v>
      </c>
      <c r="H7" s="40">
        <v>664</v>
      </c>
      <c r="I7" s="40">
        <v>1282</v>
      </c>
      <c r="J7" s="40">
        <v>1323</v>
      </c>
      <c r="K7" s="40">
        <v>1783</v>
      </c>
      <c r="L7" s="40">
        <v>2078.5300000000002</v>
      </c>
      <c r="M7" s="40">
        <v>2335.8200000000002</v>
      </c>
      <c r="N7" s="40">
        <v>2545.23</v>
      </c>
      <c r="O7" s="40">
        <v>2815</v>
      </c>
      <c r="P7" s="40">
        <v>3213</v>
      </c>
      <c r="Q7" s="16" t="s">
        <v>58</v>
      </c>
    </row>
    <row r="8" spans="1:17" ht="15" customHeight="1" x14ac:dyDescent="0.25">
      <c r="A8" s="25" t="s">
        <v>60</v>
      </c>
      <c r="B8" s="38">
        <v>-518.822</v>
      </c>
      <c r="C8" s="38">
        <v>-464.1</v>
      </c>
      <c r="D8" s="39">
        <v>326.80599999999998</v>
      </c>
      <c r="E8" s="38">
        <v>-86.789000000000001</v>
      </c>
      <c r="F8" s="38">
        <v>-387.78899999999999</v>
      </c>
      <c r="G8" s="38">
        <v>-291.98700000000002</v>
      </c>
      <c r="H8" s="38">
        <v>-432.71699999999998</v>
      </c>
      <c r="I8" s="38">
        <v>-522.04200000000003</v>
      </c>
      <c r="J8" s="38">
        <v>-830.03200000000004</v>
      </c>
      <c r="K8" s="38">
        <v>-946.00900000000001</v>
      </c>
      <c r="L8" s="38">
        <v>-665.13</v>
      </c>
      <c r="M8" s="38">
        <v>-490.55500000000001</v>
      </c>
      <c r="N8" s="38">
        <v>-471.25</v>
      </c>
      <c r="O8" s="38">
        <v>-1016</v>
      </c>
      <c r="P8" s="38">
        <v>-1093</v>
      </c>
      <c r="Q8" s="25" t="s">
        <v>58</v>
      </c>
    </row>
    <row r="9" spans="1:17" ht="15" customHeight="1" x14ac:dyDescent="0.25">
      <c r="A9" s="16" t="s">
        <v>59</v>
      </c>
      <c r="B9" s="37">
        <v>-66.718500000000006</v>
      </c>
      <c r="C9" s="37">
        <v>-386.4</v>
      </c>
      <c r="D9" s="37">
        <v>-836.28300000000002</v>
      </c>
      <c r="E9" s="37">
        <v>-285.947</v>
      </c>
      <c r="F9" s="37">
        <v>-166.768</v>
      </c>
      <c r="G9" s="37">
        <v>-201.73500000000001</v>
      </c>
      <c r="H9" s="37">
        <v>-104.876</v>
      </c>
      <c r="I9" s="37">
        <v>-548.60599999999999</v>
      </c>
      <c r="J9" s="37">
        <v>-929.404</v>
      </c>
      <c r="K9" s="37">
        <v>-660.7</v>
      </c>
      <c r="L9" s="37">
        <v>-762.40300000000002</v>
      </c>
      <c r="M9" s="37">
        <v>-1092</v>
      </c>
      <c r="N9" s="37">
        <v>-1406</v>
      </c>
      <c r="O9" s="37">
        <v>-1516</v>
      </c>
      <c r="P9" s="37">
        <v>-1515</v>
      </c>
      <c r="Q9" s="1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DCF</vt:lpstr>
      <vt:lpstr>WACC</vt:lpstr>
      <vt:lpstr>Shares</vt:lpstr>
      <vt:lpstr>IS - Historicals</vt:lpstr>
      <vt:lpstr>IS - Forecast</vt:lpstr>
      <vt:lpstr>CFS - Historicals</vt:lpstr>
      <vt:lpstr>CFS - Forecast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Andrew Wolz</cp:lastModifiedBy>
  <dcterms:created xsi:type="dcterms:W3CDTF">2024-07-27T19:38:58Z</dcterms:created>
  <dcterms:modified xsi:type="dcterms:W3CDTF">2025-06-19T02:28:22Z</dcterms:modified>
</cp:coreProperties>
</file>