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2ce01b99ac21e8/GitHub/Investment Banking Technicals/"/>
    </mc:Choice>
  </mc:AlternateContent>
  <xr:revisionPtr revIDLastSave="66" documentId="8_{967CD23C-5E42-4CBF-B5E4-E01B9F8538F1}" xr6:coauthVersionLast="47" xr6:coauthVersionMax="47" xr10:uidLastSave="{D31DCCEF-4E60-481C-849C-29EFAED1CB6E}"/>
  <bookViews>
    <workbookView xWindow="-110" yWindow="-110" windowWidth="25180" windowHeight="16140" xr2:uid="{A469845D-959C-4A7C-80E1-18863DB1EFCC}"/>
  </bookViews>
  <sheets>
    <sheet name="LBO" sheetId="6" r:id="rId1"/>
    <sheet name="Shares" sheetId="3" r:id="rId2"/>
  </sheets>
  <externalReferences>
    <externalReference r:id="rId3"/>
  </externalReferences>
  <definedNames>
    <definedName name="CASE">LBO!$E$7</definedName>
    <definedName name="CIRC">LBO!$E$6</definedName>
    <definedName name="PIK">LBO!$E$8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9" i="6" l="1"/>
  <c r="N340" i="6" s="1"/>
  <c r="N337" i="6"/>
  <c r="N336" i="6"/>
  <c r="R335" i="6"/>
  <c r="S335" i="6" s="1"/>
  <c r="P335" i="6"/>
  <c r="O335" i="6" s="1"/>
  <c r="G328" i="6"/>
  <c r="J324" i="6"/>
  <c r="B323" i="6"/>
  <c r="G321" i="6"/>
  <c r="K321" i="6" s="1"/>
  <c r="B321" i="6"/>
  <c r="K320" i="6"/>
  <c r="G320" i="6"/>
  <c r="B320" i="6"/>
  <c r="K319" i="6"/>
  <c r="G319" i="6"/>
  <c r="B319" i="6"/>
  <c r="B316" i="6"/>
  <c r="G315" i="6"/>
  <c r="B315" i="6"/>
  <c r="K314" i="6"/>
  <c r="G314" i="6"/>
  <c r="B314" i="6"/>
  <c r="G313" i="6"/>
  <c r="K313" i="6" s="1"/>
  <c r="B313" i="6"/>
  <c r="G312" i="6"/>
  <c r="K312" i="6" s="1"/>
  <c r="B312" i="6"/>
  <c r="G311" i="6"/>
  <c r="K300" i="6"/>
  <c r="K299" i="6"/>
  <c r="K292" i="6"/>
  <c r="J292" i="6"/>
  <c r="I292" i="6"/>
  <c r="H292" i="6"/>
  <c r="G292" i="6"/>
  <c r="K291" i="6"/>
  <c r="B291" i="6"/>
  <c r="K289" i="6"/>
  <c r="J289" i="6"/>
  <c r="I289" i="6"/>
  <c r="H289" i="6"/>
  <c r="G289" i="6"/>
  <c r="B288" i="6"/>
  <c r="K286" i="6"/>
  <c r="J286" i="6"/>
  <c r="I286" i="6"/>
  <c r="H286" i="6"/>
  <c r="G286" i="6"/>
  <c r="B285" i="6"/>
  <c r="K283" i="6"/>
  <c r="J283" i="6"/>
  <c r="I283" i="6"/>
  <c r="H283" i="6"/>
  <c r="G283" i="6"/>
  <c r="B282" i="6"/>
  <c r="K280" i="6"/>
  <c r="J280" i="6"/>
  <c r="I280" i="6"/>
  <c r="H280" i="6"/>
  <c r="G280" i="6"/>
  <c r="B279" i="6"/>
  <c r="K277" i="6"/>
  <c r="J277" i="6"/>
  <c r="I277" i="6"/>
  <c r="H277" i="6"/>
  <c r="G277" i="6"/>
  <c r="B276" i="6"/>
  <c r="F273" i="6"/>
  <c r="F274" i="6" s="1"/>
  <c r="G274" i="6" s="1"/>
  <c r="H274" i="6" s="1"/>
  <c r="I274" i="6" s="1"/>
  <c r="J274" i="6" s="1"/>
  <c r="K274" i="6" s="1"/>
  <c r="E272" i="6"/>
  <c r="F272" i="6" s="1"/>
  <c r="G272" i="6" s="1"/>
  <c r="H272" i="6" s="1"/>
  <c r="I272" i="6" s="1"/>
  <c r="J272" i="6" s="1"/>
  <c r="K272" i="6" s="1"/>
  <c r="F258" i="6"/>
  <c r="G256" i="6" s="1"/>
  <c r="G258" i="6" s="1"/>
  <c r="G259" i="6" s="1"/>
  <c r="G186" i="6" s="1"/>
  <c r="K257" i="6"/>
  <c r="J257" i="6"/>
  <c r="I257" i="6"/>
  <c r="H257" i="6"/>
  <c r="G257" i="6"/>
  <c r="B255" i="6"/>
  <c r="F251" i="6"/>
  <c r="K250" i="6"/>
  <c r="J250" i="6"/>
  <c r="J291" i="6" s="1"/>
  <c r="I250" i="6"/>
  <c r="I291" i="6" s="1"/>
  <c r="H250" i="6"/>
  <c r="H291" i="6" s="1"/>
  <c r="G250" i="6"/>
  <c r="G291" i="6" s="1"/>
  <c r="G248" i="6"/>
  <c r="G249" i="6" s="1"/>
  <c r="B247" i="6"/>
  <c r="F242" i="6"/>
  <c r="G239" i="6"/>
  <c r="F233" i="6"/>
  <c r="G231" i="6"/>
  <c r="G230" i="6"/>
  <c r="F224" i="6"/>
  <c r="G221" i="6"/>
  <c r="K217" i="6"/>
  <c r="J217" i="6"/>
  <c r="I217" i="6"/>
  <c r="H217" i="6"/>
  <c r="B207" i="6"/>
  <c r="F205" i="6"/>
  <c r="H201" i="6"/>
  <c r="I201" i="6" s="1"/>
  <c r="J201" i="6" s="1"/>
  <c r="K201" i="6" s="1"/>
  <c r="F201" i="6"/>
  <c r="G201" i="6" s="1"/>
  <c r="E201" i="6"/>
  <c r="B195" i="6"/>
  <c r="K178" i="6"/>
  <c r="J178" i="6"/>
  <c r="I178" i="6"/>
  <c r="H178" i="6"/>
  <c r="G178" i="6"/>
  <c r="I175" i="6"/>
  <c r="H175" i="6"/>
  <c r="J172" i="6"/>
  <c r="K172" i="6" s="1"/>
  <c r="E172" i="6"/>
  <c r="F172" i="6" s="1"/>
  <c r="G172" i="6" s="1"/>
  <c r="H172" i="6" s="1"/>
  <c r="I172" i="6" s="1"/>
  <c r="F169" i="6"/>
  <c r="E169" i="6"/>
  <c r="D169" i="6"/>
  <c r="J167" i="6"/>
  <c r="I167" i="6"/>
  <c r="K166" i="6"/>
  <c r="K167" i="6" s="1"/>
  <c r="J166" i="6"/>
  <c r="I166" i="6"/>
  <c r="H166" i="6"/>
  <c r="H167" i="6" s="1"/>
  <c r="G166" i="6"/>
  <c r="F161" i="6"/>
  <c r="K160" i="6"/>
  <c r="K161" i="6" s="1"/>
  <c r="J160" i="6"/>
  <c r="J161" i="6" s="1"/>
  <c r="I160" i="6"/>
  <c r="I161" i="6" s="1"/>
  <c r="H160" i="6"/>
  <c r="H161" i="6" s="1"/>
  <c r="F160" i="6"/>
  <c r="E160" i="6"/>
  <c r="E98" i="6" s="1"/>
  <c r="F158" i="6"/>
  <c r="G158" i="6" s="1"/>
  <c r="H158" i="6" s="1"/>
  <c r="I158" i="6" s="1"/>
  <c r="J158" i="6" s="1"/>
  <c r="K158" i="6" s="1"/>
  <c r="E158" i="6"/>
  <c r="D158" i="6"/>
  <c r="F156" i="6"/>
  <c r="E156" i="6"/>
  <c r="D156" i="6"/>
  <c r="G151" i="6"/>
  <c r="F151" i="6"/>
  <c r="F152" i="6" s="1"/>
  <c r="E151" i="6"/>
  <c r="E152" i="6" s="1"/>
  <c r="D151" i="6"/>
  <c r="F147" i="6"/>
  <c r="F145" i="6" s="1"/>
  <c r="F146" i="6"/>
  <c r="G145" i="6"/>
  <c r="F140" i="6"/>
  <c r="F142" i="6" s="1"/>
  <c r="E140" i="6"/>
  <c r="E142" i="6" s="1"/>
  <c r="D140" i="6"/>
  <c r="D160" i="6" s="1"/>
  <c r="D161" i="6" s="1"/>
  <c r="F138" i="6"/>
  <c r="F170" i="6" s="1"/>
  <c r="E138" i="6"/>
  <c r="E170" i="6" s="1"/>
  <c r="D138" i="6"/>
  <c r="G138" i="6" s="1"/>
  <c r="E135" i="6"/>
  <c r="F135" i="6" s="1"/>
  <c r="G135" i="6" s="1"/>
  <c r="H135" i="6" s="1"/>
  <c r="I135" i="6" s="1"/>
  <c r="J135" i="6" s="1"/>
  <c r="K135" i="6" s="1"/>
  <c r="F127" i="6"/>
  <c r="G127" i="6" s="1"/>
  <c r="E127" i="6"/>
  <c r="D127" i="6"/>
  <c r="H124" i="6"/>
  <c r="I124" i="6" s="1"/>
  <c r="G124" i="6"/>
  <c r="F124" i="6"/>
  <c r="E124" i="6"/>
  <c r="D124" i="6"/>
  <c r="G123" i="6"/>
  <c r="F121" i="6"/>
  <c r="G121" i="6" s="1"/>
  <c r="E121" i="6"/>
  <c r="D121" i="6"/>
  <c r="F117" i="6"/>
  <c r="F118" i="6" s="1"/>
  <c r="E117" i="6"/>
  <c r="E118" i="6" s="1"/>
  <c r="D117" i="6"/>
  <c r="D118" i="6" s="1"/>
  <c r="G118" i="6" s="1"/>
  <c r="I115" i="6"/>
  <c r="J115" i="6" s="1"/>
  <c r="G115" i="6"/>
  <c r="H115" i="6" s="1"/>
  <c r="H114" i="6" s="1"/>
  <c r="F115" i="6"/>
  <c r="E115" i="6"/>
  <c r="D115" i="6"/>
  <c r="I114" i="6"/>
  <c r="G114" i="6"/>
  <c r="G112" i="6"/>
  <c r="H112" i="6" s="1"/>
  <c r="I112" i="6" s="1"/>
  <c r="J112" i="6" s="1"/>
  <c r="K112" i="6" s="1"/>
  <c r="F112" i="6"/>
  <c r="E112" i="6"/>
  <c r="K110" i="6"/>
  <c r="J110" i="6"/>
  <c r="I110" i="6"/>
  <c r="H110" i="6"/>
  <c r="G110" i="6"/>
  <c r="D104" i="6"/>
  <c r="K103" i="6"/>
  <c r="K104" i="6" s="1"/>
  <c r="J103" i="6"/>
  <c r="J104" i="6" s="1"/>
  <c r="I103" i="6"/>
  <c r="I104" i="6" s="1"/>
  <c r="H103" i="6"/>
  <c r="H104" i="6" s="1"/>
  <c r="G103" i="6"/>
  <c r="G104" i="6" s="1"/>
  <c r="E99" i="6"/>
  <c r="F98" i="6"/>
  <c r="D98" i="6"/>
  <c r="K82" i="6"/>
  <c r="J82" i="6"/>
  <c r="I82" i="6"/>
  <c r="H82" i="6"/>
  <c r="G82" i="6"/>
  <c r="K75" i="6"/>
  <c r="K76" i="6" s="1"/>
  <c r="J75" i="6"/>
  <c r="I75" i="6"/>
  <c r="I76" i="6" s="1"/>
  <c r="H75" i="6"/>
  <c r="H76" i="6" s="1"/>
  <c r="G75" i="6"/>
  <c r="D75" i="6"/>
  <c r="D97" i="6" s="1"/>
  <c r="D100" i="6" s="1"/>
  <c r="D101" i="6" s="1"/>
  <c r="K73" i="6"/>
  <c r="J73" i="6"/>
  <c r="I73" i="6"/>
  <c r="H73" i="6"/>
  <c r="G73" i="6"/>
  <c r="K72" i="6"/>
  <c r="J72" i="6"/>
  <c r="I72" i="6"/>
  <c r="H72" i="6"/>
  <c r="G72" i="6"/>
  <c r="K70" i="6"/>
  <c r="J70" i="6"/>
  <c r="I70" i="6"/>
  <c r="H70" i="6"/>
  <c r="G70" i="6"/>
  <c r="K69" i="6"/>
  <c r="J69" i="6"/>
  <c r="I69" i="6"/>
  <c r="H69" i="6"/>
  <c r="G69" i="6"/>
  <c r="F69" i="6"/>
  <c r="F75" i="6" s="1"/>
  <c r="E69" i="6"/>
  <c r="E75" i="6" s="1"/>
  <c r="D69" i="6"/>
  <c r="K67" i="6"/>
  <c r="J67" i="6"/>
  <c r="I67" i="6"/>
  <c r="H67" i="6"/>
  <c r="G67" i="6"/>
  <c r="F67" i="6"/>
  <c r="E67" i="6"/>
  <c r="D67" i="6"/>
  <c r="K66" i="6"/>
  <c r="J66" i="6"/>
  <c r="I66" i="6"/>
  <c r="H66" i="6"/>
  <c r="G66" i="6"/>
  <c r="K64" i="6"/>
  <c r="F64" i="6"/>
  <c r="D64" i="6"/>
  <c r="F61" i="6"/>
  <c r="G61" i="6" s="1"/>
  <c r="H61" i="6" s="1"/>
  <c r="I61" i="6" s="1"/>
  <c r="J61" i="6" s="1"/>
  <c r="K61" i="6" s="1"/>
  <c r="E61" i="6"/>
  <c r="F58" i="6"/>
  <c r="F73" i="6" s="1"/>
  <c r="E58" i="6"/>
  <c r="E73" i="6" s="1"/>
  <c r="D58" i="6"/>
  <c r="D73" i="6" s="1"/>
  <c r="E57" i="6"/>
  <c r="E70" i="6" s="1"/>
  <c r="D57" i="6"/>
  <c r="D70" i="6" s="1"/>
  <c r="K56" i="6"/>
  <c r="J56" i="6"/>
  <c r="J64" i="6" s="1"/>
  <c r="I56" i="6"/>
  <c r="I64" i="6" s="1"/>
  <c r="H56" i="6"/>
  <c r="H64" i="6" s="1"/>
  <c r="G56" i="6"/>
  <c r="G64" i="6" s="1"/>
  <c r="F56" i="6"/>
  <c r="E56" i="6"/>
  <c r="E64" i="6" s="1"/>
  <c r="E54" i="6"/>
  <c r="F54" i="6" s="1"/>
  <c r="G54" i="6" s="1"/>
  <c r="H54" i="6" s="1"/>
  <c r="I54" i="6" s="1"/>
  <c r="J54" i="6" s="1"/>
  <c r="K54" i="6" s="1"/>
  <c r="D47" i="6"/>
  <c r="D46" i="6"/>
  <c r="I326" i="6" s="1"/>
  <c r="D45" i="6"/>
  <c r="D44" i="6"/>
  <c r="B44" i="6"/>
  <c r="B238" i="6" s="1"/>
  <c r="D43" i="6"/>
  <c r="B43" i="6"/>
  <c r="B229" i="6" s="1"/>
  <c r="I42" i="6"/>
  <c r="D42" i="6"/>
  <c r="B42" i="6"/>
  <c r="B220" i="6" s="1"/>
  <c r="D41" i="6"/>
  <c r="B41" i="6"/>
  <c r="E35" i="6"/>
  <c r="K33" i="6"/>
  <c r="I33" i="6"/>
  <c r="I32" i="6"/>
  <c r="K32" i="6" s="1"/>
  <c r="I31" i="6"/>
  <c r="K31" i="6" s="1"/>
  <c r="K30" i="6"/>
  <c r="I30" i="6"/>
  <c r="I29" i="6"/>
  <c r="K29" i="6" s="1"/>
  <c r="I28" i="6"/>
  <c r="I35" i="6" s="1"/>
  <c r="E23" i="6"/>
  <c r="E21" i="6"/>
  <c r="G322" i="6" s="1"/>
  <c r="K20" i="6"/>
  <c r="K19" i="6"/>
  <c r="K17" i="6"/>
  <c r="K16" i="6" s="1"/>
  <c r="K14" i="6"/>
  <c r="F8" i="6"/>
  <c r="F7" i="6"/>
  <c r="F97" i="6" l="1"/>
  <c r="F100" i="6" s="1"/>
  <c r="F87" i="6"/>
  <c r="F76" i="6"/>
  <c r="E97" i="6"/>
  <c r="E100" i="6" s="1"/>
  <c r="E87" i="6"/>
  <c r="E76" i="6"/>
  <c r="K115" i="6"/>
  <c r="K114" i="6" s="1"/>
  <c r="J114" i="6"/>
  <c r="F264" i="6"/>
  <c r="G262" i="6" s="1"/>
  <c r="I44" i="6"/>
  <c r="J327" i="6"/>
  <c r="K22" i="6"/>
  <c r="H327" i="6"/>
  <c r="I41" i="6"/>
  <c r="J76" i="6"/>
  <c r="H256" i="6"/>
  <c r="H258" i="6" s="1"/>
  <c r="H322" i="6"/>
  <c r="H324" i="6" s="1"/>
  <c r="D103" i="6"/>
  <c r="G137" i="6"/>
  <c r="G170" i="6"/>
  <c r="G316" i="6"/>
  <c r="G156" i="6"/>
  <c r="G323" i="6"/>
  <c r="K323" i="6" s="1"/>
  <c r="J124" i="6"/>
  <c r="I123" i="6"/>
  <c r="G317" i="6"/>
  <c r="D76" i="6"/>
  <c r="H123" i="6"/>
  <c r="K28" i="6"/>
  <c r="K35" i="6" s="1"/>
  <c r="F57" i="6"/>
  <c r="D87" i="6"/>
  <c r="E161" i="6"/>
  <c r="G222" i="6"/>
  <c r="G185" i="6" s="1"/>
  <c r="H118" i="6"/>
  <c r="G117" i="6"/>
  <c r="G129" i="6" s="1"/>
  <c r="H121" i="6"/>
  <c r="G120" i="6"/>
  <c r="K209" i="6"/>
  <c r="J209" i="6"/>
  <c r="I209" i="6"/>
  <c r="G203" i="6"/>
  <c r="H209" i="6"/>
  <c r="G209" i="6"/>
  <c r="G58" i="6"/>
  <c r="H58" i="6" s="1"/>
  <c r="I58" i="6" s="1"/>
  <c r="J58" i="6" s="1"/>
  <c r="K58" i="6" s="1"/>
  <c r="H127" i="6"/>
  <c r="G126" i="6"/>
  <c r="H138" i="6"/>
  <c r="G177" i="6"/>
  <c r="K326" i="6"/>
  <c r="G167" i="6"/>
  <c r="G160" i="6"/>
  <c r="I322" i="6"/>
  <c r="G76" i="6"/>
  <c r="F216" i="6"/>
  <c r="G251" i="6"/>
  <c r="K301" i="6"/>
  <c r="D129" i="6"/>
  <c r="D130" i="6" s="1"/>
  <c r="J175" i="6"/>
  <c r="E129" i="6"/>
  <c r="D170" i="6"/>
  <c r="K175" i="6"/>
  <c r="G240" i="6"/>
  <c r="F129" i="6"/>
  <c r="D141" i="6"/>
  <c r="D142" i="6"/>
  <c r="G142" i="6" s="1"/>
  <c r="E141" i="6"/>
  <c r="F141" i="6"/>
  <c r="G130" i="6" l="1"/>
  <c r="G132" i="6"/>
  <c r="G140" i="6"/>
  <c r="H142" i="6"/>
  <c r="I324" i="6"/>
  <c r="E101" i="6"/>
  <c r="E104" i="6" s="1"/>
  <c r="E103" i="6"/>
  <c r="I121" i="6"/>
  <c r="H120" i="6"/>
  <c r="F269" i="6"/>
  <c r="G214" i="6"/>
  <c r="G169" i="6"/>
  <c r="G181" i="6" s="1"/>
  <c r="G146" i="6"/>
  <c r="G324" i="6"/>
  <c r="K324" i="6" s="1"/>
  <c r="H248" i="6"/>
  <c r="G288" i="6"/>
  <c r="H170" i="6"/>
  <c r="I138" i="6"/>
  <c r="H137" i="6"/>
  <c r="H117" i="6"/>
  <c r="I118" i="6"/>
  <c r="G263" i="6"/>
  <c r="G264" i="6" s="1"/>
  <c r="H262" i="6" s="1"/>
  <c r="H156" i="6"/>
  <c r="H177" i="6"/>
  <c r="K322" i="6"/>
  <c r="E130" i="6"/>
  <c r="E132" i="6"/>
  <c r="E133" i="6" s="1"/>
  <c r="K124" i="6"/>
  <c r="K123" i="6" s="1"/>
  <c r="J123" i="6"/>
  <c r="E88" i="6"/>
  <c r="E59" i="6"/>
  <c r="E91" i="6" s="1"/>
  <c r="E93" i="6"/>
  <c r="E94" i="6" s="1"/>
  <c r="G141" i="6"/>
  <c r="H141" i="6" s="1"/>
  <c r="I141" i="6" s="1"/>
  <c r="J141" i="6" s="1"/>
  <c r="K141" i="6" s="1"/>
  <c r="D93" i="6"/>
  <c r="D94" i="6" s="1"/>
  <c r="D88" i="6"/>
  <c r="D59" i="6"/>
  <c r="D91" i="6" s="1"/>
  <c r="G175" i="6"/>
  <c r="G161" i="6"/>
  <c r="G208" i="6"/>
  <c r="G210" i="6" s="1"/>
  <c r="H259" i="6"/>
  <c r="H186" i="6" s="1"/>
  <c r="I256" i="6"/>
  <c r="I258" i="6" s="1"/>
  <c r="I50" i="6"/>
  <c r="J41" i="6"/>
  <c r="F88" i="6"/>
  <c r="F59" i="6"/>
  <c r="F93" i="6"/>
  <c r="F94" i="6" s="1"/>
  <c r="J316" i="6"/>
  <c r="J317" i="6" s="1"/>
  <c r="J328" i="6"/>
  <c r="F130" i="6"/>
  <c r="F132" i="6"/>
  <c r="F133" i="6" s="1"/>
  <c r="F70" i="6"/>
  <c r="G57" i="6"/>
  <c r="H57" i="6" s="1"/>
  <c r="I57" i="6" s="1"/>
  <c r="J57" i="6" s="1"/>
  <c r="K57" i="6" s="1"/>
  <c r="H315" i="6"/>
  <c r="K315" i="6" s="1"/>
  <c r="I127" i="6"/>
  <c r="H126" i="6"/>
  <c r="H328" i="6"/>
  <c r="H311" i="6"/>
  <c r="F101" i="6"/>
  <c r="F104" i="6" s="1"/>
  <c r="F103" i="6"/>
  <c r="E20" i="6"/>
  <c r="J44" i="6" s="1"/>
  <c r="H263" i="6" l="1"/>
  <c r="H264" i="6" s="1"/>
  <c r="I262" i="6" s="1"/>
  <c r="I126" i="6"/>
  <c r="J127" i="6"/>
  <c r="K46" i="6"/>
  <c r="D50" i="6"/>
  <c r="K43" i="6"/>
  <c r="K42" i="6"/>
  <c r="K44" i="6"/>
  <c r="I156" i="6"/>
  <c r="I177" i="6"/>
  <c r="K316" i="6"/>
  <c r="G267" i="6"/>
  <c r="G176" i="6"/>
  <c r="G133" i="6"/>
  <c r="J118" i="6"/>
  <c r="I117" i="6"/>
  <c r="J121" i="6"/>
  <c r="I120" i="6"/>
  <c r="K41" i="6"/>
  <c r="H169" i="6"/>
  <c r="H181" i="6" s="1"/>
  <c r="H146" i="6"/>
  <c r="I142" i="6"/>
  <c r="H140" i="6"/>
  <c r="J43" i="6"/>
  <c r="E41" i="6"/>
  <c r="F28" i="6"/>
  <c r="F32" i="6"/>
  <c r="J46" i="6"/>
  <c r="F33" i="6"/>
  <c r="E44" i="6"/>
  <c r="F30" i="6"/>
  <c r="K23" i="6"/>
  <c r="K24" i="6" s="1"/>
  <c r="F31" i="6"/>
  <c r="F29" i="6"/>
  <c r="E43" i="6"/>
  <c r="E45" i="6"/>
  <c r="E42" i="6"/>
  <c r="E46" i="6"/>
  <c r="E47" i="6"/>
  <c r="J42" i="6"/>
  <c r="J50" i="6" s="1"/>
  <c r="J330" i="6"/>
  <c r="H129" i="6"/>
  <c r="J256" i="6"/>
  <c r="J258" i="6" s="1"/>
  <c r="I259" i="6"/>
  <c r="I186" i="6" s="1"/>
  <c r="H317" i="6"/>
  <c r="J138" i="6"/>
  <c r="I170" i="6"/>
  <c r="I137" i="6"/>
  <c r="G59" i="6"/>
  <c r="F91" i="6"/>
  <c r="G330" i="6"/>
  <c r="H249" i="6"/>
  <c r="H251" i="6"/>
  <c r="I248" i="6" s="1"/>
  <c r="G163" i="6"/>
  <c r="G164" i="6" s="1"/>
  <c r="G147" i="6"/>
  <c r="G148" i="6" s="1"/>
  <c r="H145" i="6" s="1"/>
  <c r="K50" i="6" l="1"/>
  <c r="I263" i="6"/>
  <c r="I264" i="6" s="1"/>
  <c r="J262" i="6" s="1"/>
  <c r="H130" i="6"/>
  <c r="H132" i="6"/>
  <c r="I146" i="6"/>
  <c r="I169" i="6"/>
  <c r="I181" i="6" s="1"/>
  <c r="K121" i="6"/>
  <c r="K120" i="6" s="1"/>
  <c r="J120" i="6"/>
  <c r="I249" i="6"/>
  <c r="I251" i="6" s="1"/>
  <c r="H288" i="6"/>
  <c r="H147" i="6"/>
  <c r="H148" i="6" s="1"/>
  <c r="I145" i="6" s="1"/>
  <c r="H163" i="6"/>
  <c r="H164" i="6" s="1"/>
  <c r="K127" i="6"/>
  <c r="K126" i="6" s="1"/>
  <c r="J126" i="6"/>
  <c r="F35" i="6"/>
  <c r="I129" i="6"/>
  <c r="K256" i="6"/>
  <c r="K258" i="6" s="1"/>
  <c r="K259" i="6" s="1"/>
  <c r="K186" i="6" s="1"/>
  <c r="J259" i="6"/>
  <c r="J186" i="6" s="1"/>
  <c r="H59" i="6"/>
  <c r="G91" i="6"/>
  <c r="F42" i="6"/>
  <c r="F41" i="6"/>
  <c r="D48" i="6"/>
  <c r="F44" i="6"/>
  <c r="F45" i="6"/>
  <c r="F46" i="6"/>
  <c r="F43" i="6"/>
  <c r="F47" i="6"/>
  <c r="K138" i="6"/>
  <c r="J137" i="6"/>
  <c r="J170" i="6"/>
  <c r="K118" i="6"/>
  <c r="K117" i="6" s="1"/>
  <c r="K129" i="6" s="1"/>
  <c r="J117" i="6"/>
  <c r="J129" i="6" s="1"/>
  <c r="J142" i="6"/>
  <c r="I140" i="6"/>
  <c r="H330" i="6"/>
  <c r="J156" i="6"/>
  <c r="J177" i="6"/>
  <c r="J263" i="6" l="1"/>
  <c r="J264" i="6" s="1"/>
  <c r="K262" i="6" s="1"/>
  <c r="J248" i="6"/>
  <c r="I288" i="6"/>
  <c r="K142" i="6"/>
  <c r="K140" i="6" s="1"/>
  <c r="J140" i="6"/>
  <c r="I147" i="6"/>
  <c r="I148" i="6" s="1"/>
  <c r="J145" i="6" s="1"/>
  <c r="I163" i="6"/>
  <c r="I164" i="6" s="1"/>
  <c r="K132" i="6"/>
  <c r="K130" i="6"/>
  <c r="H176" i="6"/>
  <c r="H133" i="6"/>
  <c r="K156" i="6"/>
  <c r="K177" i="6"/>
  <c r="J146" i="6"/>
  <c r="J169" i="6"/>
  <c r="J181" i="6" s="1"/>
  <c r="I59" i="6"/>
  <c r="H91" i="6"/>
  <c r="J132" i="6"/>
  <c r="J130" i="6"/>
  <c r="K305" i="6"/>
  <c r="I327" i="6"/>
  <c r="F48" i="6"/>
  <c r="F50" i="6" s="1"/>
  <c r="E48" i="6"/>
  <c r="E50" i="6" s="1"/>
  <c r="K137" i="6"/>
  <c r="K170" i="6"/>
  <c r="I130" i="6"/>
  <c r="I132" i="6"/>
  <c r="K263" i="6" l="1"/>
  <c r="K264" i="6" s="1"/>
  <c r="J147" i="6"/>
  <c r="J148" i="6" s="1"/>
  <c r="K145" i="6" s="1"/>
  <c r="K148" i="6" s="1"/>
  <c r="J163" i="6"/>
  <c r="J164" i="6" s="1"/>
  <c r="I176" i="6"/>
  <c r="I133" i="6"/>
  <c r="J176" i="6"/>
  <c r="J133" i="6"/>
  <c r="I91" i="6"/>
  <c r="J59" i="6"/>
  <c r="K133" i="6"/>
  <c r="K176" i="6"/>
  <c r="K147" i="6"/>
  <c r="K163" i="6"/>
  <c r="K164" i="6" s="1"/>
  <c r="K146" i="6"/>
  <c r="K169" i="6"/>
  <c r="K181" i="6" s="1"/>
  <c r="J249" i="6"/>
  <c r="J251" i="6" s="1"/>
  <c r="I328" i="6"/>
  <c r="K328" i="6" s="1"/>
  <c r="I311" i="6"/>
  <c r="K327" i="6"/>
  <c r="K248" i="6" l="1"/>
  <c r="J288" i="6"/>
  <c r="I317" i="6"/>
  <c r="K311" i="6"/>
  <c r="J91" i="6"/>
  <c r="K59" i="6"/>
  <c r="K91" i="6" s="1"/>
  <c r="I330" i="6" l="1"/>
  <c r="K317" i="6"/>
  <c r="K330" i="6" s="1"/>
  <c r="K249" i="6"/>
  <c r="K251" i="6" s="1"/>
  <c r="K288" i="6" s="1"/>
  <c r="E6" i="3" l="1"/>
  <c r="E29" i="3" s="1"/>
  <c r="B22" i="3"/>
  <c r="B23" i="3" s="1"/>
  <c r="B24" i="3" s="1"/>
  <c r="B25" i="3" s="1"/>
  <c r="B26" i="3" s="1"/>
  <c r="B27" i="3" s="1"/>
  <c r="B28" i="3" s="1"/>
  <c r="B29" i="3" s="1"/>
  <c r="B30" i="3" s="1"/>
  <c r="E14" i="3" l="1"/>
  <c r="E16" i="3" s="1"/>
  <c r="E24" i="3"/>
  <c r="E23" i="3"/>
  <c r="E26" i="3"/>
  <c r="E27" i="3"/>
  <c r="E22" i="3"/>
  <c r="E25" i="3"/>
  <c r="E21" i="3"/>
  <c r="E28" i="3"/>
  <c r="E30" i="3"/>
  <c r="E32" i="3" l="1"/>
  <c r="E8" i="3" s="1"/>
  <c r="E9" i="3"/>
  <c r="E10" i="3" s="1"/>
  <c r="E11" i="3" l="1"/>
  <c r="K6" i="6" l="1"/>
  <c r="K7" i="6"/>
  <c r="G78" i="6"/>
  <c r="H78" i="6"/>
  <c r="I78" i="6"/>
  <c r="J78" i="6"/>
  <c r="K78" i="6"/>
  <c r="G79" i="6"/>
  <c r="H79" i="6"/>
  <c r="I79" i="6"/>
  <c r="J79" i="6"/>
  <c r="K79" i="6"/>
  <c r="G84" i="6"/>
  <c r="H84" i="6"/>
  <c r="I84" i="6"/>
  <c r="J84" i="6"/>
  <c r="K84" i="6"/>
  <c r="G85" i="6"/>
  <c r="H85" i="6"/>
  <c r="I85" i="6"/>
  <c r="J85" i="6"/>
  <c r="K85" i="6"/>
  <c r="G87" i="6"/>
  <c r="H87" i="6"/>
  <c r="I87" i="6"/>
  <c r="J87" i="6"/>
  <c r="K87" i="6"/>
  <c r="G88" i="6"/>
  <c r="H88" i="6"/>
  <c r="I88" i="6"/>
  <c r="J88" i="6"/>
  <c r="K88" i="6"/>
  <c r="G90" i="6"/>
  <c r="H90" i="6"/>
  <c r="I90" i="6"/>
  <c r="J90" i="6"/>
  <c r="K90" i="6"/>
  <c r="G93" i="6"/>
  <c r="H93" i="6"/>
  <c r="I93" i="6"/>
  <c r="J93" i="6"/>
  <c r="K93" i="6"/>
  <c r="G94" i="6"/>
  <c r="H94" i="6"/>
  <c r="I94" i="6"/>
  <c r="J94" i="6"/>
  <c r="K94" i="6"/>
  <c r="G106" i="6"/>
  <c r="H106" i="6"/>
  <c r="I106" i="6"/>
  <c r="J106" i="6"/>
  <c r="K106" i="6"/>
  <c r="G107" i="6"/>
  <c r="H107" i="6"/>
  <c r="I107" i="6"/>
  <c r="J107" i="6"/>
  <c r="K107" i="6"/>
  <c r="H151" i="6"/>
  <c r="I151" i="6"/>
  <c r="J151" i="6"/>
  <c r="K151" i="6"/>
  <c r="G152" i="6"/>
  <c r="H152" i="6"/>
  <c r="I152" i="6"/>
  <c r="J152" i="6"/>
  <c r="K152" i="6"/>
  <c r="G154" i="6"/>
  <c r="H154" i="6"/>
  <c r="I154" i="6"/>
  <c r="J154" i="6"/>
  <c r="K154" i="6"/>
  <c r="G174" i="6"/>
  <c r="H174" i="6"/>
  <c r="I174" i="6"/>
  <c r="J174" i="6"/>
  <c r="K174" i="6"/>
  <c r="G179" i="6"/>
  <c r="H179" i="6"/>
  <c r="I179" i="6"/>
  <c r="J179" i="6"/>
  <c r="K179" i="6"/>
  <c r="G182" i="6"/>
  <c r="H182" i="6"/>
  <c r="I182" i="6"/>
  <c r="J182" i="6"/>
  <c r="K182" i="6"/>
  <c r="G183" i="6"/>
  <c r="H183" i="6"/>
  <c r="I183" i="6"/>
  <c r="J183" i="6"/>
  <c r="K183" i="6"/>
  <c r="H185" i="6"/>
  <c r="I185" i="6"/>
  <c r="J185" i="6"/>
  <c r="K185" i="6"/>
  <c r="G187" i="6"/>
  <c r="H187" i="6"/>
  <c r="I187" i="6"/>
  <c r="J187" i="6"/>
  <c r="K187" i="6"/>
  <c r="G189" i="6"/>
  <c r="H189" i="6"/>
  <c r="I189" i="6"/>
  <c r="J189" i="6"/>
  <c r="K189" i="6"/>
  <c r="G190" i="6"/>
  <c r="H190" i="6"/>
  <c r="I190" i="6"/>
  <c r="J190" i="6"/>
  <c r="K190" i="6"/>
  <c r="G193" i="6"/>
  <c r="H193" i="6"/>
  <c r="I193" i="6"/>
  <c r="J193" i="6"/>
  <c r="K193" i="6"/>
  <c r="G194" i="6"/>
  <c r="H194" i="6"/>
  <c r="I194" i="6"/>
  <c r="J194" i="6"/>
  <c r="K194" i="6"/>
  <c r="G195" i="6"/>
  <c r="H195" i="6"/>
  <c r="I195" i="6"/>
  <c r="J195" i="6"/>
  <c r="K195" i="6"/>
  <c r="G197" i="6"/>
  <c r="H197" i="6"/>
  <c r="I197" i="6"/>
  <c r="J197" i="6"/>
  <c r="K197" i="6"/>
  <c r="H203" i="6"/>
  <c r="I203" i="6"/>
  <c r="J203" i="6"/>
  <c r="K203" i="6"/>
  <c r="G204" i="6"/>
  <c r="H204" i="6"/>
  <c r="I204" i="6"/>
  <c r="J204" i="6"/>
  <c r="K204" i="6"/>
  <c r="G205" i="6"/>
  <c r="H205" i="6"/>
  <c r="I205" i="6"/>
  <c r="J205" i="6"/>
  <c r="K205" i="6"/>
  <c r="H208" i="6"/>
  <c r="I208" i="6"/>
  <c r="J208" i="6"/>
  <c r="K208" i="6"/>
  <c r="H210" i="6"/>
  <c r="I210" i="6"/>
  <c r="J210" i="6"/>
  <c r="K210" i="6"/>
  <c r="G211" i="6"/>
  <c r="H211" i="6"/>
  <c r="I211" i="6"/>
  <c r="J211" i="6"/>
  <c r="K211" i="6"/>
  <c r="G212" i="6"/>
  <c r="H212" i="6"/>
  <c r="I212" i="6"/>
  <c r="J212" i="6"/>
  <c r="K212" i="6"/>
  <c r="H214" i="6"/>
  <c r="I214" i="6"/>
  <c r="J214" i="6"/>
  <c r="K214" i="6"/>
  <c r="G215" i="6"/>
  <c r="H215" i="6"/>
  <c r="I215" i="6"/>
  <c r="J215" i="6"/>
  <c r="K215" i="6"/>
  <c r="G216" i="6"/>
  <c r="H216" i="6"/>
  <c r="I216" i="6"/>
  <c r="J216" i="6"/>
  <c r="K216" i="6"/>
  <c r="G218" i="6"/>
  <c r="H218" i="6"/>
  <c r="I218" i="6"/>
  <c r="J218" i="6"/>
  <c r="K218" i="6"/>
  <c r="H221" i="6"/>
  <c r="I221" i="6"/>
  <c r="J221" i="6"/>
  <c r="K221" i="6"/>
  <c r="H222" i="6"/>
  <c r="I222" i="6"/>
  <c r="J222" i="6"/>
  <c r="K222" i="6"/>
  <c r="G223" i="6"/>
  <c r="H223" i="6"/>
  <c r="I223" i="6"/>
  <c r="J223" i="6"/>
  <c r="K223" i="6"/>
  <c r="G224" i="6"/>
  <c r="H224" i="6"/>
  <c r="I224" i="6"/>
  <c r="J224" i="6"/>
  <c r="K224" i="6"/>
  <c r="G227" i="6"/>
  <c r="H227" i="6"/>
  <c r="I227" i="6"/>
  <c r="J227" i="6"/>
  <c r="K227" i="6"/>
  <c r="H230" i="6"/>
  <c r="I230" i="6"/>
  <c r="J230" i="6"/>
  <c r="K230" i="6"/>
  <c r="H231" i="6"/>
  <c r="I231" i="6"/>
  <c r="J231" i="6"/>
  <c r="K231" i="6"/>
  <c r="G232" i="6"/>
  <c r="H232" i="6"/>
  <c r="I232" i="6"/>
  <c r="J232" i="6"/>
  <c r="K232" i="6"/>
  <c r="G233" i="6"/>
  <c r="H233" i="6"/>
  <c r="I233" i="6"/>
  <c r="J233" i="6"/>
  <c r="K233" i="6"/>
  <c r="G236" i="6"/>
  <c r="H236" i="6"/>
  <c r="I236" i="6"/>
  <c r="J236" i="6"/>
  <c r="K236" i="6"/>
  <c r="H239" i="6"/>
  <c r="I239" i="6"/>
  <c r="J239" i="6"/>
  <c r="K239" i="6"/>
  <c r="H240" i="6"/>
  <c r="I240" i="6"/>
  <c r="J240" i="6"/>
  <c r="K240" i="6"/>
  <c r="G241" i="6"/>
  <c r="H241" i="6"/>
  <c r="I241" i="6"/>
  <c r="J241" i="6"/>
  <c r="K241" i="6"/>
  <c r="G242" i="6"/>
  <c r="H242" i="6"/>
  <c r="I242" i="6"/>
  <c r="J242" i="6"/>
  <c r="K242" i="6"/>
  <c r="G245" i="6"/>
  <c r="H245" i="6"/>
  <c r="I245" i="6"/>
  <c r="J245" i="6"/>
  <c r="K245" i="6"/>
  <c r="H267" i="6"/>
  <c r="I267" i="6"/>
  <c r="J267" i="6"/>
  <c r="K267" i="6"/>
  <c r="G268" i="6"/>
  <c r="H268" i="6"/>
  <c r="I268" i="6"/>
  <c r="J268" i="6"/>
  <c r="K268" i="6"/>
  <c r="G269" i="6"/>
  <c r="H269" i="6"/>
  <c r="I269" i="6"/>
  <c r="J269" i="6"/>
  <c r="K269" i="6"/>
  <c r="G270" i="6"/>
  <c r="H270" i="6"/>
  <c r="I270" i="6"/>
  <c r="J270" i="6"/>
  <c r="K270" i="6"/>
  <c r="G273" i="6"/>
  <c r="H273" i="6"/>
  <c r="I273" i="6"/>
  <c r="J273" i="6"/>
  <c r="K273" i="6"/>
  <c r="G276" i="6"/>
  <c r="H276" i="6"/>
  <c r="I276" i="6"/>
  <c r="J276" i="6"/>
  <c r="K276" i="6"/>
  <c r="G279" i="6"/>
  <c r="H279" i="6"/>
  <c r="I279" i="6"/>
  <c r="J279" i="6"/>
  <c r="K279" i="6"/>
  <c r="G282" i="6"/>
  <c r="H282" i="6"/>
  <c r="I282" i="6"/>
  <c r="J282" i="6"/>
  <c r="K282" i="6"/>
  <c r="G285" i="6"/>
  <c r="H285" i="6"/>
  <c r="I285" i="6"/>
  <c r="J285" i="6"/>
  <c r="K285" i="6"/>
  <c r="G294" i="6"/>
  <c r="H294" i="6"/>
  <c r="I294" i="6"/>
  <c r="J294" i="6"/>
  <c r="K294" i="6"/>
  <c r="G295" i="6"/>
  <c r="H295" i="6"/>
  <c r="I295" i="6"/>
  <c r="J295" i="6"/>
  <c r="K295" i="6"/>
  <c r="K302" i="6"/>
  <c r="K303" i="6"/>
  <c r="K307" i="6"/>
  <c r="K308" i="6"/>
  <c r="N3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E15" authorId="0" shapeId="0" xr:uid="{BA5C03E3-89A1-4D65-B8D7-4E1E6519EC9B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https://www.bamsec.com/filing/134100410001510?cik=1352801</t>
        </r>
      </text>
    </comment>
    <comment ref="E21" authorId="0" shapeId="0" xr:uid="{39236A73-0D4A-4D04-8339-5085B5A1D376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10K pg 72 - debt
10K pg 101 - current portion of capital lease
https://www.bamsec.com/filing/95012310081065?cik=1352801</t>
        </r>
      </text>
    </comment>
    <comment ref="E22" authorId="0" shapeId="0" xr:uid="{38945946-6BB4-4748-BD5B-110DFB1FD4C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10K pg 72
https://www.bamsec.com/filing/95012310081065?cik=1352801</t>
        </r>
      </text>
    </comment>
    <comment ref="E23" authorId="0" shapeId="0" xr:uid="{9A080429-C0DE-4435-BFBD-86DB24F14958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87
https://www.bamsec.com/filing/95012311027965?cik=1352801</t>
        </r>
      </text>
    </comment>
    <comment ref="E28" authorId="0" shapeId="0" xr:uid="{B68431F5-8B71-4FC4-B74E-6DF74A8C3B93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Up to $150M allowed
2011 10K pg 105</t>
        </r>
      </text>
    </comment>
    <comment ref="G28" authorId="0" shapeId="0" xr:uid="{FCE01F73-3395-4E00-8845-3EDAF20D9EFA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106</t>
        </r>
      </text>
    </comment>
    <comment ref="J28" authorId="0" shapeId="0" xr:uid="{7359E5D2-D51D-4AF8-9668-ED5199175D6F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illustrative</t>
        </r>
      </text>
    </comment>
    <comment ref="E29" authorId="0" shapeId="0" xr:uid="{8702C927-332A-46F7-86EB-07F03A5AE04F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105</t>
        </r>
      </text>
    </comment>
    <comment ref="E30" authorId="0" shapeId="0" xr:uid="{D8F10D1C-AF10-4D54-9268-FF1C4618EB6B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105</t>
        </r>
      </text>
    </comment>
    <comment ref="E31" authorId="0" shapeId="0" xr:uid="{C153739E-A5E3-4A17-8E7A-7EE27807EE3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105</t>
        </r>
      </text>
    </comment>
    <comment ref="E32" authorId="0" shapeId="0" xr:uid="{5A813C0C-E055-4ABE-B27E-F8686F2A812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illustrative</t>
        </r>
      </text>
    </comment>
    <comment ref="G32" authorId="0" shapeId="0" xr:uid="{97669588-01B4-4FF2-B58D-B164FB6B5869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Cash interest rate</t>
        </r>
      </text>
    </comment>
    <comment ref="J32" authorId="0" shapeId="0" xr:uid="{E2609038-14CA-4CC2-9F3D-E8FB22833DEF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illustrative</t>
        </r>
      </text>
    </comment>
    <comment ref="L32" authorId="0" shapeId="0" xr:uid="{2C2F0ADB-4848-48A8-81F2-6D2206436615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Cash interest rate</t>
        </r>
      </text>
    </comment>
    <comment ref="E33" authorId="0" shapeId="0" xr:uid="{8C87129C-FCA6-4C97-984E-6D92A50C1DF9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illustrative</t>
        </r>
      </text>
    </comment>
    <comment ref="G33" authorId="0" shapeId="0" xr:uid="{0C4A4F19-E517-4C5A-AA9F-DB77A17BFBD8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Cash interest rate</t>
        </r>
      </text>
    </comment>
    <comment ref="J33" authorId="0" shapeId="0" xr:uid="{2BC3777F-DD39-4072-96CF-84EC823A6C3F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illustrative</t>
        </r>
      </text>
    </comment>
    <comment ref="I43" authorId="0" shapeId="0" xr:uid="{E038FC11-ED7E-4550-A4D2-72AE323E47E8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87</t>
        </r>
      </text>
    </comment>
    <comment ref="I46" authorId="0" shapeId="0" xr:uid="{6ABB6E3B-727A-47A4-8368-A781CCCEF6C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To get to $1.56BN in sponsor equity, adding this extra line item
2011 10K pg 87</t>
        </r>
      </text>
    </comment>
    <comment ref="G63" authorId="0" shapeId="0" xr:uid="{087052A1-59CE-46AC-850E-AACD04AF7C22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PREM 14A pg 60</t>
        </r>
      </text>
    </comment>
    <comment ref="G81" authorId="0" shapeId="0" xr:uid="{D8D216B1-FDEE-42AC-8D5B-19790DF97B79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PREM 14A pg 60</t>
        </r>
      </text>
    </comment>
    <comment ref="E99" authorId="0" shapeId="0" xr:uid="{F7C217B6-0742-49E9-9C84-F0E9D4219251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https://www.bamsec.com/filing/115752310005220?cik=1352801</t>
        </r>
      </text>
    </comment>
    <comment ref="G109" authorId="0" shapeId="0" xr:uid="{68CAC23E-BA38-47DD-96FE-13362950E71B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PREM14A pg 60</t>
        </r>
      </text>
    </comment>
    <comment ref="D137" authorId="0" shapeId="0" xr:uid="{BB926BE9-F78A-4F15-BE1D-B53A29AAB73E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75
Backing into this number</t>
        </r>
      </text>
    </comment>
    <comment ref="D140" authorId="0" shapeId="0" xr:uid="{D367D4A1-0C5F-470D-B83A-D330C82A2FDC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75
Backing into this number</t>
        </r>
      </text>
    </comment>
    <comment ref="F148" authorId="0" shapeId="0" xr:uid="{758F6FB2-EFA4-4543-8751-BFE0A455B93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75</t>
        </r>
      </text>
    </comment>
    <comment ref="D153" authorId="0" shapeId="0" xr:uid="{8174CEEF-292B-49D9-8F36-F50664C45C2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89</t>
        </r>
      </text>
    </comment>
    <comment ref="F154" authorId="0" shapeId="0" xr:uid="{E9472E39-D38C-4D38-8408-8F43C8D3A11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6" authorId="0" shapeId="0" xr:uid="{095EB639-8AC7-4DE4-B830-534B13C77EBB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2009 10K pg 73</t>
        </r>
      </text>
    </comment>
    <comment ref="E156" authorId="0" shapeId="0" xr:uid="{D4F307CE-3847-438B-99E3-40E81BE196BF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72</t>
        </r>
      </text>
    </comment>
    <comment ref="D158" authorId="0" shapeId="0" xr:uid="{166803D6-D9A9-4299-B6FB-5D61E2BF2981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2009 10K pg 73</t>
        </r>
      </text>
    </comment>
    <comment ref="E158" authorId="0" shapeId="0" xr:uid="{36FE19BA-ADFF-4B00-9A0B-FC7936613603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2010 10K pg 72</t>
        </r>
      </text>
    </comment>
    <comment ref="G203" authorId="0" shapeId="0" xr:uid="{1E290C69-66CE-4828-A3C5-2D2A48F2AC7E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Cash balance post-transaction</t>
        </r>
      </text>
    </comment>
    <comment ref="G323" authorId="0" shapeId="0" xr:uid="{D92A2E94-1137-4F8F-B6D5-EE5EB936135D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Adding capital leases current portion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Chon</author>
  </authors>
  <commentList>
    <comment ref="E7" authorId="0" shapeId="0" xr:uid="{2A3FF28F-39B0-4660-984C-0A1411D49BA4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88</t>
        </r>
      </text>
    </comment>
    <comment ref="E12" authorId="0" shapeId="0" xr:uid="{A8B2EABF-2AEC-4921-B885-EA48E9BAECC0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100</t>
        </r>
      </text>
    </comment>
    <comment ref="E14" authorId="0" shapeId="0" xr:uid="{10BA3376-8F18-44DE-9AD8-845B8AB3B526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88</t>
        </r>
      </text>
    </comment>
    <comment ref="C21" authorId="0" shapeId="0" xr:uid="{14CF317F-7C41-4C2C-89ED-C58194C3805C}">
      <text>
        <r>
          <rPr>
            <b/>
            <sz val="9"/>
            <color indexed="81"/>
            <rFont val="Tahoma"/>
            <family val="2"/>
          </rPr>
          <t>Ben Chon:</t>
        </r>
        <r>
          <rPr>
            <sz val="9"/>
            <color indexed="81"/>
            <rFont val="Tahoma"/>
            <family val="2"/>
          </rPr>
          <t xml:space="preserve">
2011 10K pg 99</t>
        </r>
      </text>
    </comment>
  </commentList>
</comments>
</file>

<file path=xl/sharedStrings.xml><?xml version="1.0" encoding="utf-8"?>
<sst xmlns="http://schemas.openxmlformats.org/spreadsheetml/2006/main" count="305" uniqueCount="191">
  <si>
    <t>x</t>
  </si>
  <si>
    <t>LBO</t>
  </si>
  <si>
    <t>Assumptions</t>
  </si>
  <si>
    <t>Switches</t>
  </si>
  <si>
    <t>Circuit breaker</t>
  </si>
  <si>
    <t>Case</t>
  </si>
  <si>
    <t>Transaction Background</t>
  </si>
  <si>
    <t>Valuation at Entry</t>
  </si>
  <si>
    <t>Company name</t>
  </si>
  <si>
    <t>Ticker</t>
  </si>
  <si>
    <t>Latest closing share price</t>
  </si>
  <si>
    <t>Latest closing share price date</t>
  </si>
  <si>
    <t>Burger King</t>
  </si>
  <si>
    <t>BKC</t>
  </si>
  <si>
    <t>Offer value / share</t>
  </si>
  <si>
    <t>% Premium / discount</t>
  </si>
  <si>
    <t>Offer value (Equity value)</t>
  </si>
  <si>
    <t>Diluted shares outstanding</t>
  </si>
  <si>
    <t>Debt</t>
  </si>
  <si>
    <t>Cash</t>
  </si>
  <si>
    <t>Enterprise Value</t>
  </si>
  <si>
    <t>LTM EBITDA</t>
  </si>
  <si>
    <t>Entry Multiple</t>
  </si>
  <si>
    <t>Transaction Financials and Assumptions</t>
  </si>
  <si>
    <t>Minimum Cash</t>
  </si>
  <si>
    <t>Exit Multiple</t>
  </si>
  <si>
    <t>Capital Structure</t>
  </si>
  <si>
    <t>Secured term loan - USD tranche</t>
  </si>
  <si>
    <t>Secured term loan - EUR tranche</t>
  </si>
  <si>
    <t>Senior notes</t>
  </si>
  <si>
    <t>Amount</t>
  </si>
  <si>
    <t>xEBITDA</t>
  </si>
  <si>
    <t>Interest (%)</t>
  </si>
  <si>
    <t>Fees (%)</t>
  </si>
  <si>
    <t>Fee ($)</t>
  </si>
  <si>
    <t>Term</t>
  </si>
  <si>
    <t>Amortization</t>
  </si>
  <si>
    <t>Total</t>
  </si>
  <si>
    <t>Diluted Share Count Calculation</t>
  </si>
  <si>
    <t>Full Diluted Shares</t>
  </si>
  <si>
    <t>Offer price</t>
  </si>
  <si>
    <t>Basic shares outstanding (latest filing)</t>
  </si>
  <si>
    <t>In-the-money exercisable options</t>
  </si>
  <si>
    <t>Total proceeds ($mm)</t>
  </si>
  <si>
    <t>Total shares repurchased (mm)</t>
  </si>
  <si>
    <t>Net dilutive options</t>
  </si>
  <si>
    <t xml:space="preserve">Dilutive impact of shares from other securities </t>
  </si>
  <si>
    <t>Settled stock based comp</t>
  </si>
  <si>
    <t>Net diluted shares outstanding</t>
  </si>
  <si>
    <t>Options outstanding</t>
  </si>
  <si>
    <t>Outstanding</t>
  </si>
  <si>
    <t>Exercise price</t>
  </si>
  <si>
    <t>Dilutive Shares</t>
  </si>
  <si>
    <t>Sources and Uses</t>
  </si>
  <si>
    <t>Sources</t>
  </si>
  <si>
    <t>Uses</t>
  </si>
  <si>
    <t>Cash on hand</t>
  </si>
  <si>
    <t>Sponsor equity</t>
  </si>
  <si>
    <t>% Capital</t>
  </si>
  <si>
    <t>Equity payment</t>
  </si>
  <si>
    <t>Debt refinancing</t>
  </si>
  <si>
    <t>Transaction fees</t>
  </si>
  <si>
    <t>Financing fees</t>
  </si>
  <si>
    <t>Other</t>
  </si>
  <si>
    <t>Financials (6/30 FYE)</t>
  </si>
  <si>
    <t>Operating Model</t>
  </si>
  <si>
    <t>Revenue</t>
  </si>
  <si>
    <t>% growth</t>
  </si>
  <si>
    <t>COGS</t>
  </si>
  <si>
    <t>% of sales</t>
  </si>
  <si>
    <t>Gross Profit</t>
  </si>
  <si>
    <t>OpEx</t>
  </si>
  <si>
    <t>EBIT</t>
  </si>
  <si>
    <t>EBIT - Conservative</t>
  </si>
  <si>
    <t>EBIT - Management</t>
  </si>
  <si>
    <t>Interest Expense</t>
  </si>
  <si>
    <t>Interest Income</t>
  </si>
  <si>
    <t>EBT</t>
  </si>
  <si>
    <t>Taxes</t>
  </si>
  <si>
    <t>% tax rate</t>
  </si>
  <si>
    <t>Net Income</t>
  </si>
  <si>
    <t>--</t>
  </si>
  <si>
    <t>Revenue growth</t>
  </si>
  <si>
    <t>Gross margin</t>
  </si>
  <si>
    <t>Tax rate</t>
  </si>
  <si>
    <t>IRR (for reference)</t>
  </si>
  <si>
    <t>Step</t>
  </si>
  <si>
    <t>OpEx margin</t>
  </si>
  <si>
    <t>OFF</t>
  </si>
  <si>
    <t>EBITDA Reconciliation</t>
  </si>
  <si>
    <t>D&amp;A</t>
  </si>
  <si>
    <t>Adjustments</t>
  </si>
  <si>
    <t>EBITDA</t>
  </si>
  <si>
    <t>EBITDA - Conservative</t>
  </si>
  <si>
    <t>EBITDA - Management</t>
  </si>
  <si>
    <t>Change in Net Working Capital</t>
  </si>
  <si>
    <t>D&amp;A - Conservative</t>
  </si>
  <si>
    <t>D&amp;A - Management</t>
  </si>
  <si>
    <t>CapEx</t>
  </si>
  <si>
    <t>Mandatory Debt Repayments</t>
  </si>
  <si>
    <t>Debt Schedule</t>
  </si>
  <si>
    <t>Debt Paydown</t>
  </si>
  <si>
    <t>Beginning Balance</t>
  </si>
  <si>
    <t>Inflow / (Outflow)</t>
  </si>
  <si>
    <t>Ending Balance</t>
  </si>
  <si>
    <t>Paydown</t>
  </si>
  <si>
    <t>Total Debt</t>
  </si>
  <si>
    <t>CHECK</t>
  </si>
  <si>
    <t>Interest</t>
  </si>
  <si>
    <t>Interest income rate</t>
  </si>
  <si>
    <t>Interest rate</t>
  </si>
  <si>
    <t>Total interest expense</t>
  </si>
  <si>
    <t>Blended interest rate</t>
  </si>
  <si>
    <t xml:space="preserve">IRR </t>
  </si>
  <si>
    <t>LTM EBITDA at Exit</t>
  </si>
  <si>
    <t>Net Debt</t>
  </si>
  <si>
    <t>Sponsor Equity Value</t>
  </si>
  <si>
    <t>Sponsor Equity at Entry</t>
  </si>
  <si>
    <t>MOIC</t>
  </si>
  <si>
    <t>IRR</t>
  </si>
  <si>
    <t>Net Working Capital</t>
  </si>
  <si>
    <t>Working Capital</t>
  </si>
  <si>
    <t>Long Lived Assets</t>
  </si>
  <si>
    <t>% of CapEx</t>
  </si>
  <si>
    <t>PP&amp;E</t>
  </si>
  <si>
    <t>Capital Expenditures</t>
  </si>
  <si>
    <t>Depreciation</t>
  </si>
  <si>
    <t>Intangible Assets</t>
  </si>
  <si>
    <t>Purchases / (Impairment)</t>
  </si>
  <si>
    <t>Goodwill and Other Assets</t>
  </si>
  <si>
    <t>Other Liabilities</t>
  </si>
  <si>
    <t>Cash Flow Statement</t>
  </si>
  <si>
    <t>Other Long-Term Assets and Liabilities</t>
  </si>
  <si>
    <t>PIK Interest</t>
  </si>
  <si>
    <t>Purchases of Intangible Assets</t>
  </si>
  <si>
    <t>Revolver</t>
  </si>
  <si>
    <t>Post-Revolver Cash Flow</t>
  </si>
  <si>
    <t>Discretionary Payments</t>
  </si>
  <si>
    <t>Net Change in Cash</t>
  </si>
  <si>
    <t>Subordinated Notes</t>
  </si>
  <si>
    <t>PIK</t>
  </si>
  <si>
    <t>Beginning Cash Balance</t>
  </si>
  <si>
    <t>Beginning Excess Cash</t>
  </si>
  <si>
    <t>Free Cash Flow Generated</t>
  </si>
  <si>
    <t>Cash Available to Paydown / (Draw From) Revolver</t>
  </si>
  <si>
    <t>Increase / (Decrease)</t>
  </si>
  <si>
    <t>Maximum Availability</t>
  </si>
  <si>
    <t>Revolver Check</t>
  </si>
  <si>
    <t>Mandatory Paydown</t>
  </si>
  <si>
    <t>Mandatory Paydown (% of Initial Amount)</t>
  </si>
  <si>
    <t>Cash Sweep</t>
  </si>
  <si>
    <t>% of available</t>
  </si>
  <si>
    <t>Paydown From Excess Cash Flows</t>
  </si>
  <si>
    <t>Cash Interest rate</t>
  </si>
  <si>
    <t>PIK Interest rate</t>
  </si>
  <si>
    <t>Preferred equity</t>
  </si>
  <si>
    <t>PIK Accrual</t>
  </si>
  <si>
    <t>Dividend (cash)</t>
  </si>
  <si>
    <t>Capitalized Financing Fees</t>
  </si>
  <si>
    <t>PIK Toggle</t>
  </si>
  <si>
    <t>Subordinated notes</t>
  </si>
  <si>
    <t>Accounts Receivable</t>
  </si>
  <si>
    <t>Prepaids and Other Current Assets</t>
  </si>
  <si>
    <t>Accounts Payable</t>
  </si>
  <si>
    <t>---&gt; should be as percentage of COGS</t>
  </si>
  <si>
    <t>Accrued Advertising</t>
  </si>
  <si>
    <t>Other Accrued Liabilities</t>
  </si>
  <si>
    <t>Note</t>
  </si>
  <si>
    <t>Negative on cfs for assets = outflow of cash</t>
  </si>
  <si>
    <t>Positive on cfs for assets = inflow of cash</t>
  </si>
  <si>
    <t>Negative on cfs for liabilities = inflow of cash</t>
  </si>
  <si>
    <t>Positive on cfs for liabilities = outflow of cash</t>
  </si>
  <si>
    <t>Depreciation and Amortization</t>
  </si>
  <si>
    <t>Changes in Working Capital</t>
  </si>
  <si>
    <t>Cash From Operations</t>
  </si>
  <si>
    <t>Cash From Investing</t>
  </si>
  <si>
    <t>Dividends</t>
  </si>
  <si>
    <t>Pre-Revolver Cash Flow</t>
  </si>
  <si>
    <t>Pro Forma Balance Sheet</t>
  </si>
  <si>
    <t>2010A</t>
  </si>
  <si>
    <t>Use of Funds</t>
  </si>
  <si>
    <t>Sources of Funds</t>
  </si>
  <si>
    <t>Accounting</t>
  </si>
  <si>
    <t>Pro Forma 2010E</t>
  </si>
  <si>
    <t>Total Assets</t>
  </si>
  <si>
    <t>Total Liabilities</t>
  </si>
  <si>
    <t>Preferred Stock</t>
  </si>
  <si>
    <t>Equity</t>
  </si>
  <si>
    <t>Total Equity</t>
  </si>
  <si>
    <t>Sensitivity Table</t>
  </si>
  <si>
    <t>Interest Rate of Loan for Secured Term Loan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</si>
</sst>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m/d/yyyy_)"/>
    <numFmt numFmtId="165" formatCode="#,##0.0_);\(#,##0.0\)"/>
    <numFmt numFmtId="166" formatCode="0.0%"/>
    <numFmt numFmtId="167" formatCode="0\ &quot;yrs&quot;"/>
    <numFmt numFmtId="168" formatCode="#,##0.0_);\(#,##0.0\);@_)"/>
    <numFmt numFmtId="169" formatCode="&quot;Tranche&quot;\ 0"/>
    <numFmt numFmtId="170" formatCode="0&quot;A&quot;"/>
    <numFmt numFmtId="171" formatCode="0&quot;E&quot;"/>
    <numFmt numFmtId="172" formatCode="0.0%_);\(0.0%\);@_)"/>
    <numFmt numFmtId="173" formatCode="0.00%_);\(0.00%\);@_)"/>
    <numFmt numFmtId="174" formatCode="0.0\x_)"/>
    <numFmt numFmtId="175" formatCode="#,##0.0000_);\(#,##0.0000\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color rgb="FF000000"/>
      <name val="Times New Roman"/>
      <family val="1"/>
    </font>
    <font>
      <i/>
      <sz val="1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0" fillId="0" borderId="0" xfId="0" applyAlignment="1">
      <alignment horizontal="left" indent="1"/>
    </xf>
    <xf numFmtId="9" fontId="0" fillId="0" borderId="0" xfId="1" applyFont="1"/>
    <xf numFmtId="9" fontId="7" fillId="0" borderId="0" xfId="1" applyFont="1"/>
    <xf numFmtId="39" fontId="8" fillId="4" borderId="2" xfId="0" applyNumberFormat="1" applyFont="1" applyFill="1" applyBorder="1" applyAlignment="1">
      <alignment horizontal="right"/>
    </xf>
    <xf numFmtId="164" fontId="8" fillId="4" borderId="2" xfId="0" applyNumberFormat="1" applyFont="1" applyFill="1" applyBorder="1" applyAlignment="1">
      <alignment horizontal="right"/>
    </xf>
    <xf numFmtId="165" fontId="8" fillId="4" borderId="2" xfId="0" applyNumberFormat="1" applyFont="1" applyFill="1" applyBorder="1" applyAlignment="1">
      <alignment horizontal="right"/>
    </xf>
    <xf numFmtId="37" fontId="8" fillId="4" borderId="2" xfId="0" applyNumberFormat="1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37" fontId="8" fillId="0" borderId="0" xfId="0" applyNumberFormat="1" applyFont="1" applyAlignment="1">
      <alignment horizontal="right"/>
    </xf>
    <xf numFmtId="37" fontId="12" fillId="0" borderId="0" xfId="0" applyNumberFormat="1" applyFont="1" applyAlignment="1">
      <alignment horizontal="right"/>
    </xf>
    <xf numFmtId="166" fontId="7" fillId="0" borderId="0" xfId="1" applyNumberFormat="1" applyFont="1"/>
    <xf numFmtId="166" fontId="13" fillId="0" borderId="0" xfId="1" applyNumberFormat="1" applyFont="1"/>
    <xf numFmtId="167" fontId="6" fillId="0" borderId="0" xfId="0" applyNumberFormat="1" applyFont="1"/>
    <xf numFmtId="37" fontId="0" fillId="0" borderId="0" xfId="0" applyNumberFormat="1"/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centerContinuous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left"/>
    </xf>
    <xf numFmtId="0" fontId="15" fillId="0" borderId="0" xfId="0" applyFont="1" applyAlignment="1">
      <alignment horizontal="left"/>
    </xf>
    <xf numFmtId="168" fontId="16" fillId="0" borderId="0" xfId="0" applyNumberFormat="1" applyFont="1"/>
    <xf numFmtId="168" fontId="0" fillId="0" borderId="0" xfId="0" applyNumberFormat="1"/>
    <xf numFmtId="168" fontId="6" fillId="0" borderId="0" xfId="0" applyNumberFormat="1" applyFont="1"/>
    <xf numFmtId="0" fontId="3" fillId="0" borderId="0" xfId="0" applyFont="1" applyAlignment="1">
      <alignment horizontal="left"/>
    </xf>
    <xf numFmtId="165" fontId="0" fillId="0" borderId="0" xfId="0" applyNumberFormat="1"/>
    <xf numFmtId="168" fontId="3" fillId="0" borderId="0" xfId="0" applyNumberFormat="1" applyFont="1"/>
    <xf numFmtId="169" fontId="0" fillId="0" borderId="0" xfId="0" applyNumberFormat="1" applyAlignment="1">
      <alignment horizontal="left"/>
    </xf>
    <xf numFmtId="2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169" fontId="0" fillId="0" borderId="1" xfId="0" applyNumberFormat="1" applyBorder="1" applyAlignment="1">
      <alignment horizontal="left"/>
    </xf>
    <xf numFmtId="165" fontId="8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 indent="1"/>
    </xf>
    <xf numFmtId="0" fontId="3" fillId="5" borderId="3" xfId="0" applyFont="1" applyFill="1" applyBorder="1"/>
    <xf numFmtId="0" fontId="3" fillId="5" borderId="4" xfId="0" applyFont="1" applyFill="1" applyBorder="1"/>
    <xf numFmtId="2" fontId="3" fillId="5" borderId="5" xfId="0" applyNumberFormat="1" applyFont="1" applyFill="1" applyBorder="1" applyAlignment="1">
      <alignment horizontal="right" indent="1"/>
    </xf>
    <xf numFmtId="39" fontId="17" fillId="4" borderId="2" xfId="0" applyNumberFormat="1" applyFont="1" applyFill="1" applyBorder="1" applyAlignment="1">
      <alignment horizontal="right"/>
    </xf>
    <xf numFmtId="39" fontId="0" fillId="0" borderId="0" xfId="0" applyNumberFormat="1"/>
    <xf numFmtId="37" fontId="17" fillId="0" borderId="0" xfId="0" applyNumberFormat="1" applyFont="1" applyAlignment="1">
      <alignment horizontal="right"/>
    </xf>
    <xf numFmtId="37" fontId="14" fillId="0" borderId="0" xfId="0" applyNumberFormat="1" applyFont="1" applyAlignment="1">
      <alignment horizontal="right"/>
    </xf>
    <xf numFmtId="39" fontId="18" fillId="4" borderId="2" xfId="0" applyNumberFormat="1" applyFont="1" applyFill="1" applyBorder="1" applyAlignment="1">
      <alignment horizontal="right"/>
    </xf>
    <xf numFmtId="37" fontId="16" fillId="0" borderId="0" xfId="0" applyNumberFormat="1" applyFont="1" applyAlignment="1">
      <alignment horizontal="right"/>
    </xf>
    <xf numFmtId="37" fontId="3" fillId="0" borderId="0" xfId="0" applyNumberFormat="1" applyFont="1"/>
    <xf numFmtId="37" fontId="12" fillId="0" borderId="0" xfId="0" applyNumberFormat="1" applyFont="1"/>
    <xf numFmtId="37" fontId="16" fillId="0" borderId="0" xfId="0" applyNumberFormat="1" applyFont="1"/>
    <xf numFmtId="37" fontId="6" fillId="0" borderId="0" xfId="0" applyNumberFormat="1" applyFont="1"/>
    <xf numFmtId="170" fontId="2" fillId="3" borderId="0" xfId="0" applyNumberFormat="1" applyFont="1" applyFill="1"/>
    <xf numFmtId="171" fontId="2" fillId="3" borderId="0" xfId="0" applyNumberFormat="1" applyFont="1" applyFill="1"/>
    <xf numFmtId="4" fontId="0" fillId="0" borderId="0" xfId="0" applyNumberFormat="1"/>
    <xf numFmtId="0" fontId="19" fillId="6" borderId="0" xfId="0" applyFont="1" applyFill="1" applyAlignment="1">
      <alignment horizontal="left"/>
    </xf>
    <xf numFmtId="0" fontId="19" fillId="6" borderId="0" xfId="0" applyFont="1" applyFill="1" applyAlignment="1">
      <alignment vertical="center" wrapText="1"/>
    </xf>
    <xf numFmtId="172" fontId="20" fillId="4" borderId="2" xfId="1" applyNumberFormat="1" applyFont="1" applyFill="1" applyBorder="1" applyAlignment="1">
      <alignment horizontal="right"/>
    </xf>
    <xf numFmtId="172" fontId="20" fillId="4" borderId="2" xfId="1" quotePrefix="1" applyNumberFormat="1" applyFont="1" applyFill="1" applyBorder="1" applyAlignment="1">
      <alignment horizontal="right"/>
    </xf>
    <xf numFmtId="172" fontId="21" fillId="0" borderId="0" xfId="0" quotePrefix="1" applyNumberFormat="1" applyFont="1" applyAlignment="1">
      <alignment horizontal="right"/>
    </xf>
    <xf numFmtId="172" fontId="20" fillId="0" borderId="0" xfId="0" quotePrefix="1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 applyAlignment="1">
      <alignment vertical="center" wrapText="1"/>
    </xf>
    <xf numFmtId="172" fontId="22" fillId="4" borderId="2" xfId="1" applyNumberFormat="1" applyFont="1" applyFill="1" applyBorder="1" applyAlignment="1">
      <alignment horizontal="right"/>
    </xf>
    <xf numFmtId="171" fontId="2" fillId="3" borderId="0" xfId="0" applyNumberFormat="1" applyFont="1" applyFill="1" applyAlignment="1">
      <alignment horizontal="center"/>
    </xf>
    <xf numFmtId="173" fontId="20" fillId="4" borderId="2" xfId="1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5" borderId="6" xfId="0" applyFont="1" applyFill="1" applyBorder="1"/>
    <xf numFmtId="0" fontId="3" fillId="5" borderId="7" xfId="0" applyFont="1" applyFill="1" applyBorder="1"/>
    <xf numFmtId="37" fontId="23" fillId="5" borderId="7" xfId="0" applyNumberFormat="1" applyFont="1" applyFill="1" applyBorder="1"/>
    <xf numFmtId="37" fontId="3" fillId="5" borderId="7" xfId="0" applyNumberFormat="1" applyFont="1" applyFill="1" applyBorder="1"/>
    <xf numFmtId="37" fontId="3" fillId="5" borderId="8" xfId="0" applyNumberFormat="1" applyFont="1" applyFill="1" applyBorder="1"/>
    <xf numFmtId="0" fontId="3" fillId="5" borderId="9" xfId="0" applyFont="1" applyFill="1" applyBorder="1" applyAlignment="1">
      <alignment horizontal="left" indent="1"/>
    </xf>
    <xf numFmtId="0" fontId="3" fillId="5" borderId="1" xfId="0" applyFont="1" applyFill="1" applyBorder="1"/>
    <xf numFmtId="172" fontId="24" fillId="5" borderId="1" xfId="0" quotePrefix="1" applyNumberFormat="1" applyFont="1" applyFill="1" applyBorder="1" applyAlignment="1">
      <alignment horizontal="right"/>
    </xf>
    <xf numFmtId="172" fontId="24" fillId="5" borderId="10" xfId="0" quotePrefix="1" applyNumberFormat="1" applyFont="1" applyFill="1" applyBorder="1" applyAlignment="1">
      <alignment horizontal="right"/>
    </xf>
    <xf numFmtId="0" fontId="7" fillId="0" borderId="0" xfId="0" applyFont="1" applyAlignment="1">
      <alignment horizontal="left" indent="1"/>
    </xf>
    <xf numFmtId="0" fontId="25" fillId="5" borderId="9" xfId="0" applyFont="1" applyFill="1" applyBorder="1" applyAlignment="1">
      <alignment horizontal="left" indent="1"/>
    </xf>
    <xf numFmtId="0" fontId="0" fillId="5" borderId="7" xfId="0" applyFill="1" applyBorder="1"/>
    <xf numFmtId="0" fontId="0" fillId="5" borderId="1" xfId="0" applyFill="1" applyBorder="1"/>
    <xf numFmtId="0" fontId="11" fillId="0" borderId="0" xfId="0" applyFont="1"/>
    <xf numFmtId="37" fontId="6" fillId="0" borderId="1" xfId="0" applyNumberFormat="1" applyFont="1" applyBorder="1"/>
    <xf numFmtId="37" fontId="16" fillId="4" borderId="2" xfId="0" applyNumberFormat="1" applyFont="1" applyFill="1" applyBorder="1" applyAlignment="1">
      <alignment horizontal="right"/>
    </xf>
    <xf numFmtId="174" fontId="0" fillId="0" borderId="0" xfId="0" applyNumberFormat="1"/>
    <xf numFmtId="37" fontId="3" fillId="5" borderId="4" xfId="0" applyNumberFormat="1" applyFont="1" applyFill="1" applyBorder="1"/>
    <xf numFmtId="174" fontId="3" fillId="5" borderId="4" xfId="0" applyNumberFormat="1" applyFont="1" applyFill="1" applyBorder="1"/>
    <xf numFmtId="37" fontId="14" fillId="5" borderId="4" xfId="0" applyNumberFormat="1" applyFont="1" applyFill="1" applyBorder="1" applyAlignment="1">
      <alignment horizontal="right"/>
    </xf>
    <xf numFmtId="37" fontId="14" fillId="5" borderId="5" xfId="0" applyNumberFormat="1" applyFont="1" applyFill="1" applyBorder="1" applyAlignment="1">
      <alignment horizontal="right"/>
    </xf>
    <xf numFmtId="9" fontId="3" fillId="5" borderId="5" xfId="1" applyFont="1" applyFill="1" applyBorder="1"/>
    <xf numFmtId="37" fontId="26" fillId="0" borderId="0" xfId="0" applyNumberFormat="1" applyFont="1"/>
    <xf numFmtId="172" fontId="27" fillId="5" borderId="1" xfId="0" applyNumberFormat="1" applyFont="1" applyFill="1" applyBorder="1"/>
    <xf numFmtId="0" fontId="0" fillId="5" borderId="8" xfId="0" applyFill="1" applyBorder="1"/>
    <xf numFmtId="37" fontId="26" fillId="5" borderId="7" xfId="0" applyNumberFormat="1" applyFont="1" applyFill="1" applyBorder="1"/>
    <xf numFmtId="37" fontId="14" fillId="0" borderId="0" xfId="0" applyNumberFormat="1" applyFont="1"/>
    <xf numFmtId="37" fontId="14" fillId="5" borderId="7" xfId="0" applyNumberFormat="1" applyFont="1" applyFill="1" applyBorder="1"/>
    <xf numFmtId="37" fontId="14" fillId="5" borderId="8" xfId="0" applyNumberFormat="1" applyFont="1" applyFill="1" applyBorder="1"/>
    <xf numFmtId="0" fontId="3" fillId="0" borderId="0" xfId="0" applyFont="1" applyAlignment="1">
      <alignment horizontal="left" indent="1"/>
    </xf>
    <xf numFmtId="0" fontId="11" fillId="5" borderId="6" xfId="0" applyFont="1" applyFill="1" applyBorder="1"/>
    <xf numFmtId="0" fontId="0" fillId="5" borderId="11" xfId="0" applyFill="1" applyBorder="1" applyAlignment="1">
      <alignment horizontal="left" indent="1"/>
    </xf>
    <xf numFmtId="0" fontId="0" fillId="5" borderId="0" xfId="0" applyFill="1"/>
    <xf numFmtId="37" fontId="0" fillId="5" borderId="0" xfId="0" applyNumberFormat="1" applyFill="1"/>
    <xf numFmtId="37" fontId="0" fillId="5" borderId="12" xfId="0" applyNumberFormat="1" applyFill="1" applyBorder="1"/>
    <xf numFmtId="37" fontId="3" fillId="5" borderId="1" xfId="0" applyNumberFormat="1" applyFont="1" applyFill="1" applyBorder="1"/>
    <xf numFmtId="37" fontId="3" fillId="5" borderId="10" xfId="0" applyNumberFormat="1" applyFont="1" applyFill="1" applyBorder="1"/>
    <xf numFmtId="37" fontId="28" fillId="0" borderId="0" xfId="0" applyNumberFormat="1" applyFont="1"/>
    <xf numFmtId="166" fontId="21" fillId="0" borderId="0" xfId="0" applyNumberFormat="1" applyFont="1"/>
    <xf numFmtId="174" fontId="14" fillId="5" borderId="8" xfId="0" applyNumberFormat="1" applyFont="1" applyFill="1" applyBorder="1"/>
    <xf numFmtId="0" fontId="3" fillId="5" borderId="9" xfId="0" applyFont="1" applyFill="1" applyBorder="1"/>
    <xf numFmtId="166" fontId="3" fillId="5" borderId="10" xfId="1" applyNumberFormat="1" applyFont="1" applyFill="1" applyBorder="1"/>
    <xf numFmtId="174" fontId="16" fillId="0" borderId="1" xfId="0" applyNumberFormat="1" applyFont="1" applyBorder="1"/>
    <xf numFmtId="0" fontId="3" fillId="0" borderId="3" xfId="0" applyFont="1" applyBorder="1"/>
    <xf numFmtId="0" fontId="3" fillId="0" borderId="4" xfId="0" applyFont="1" applyBorder="1"/>
    <xf numFmtId="37" fontId="3" fillId="0" borderId="5" xfId="0" applyNumberFormat="1" applyFont="1" applyBorder="1"/>
    <xf numFmtId="166" fontId="3" fillId="0" borderId="0" xfId="0" applyNumberFormat="1" applyFont="1"/>
    <xf numFmtId="172" fontId="24" fillId="5" borderId="1" xfId="0" applyNumberFormat="1" applyFont="1" applyFill="1" applyBorder="1"/>
    <xf numFmtId="172" fontId="24" fillId="5" borderId="10" xfId="0" applyNumberFormat="1" applyFont="1" applyFill="1" applyBorder="1"/>
    <xf numFmtId="37" fontId="23" fillId="0" borderId="0" xfId="0" applyNumberFormat="1" applyFont="1"/>
    <xf numFmtId="37" fontId="26" fillId="5" borderId="8" xfId="0" applyNumberFormat="1" applyFont="1" applyFill="1" applyBorder="1"/>
    <xf numFmtId="37" fontId="16" fillId="0" borderId="1" xfId="0" applyNumberFormat="1" applyFont="1" applyBorder="1"/>
    <xf numFmtId="0" fontId="29" fillId="0" borderId="0" xfId="0" applyFont="1" applyAlignment="1">
      <alignment horizontal="left" indent="1"/>
    </xf>
    <xf numFmtId="0" fontId="29" fillId="0" borderId="0" xfId="0" applyFont="1"/>
    <xf numFmtId="172" fontId="13" fillId="4" borderId="2" xfId="1" applyNumberFormat="1" applyFont="1" applyFill="1" applyBorder="1" applyAlignment="1">
      <alignment horizontal="right"/>
    </xf>
    <xf numFmtId="37" fontId="16" fillId="7" borderId="0" xfId="0" applyNumberFormat="1" applyFont="1" applyFill="1"/>
    <xf numFmtId="37" fontId="3" fillId="0" borderId="0" xfId="0" applyNumberFormat="1" applyFont="1" applyAlignment="1">
      <alignment horizontal="right"/>
    </xf>
    <xf numFmtId="174" fontId="6" fillId="4" borderId="2" xfId="0" applyNumberFormat="1" applyFont="1" applyFill="1" applyBorder="1" applyAlignment="1">
      <alignment horizontal="right"/>
    </xf>
    <xf numFmtId="37" fontId="26" fillId="5" borderId="4" xfId="0" applyNumberFormat="1" applyFont="1" applyFill="1" applyBorder="1"/>
    <xf numFmtId="0" fontId="0" fillId="0" borderId="0" xfId="0" quotePrefix="1"/>
    <xf numFmtId="172" fontId="24" fillId="5" borderId="7" xfId="0" quotePrefix="1" applyNumberFormat="1" applyFont="1" applyFill="1" applyBorder="1" applyAlignment="1">
      <alignment horizontal="right"/>
    </xf>
    <xf numFmtId="172" fontId="20" fillId="0" borderId="0" xfId="0" applyNumberFormat="1" applyFont="1"/>
    <xf numFmtId="172" fontId="27" fillId="5" borderId="1" xfId="0" quotePrefix="1" applyNumberFormat="1" applyFont="1" applyFill="1" applyBorder="1" applyAlignment="1">
      <alignment horizontal="right"/>
    </xf>
    <xf numFmtId="172" fontId="27" fillId="5" borderId="10" xfId="0" applyNumberFormat="1" applyFont="1" applyFill="1" applyBorder="1"/>
    <xf numFmtId="0" fontId="14" fillId="0" borderId="0" xfId="0" applyFont="1"/>
    <xf numFmtId="37" fontId="29" fillId="0" borderId="0" xfId="0" applyNumberFormat="1" applyFont="1" applyAlignment="1">
      <alignment horizontal="right"/>
    </xf>
    <xf numFmtId="37" fontId="20" fillId="0" borderId="0" xfId="0" applyNumberFormat="1" applyFont="1" applyAlignment="1">
      <alignment horizontal="center"/>
    </xf>
    <xf numFmtId="0" fontId="30" fillId="0" borderId="0" xfId="0" applyFont="1"/>
    <xf numFmtId="175" fontId="30" fillId="0" borderId="0" xfId="0" applyNumberFormat="1" applyFont="1" applyAlignment="1">
      <alignment horizontal="right"/>
    </xf>
    <xf numFmtId="166" fontId="21" fillId="0" borderId="0" xfId="0" applyNumberFormat="1" applyFont="1" applyAlignment="1">
      <alignment vertical="top"/>
    </xf>
    <xf numFmtId="170" fontId="2" fillId="3" borderId="0" xfId="0" applyNumberFormat="1" applyFont="1" applyFill="1" applyAlignment="1">
      <alignment horizontal="right"/>
    </xf>
    <xf numFmtId="171" fontId="2" fillId="3" borderId="0" xfId="0" applyNumberFormat="1" applyFont="1" applyFill="1" applyAlignment="1">
      <alignment horizontal="right"/>
    </xf>
    <xf numFmtId="37" fontId="0" fillId="0" borderId="1" xfId="0" applyNumberFormat="1" applyBorder="1"/>
    <xf numFmtId="175" fontId="29" fillId="0" borderId="0" xfId="0" applyNumberFormat="1" applyFont="1"/>
    <xf numFmtId="0" fontId="2" fillId="0" borderId="0" xfId="0" applyFont="1"/>
    <xf numFmtId="170" fontId="2" fillId="0" borderId="0" xfId="0" applyNumberFormat="1" applyFont="1"/>
    <xf numFmtId="0" fontId="0" fillId="5" borderId="6" xfId="0" applyFill="1" applyBorder="1"/>
    <xf numFmtId="0" fontId="31" fillId="5" borderId="7" xfId="0" applyFont="1" applyFill="1" applyBorder="1" applyAlignment="1">
      <alignment horizontal="centerContinuous"/>
    </xf>
    <xf numFmtId="0" fontId="31" fillId="5" borderId="8" xfId="0" applyFont="1" applyFill="1" applyBorder="1" applyAlignment="1">
      <alignment horizontal="centerContinuous"/>
    </xf>
    <xf numFmtId="0" fontId="0" fillId="5" borderId="11" xfId="0" applyFill="1" applyBorder="1"/>
    <xf numFmtId="166" fontId="32" fillId="5" borderId="0" xfId="0" applyNumberFormat="1" applyFont="1" applyFill="1" applyAlignment="1">
      <alignment horizontal="center"/>
    </xf>
    <xf numFmtId="166" fontId="0" fillId="5" borderId="0" xfId="1" applyNumberFormat="1" applyFont="1" applyFill="1" applyBorder="1" applyAlignment="1">
      <alignment horizontal="center"/>
    </xf>
    <xf numFmtId="166" fontId="1" fillId="5" borderId="0" xfId="1" applyNumberFormat="1" applyFont="1" applyFill="1" applyBorder="1" applyAlignment="1">
      <alignment horizontal="center"/>
    </xf>
    <xf numFmtId="166" fontId="0" fillId="5" borderId="12" xfId="1" applyNumberFormat="1" applyFont="1" applyFill="1" applyBorder="1" applyAlignment="1">
      <alignment horizontal="center"/>
    </xf>
    <xf numFmtId="174" fontId="0" fillId="5" borderId="0" xfId="0" applyNumberFormat="1" applyFill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7" xfId="1" applyNumberFormat="1" applyFon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166" fontId="0" fillId="0" borderId="11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12" xfId="1" applyNumberFormat="1" applyFont="1" applyBorder="1" applyAlignment="1">
      <alignment horizontal="center"/>
    </xf>
    <xf numFmtId="174" fontId="0" fillId="5" borderId="1" xfId="0" applyNumberForma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0" fontId="0" fillId="5" borderId="13" xfId="0" applyFill="1" applyBorder="1" applyAlignment="1">
      <alignment horizontal="center" vertical="center" textRotation="90"/>
    </xf>
    <xf numFmtId="0" fontId="0" fillId="5" borderId="14" xfId="0" applyFill="1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wol\Downloads\2025.01.14-Burger-King-LBO-Stream-Part-3-1%20(1).xlsx" TargetMode="External"/><Relationship Id="rId1" Type="http://schemas.openxmlformats.org/officeDocument/2006/relationships/externalLinkPath" Target="file:///C:\Users\amwol\Downloads\2025.01.14-Burger-King-LBO-Stream-Part-3-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LBO"/>
      <sheetName val="DCF"/>
      <sheetName val="WACC"/>
      <sheetName val="Shares"/>
    </sheetNames>
    <sheetDataSet>
      <sheetData sheetId="0"/>
      <sheetData sheetId="1"/>
      <sheetData sheetId="2"/>
      <sheetData sheetId="3"/>
      <sheetData sheetId="4">
        <row r="16">
          <cell r="E16">
            <v>138.55980866666667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81D0-063E-4DE8-B3AE-EABB6B2E60CD}">
  <dimension ref="A1:U346"/>
  <sheetViews>
    <sheetView tabSelected="1" topLeftCell="A240" workbookViewId="0">
      <selection activeCell="N263" sqref="N263"/>
    </sheetView>
  </sheetViews>
  <sheetFormatPr defaultRowHeight="14.5" x14ac:dyDescent="0.35"/>
  <cols>
    <col min="5" max="5" width="9.08984375" bestFit="1" customWidth="1"/>
  </cols>
  <sheetData>
    <row r="1" spans="1:21" x14ac:dyDescent="0.35">
      <c r="A1" s="4"/>
    </row>
    <row r="2" spans="1:21" ht="21" x14ac:dyDescent="0.5">
      <c r="A2" s="1"/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35">
      <c r="A3" s="4"/>
    </row>
    <row r="4" spans="1:21" x14ac:dyDescent="0.35">
      <c r="A4" s="4" t="s">
        <v>0</v>
      </c>
      <c r="B4" s="5" t="s">
        <v>3</v>
      </c>
      <c r="C4" s="5"/>
      <c r="D4" s="5"/>
      <c r="E4" s="5"/>
      <c r="F4" s="5"/>
      <c r="G4" s="5"/>
      <c r="H4" s="5"/>
      <c r="I4" s="5"/>
      <c r="J4" s="5"/>
      <c r="K4" s="5"/>
    </row>
    <row r="5" spans="1:21" x14ac:dyDescent="0.35">
      <c r="A5" s="4"/>
    </row>
    <row r="6" spans="1:21" x14ac:dyDescent="0.35">
      <c r="A6" s="4"/>
      <c r="B6" t="s">
        <v>4</v>
      </c>
      <c r="E6" s="11" t="s">
        <v>88</v>
      </c>
      <c r="I6" s="7" t="s">
        <v>85</v>
      </c>
      <c r="K6" s="114">
        <f ca="1">K308</f>
        <v>0.21246037469185897</v>
      </c>
    </row>
    <row r="7" spans="1:21" x14ac:dyDescent="0.35">
      <c r="A7" s="4"/>
      <c r="B7" t="s">
        <v>5</v>
      </c>
      <c r="E7" s="14">
        <v>2</v>
      </c>
      <c r="F7" s="67" t="str">
        <f>IF(E7=1,"Conservative","Management")</f>
        <v>Management</v>
      </c>
      <c r="I7" s="7" t="s">
        <v>147</v>
      </c>
      <c r="K7" s="124" t="str">
        <f ca="1">G218</f>
        <v>OK</v>
      </c>
    </row>
    <row r="8" spans="1:21" x14ac:dyDescent="0.35">
      <c r="A8" s="4"/>
      <c r="B8" t="s">
        <v>159</v>
      </c>
      <c r="E8" s="14">
        <v>1</v>
      </c>
      <c r="F8" s="67" t="str">
        <f>IF(E8=1,"Cash","PIK")</f>
        <v>Cash</v>
      </c>
      <c r="I8" s="7"/>
      <c r="K8" s="124"/>
    </row>
    <row r="9" spans="1:21" x14ac:dyDescent="0.35">
      <c r="A9" s="4"/>
    </row>
    <row r="10" spans="1:21" x14ac:dyDescent="0.35">
      <c r="A10" s="4" t="s">
        <v>0</v>
      </c>
      <c r="B10" s="5" t="s">
        <v>2</v>
      </c>
      <c r="C10" s="5"/>
      <c r="D10" s="5"/>
      <c r="E10" s="5"/>
      <c r="F10" s="5"/>
      <c r="G10" s="5"/>
      <c r="H10" s="5"/>
      <c r="I10" s="5"/>
      <c r="J10" s="5"/>
      <c r="K10" s="5"/>
    </row>
    <row r="11" spans="1:21" x14ac:dyDescent="0.35">
      <c r="A11" s="4"/>
    </row>
    <row r="12" spans="1:21" x14ac:dyDescent="0.35">
      <c r="A12" s="4"/>
      <c r="B12" s="6" t="s">
        <v>6</v>
      </c>
      <c r="C12" s="6"/>
      <c r="D12" s="6"/>
      <c r="E12" s="6"/>
      <c r="H12" s="6" t="s">
        <v>7</v>
      </c>
      <c r="I12" s="6"/>
      <c r="J12" s="6"/>
      <c r="K12" s="6"/>
    </row>
    <row r="13" spans="1:21" x14ac:dyDescent="0.35">
      <c r="A13" s="4"/>
      <c r="B13" t="s">
        <v>8</v>
      </c>
      <c r="E13" s="11" t="s">
        <v>12</v>
      </c>
      <c r="H13" s="7" t="s">
        <v>14</v>
      </c>
      <c r="K13" s="47">
        <v>24</v>
      </c>
    </row>
    <row r="14" spans="1:21" x14ac:dyDescent="0.35">
      <c r="A14" s="4"/>
      <c r="B14" t="s">
        <v>9</v>
      </c>
      <c r="E14" s="11" t="s">
        <v>13</v>
      </c>
      <c r="H14" s="8" t="s">
        <v>15</v>
      </c>
      <c r="K14" s="10">
        <f>K13/E15-1</f>
        <v>0.27253446447507956</v>
      </c>
    </row>
    <row r="15" spans="1:21" x14ac:dyDescent="0.35">
      <c r="A15" s="4"/>
      <c r="B15" t="s">
        <v>10</v>
      </c>
      <c r="E15" s="11">
        <v>18.86</v>
      </c>
    </row>
    <row r="16" spans="1:21" x14ac:dyDescent="0.35">
      <c r="A16" s="4"/>
      <c r="B16" t="s">
        <v>11</v>
      </c>
      <c r="E16" s="12">
        <v>40422</v>
      </c>
      <c r="H16" s="7" t="s">
        <v>16</v>
      </c>
      <c r="K16" s="46">
        <f>K13*K17</f>
        <v>3325.4354080000003</v>
      </c>
    </row>
    <row r="17" spans="1:12" x14ac:dyDescent="0.35">
      <c r="A17" s="4"/>
      <c r="H17" t="s">
        <v>17</v>
      </c>
      <c r="K17" s="45">
        <f>[1]Shares!E16</f>
        <v>138.55980866666667</v>
      </c>
    </row>
    <row r="18" spans="1:12" x14ac:dyDescent="0.35">
      <c r="A18" s="4"/>
    </row>
    <row r="19" spans="1:12" x14ac:dyDescent="0.35">
      <c r="A19" s="4"/>
      <c r="B19" s="6" t="s">
        <v>23</v>
      </c>
      <c r="C19" s="6"/>
      <c r="D19" s="6"/>
      <c r="E19" s="6"/>
      <c r="H19" s="8" t="s">
        <v>18</v>
      </c>
      <c r="K19" s="48">
        <f>E21</f>
        <v>755.4</v>
      </c>
    </row>
    <row r="20" spans="1:12" x14ac:dyDescent="0.35">
      <c r="A20" s="4"/>
      <c r="B20" t="s">
        <v>21</v>
      </c>
      <c r="E20" s="83">
        <f>F100</f>
        <v>444.59999999999962</v>
      </c>
      <c r="H20" s="8" t="s">
        <v>19</v>
      </c>
      <c r="K20" s="48">
        <f>E22</f>
        <v>187.6</v>
      </c>
    </row>
    <row r="21" spans="1:12" x14ac:dyDescent="0.35">
      <c r="A21" s="4"/>
      <c r="B21" t="s">
        <v>18</v>
      </c>
      <c r="E21" s="14">
        <f>93.3+667.7-5.6</f>
        <v>755.4</v>
      </c>
    </row>
    <row r="22" spans="1:12" x14ac:dyDescent="0.35">
      <c r="A22" s="4"/>
      <c r="B22" t="s">
        <v>19</v>
      </c>
      <c r="E22" s="14">
        <v>187.6</v>
      </c>
      <c r="H22" s="7" t="s">
        <v>20</v>
      </c>
      <c r="K22" s="49">
        <f>K16+K19-K20</f>
        <v>3893.2354080000005</v>
      </c>
    </row>
    <row r="23" spans="1:12" x14ac:dyDescent="0.35">
      <c r="A23" s="4"/>
      <c r="B23" t="s">
        <v>24</v>
      </c>
      <c r="E23" s="14">
        <f>E22-69.4</f>
        <v>118.19999999999999</v>
      </c>
      <c r="H23" t="s">
        <v>21</v>
      </c>
      <c r="K23" s="48">
        <f>E20</f>
        <v>444.59999999999962</v>
      </c>
    </row>
    <row r="24" spans="1:12" x14ac:dyDescent="0.35">
      <c r="A24" s="4"/>
      <c r="B24" t="s">
        <v>25</v>
      </c>
      <c r="E24" s="125">
        <v>8.7567148178137728</v>
      </c>
      <c r="H24" s="7" t="s">
        <v>22</v>
      </c>
      <c r="K24" s="84">
        <f>K22/K23</f>
        <v>8.7567148178137728</v>
      </c>
    </row>
    <row r="25" spans="1:12" x14ac:dyDescent="0.35">
      <c r="A25" s="4"/>
    </row>
    <row r="26" spans="1:12" x14ac:dyDescent="0.35">
      <c r="A26" s="4"/>
      <c r="B26" s="6" t="s">
        <v>26</v>
      </c>
      <c r="C26" s="6"/>
      <c r="D26" s="6"/>
      <c r="E26" s="6"/>
      <c r="F26" s="6"/>
      <c r="G26" s="6"/>
      <c r="H26" s="6"/>
      <c r="I26" s="6"/>
      <c r="J26" s="6"/>
      <c r="K26" s="6"/>
    </row>
    <row r="27" spans="1:12" x14ac:dyDescent="0.35">
      <c r="A27" s="4"/>
      <c r="E27" s="15" t="s">
        <v>30</v>
      </c>
      <c r="F27" s="15" t="s">
        <v>31</v>
      </c>
      <c r="G27" s="15" t="s">
        <v>32</v>
      </c>
      <c r="H27" s="15" t="s">
        <v>33</v>
      </c>
      <c r="I27" s="15" t="s">
        <v>34</v>
      </c>
      <c r="J27" s="15" t="s">
        <v>35</v>
      </c>
      <c r="K27" s="15" t="s">
        <v>36</v>
      </c>
    </row>
    <row r="28" spans="1:12" x14ac:dyDescent="0.35">
      <c r="A28" s="4"/>
      <c r="B28" t="s">
        <v>135</v>
      </c>
      <c r="E28" s="16">
        <v>0</v>
      </c>
      <c r="F28" s="84">
        <f>E28/$E$20</f>
        <v>0</v>
      </c>
      <c r="G28" s="19">
        <v>4.4999999999999998E-2</v>
      </c>
      <c r="H28" s="19">
        <v>0</v>
      </c>
      <c r="I28" s="17">
        <f>E28*H28</f>
        <v>0</v>
      </c>
      <c r="J28" s="20">
        <v>5</v>
      </c>
      <c r="K28" s="17">
        <f>IF(ISERROR(I28/J28),"--",I28/J28)</f>
        <v>0</v>
      </c>
    </row>
    <row r="29" spans="1:12" x14ac:dyDescent="0.35">
      <c r="A29" s="4"/>
      <c r="B29" t="s">
        <v>27</v>
      </c>
      <c r="E29" s="16">
        <v>1510</v>
      </c>
      <c r="F29" s="84">
        <f>E29/$E$20</f>
        <v>3.3963112910481361</v>
      </c>
      <c r="G29" s="19">
        <v>6.8199999999999997E-2</v>
      </c>
      <c r="H29" s="19">
        <v>2.7E-2</v>
      </c>
      <c r="I29" s="17">
        <f>E29*H29</f>
        <v>40.769999999999996</v>
      </c>
      <c r="J29" s="20">
        <v>6</v>
      </c>
      <c r="K29" s="17">
        <f t="shared" ref="K29:K33" si="0">IF(ISERROR(I29/J29),"--",I29/J29)</f>
        <v>6.794999999999999</v>
      </c>
    </row>
    <row r="30" spans="1:12" x14ac:dyDescent="0.35">
      <c r="A30" s="4"/>
      <c r="B30" t="s">
        <v>28</v>
      </c>
      <c r="E30" s="16">
        <v>334.2</v>
      </c>
      <c r="F30" s="84">
        <f t="shared" ref="F30:F31" si="1">E30/$E$20</f>
        <v>0.75168690958164708</v>
      </c>
      <c r="G30" s="19">
        <v>7.1099999999999997E-2</v>
      </c>
      <c r="H30" s="19">
        <v>2.5100000000000001E-2</v>
      </c>
      <c r="I30" s="17">
        <f t="shared" ref="I30:I31" si="2">E30*H30</f>
        <v>8.38842</v>
      </c>
      <c r="J30" s="20">
        <v>6</v>
      </c>
      <c r="K30" s="17">
        <f t="shared" si="0"/>
        <v>1.3980699999999999</v>
      </c>
    </row>
    <row r="31" spans="1:12" x14ac:dyDescent="0.35">
      <c r="A31" s="4"/>
      <c r="B31" t="s">
        <v>29</v>
      </c>
      <c r="E31" s="16">
        <v>800</v>
      </c>
      <c r="F31" s="84">
        <f t="shared" si="1"/>
        <v>1.7993702204228534</v>
      </c>
      <c r="G31" s="19">
        <v>0.1019</v>
      </c>
      <c r="H31" s="19">
        <v>2.5100000000000001E-2</v>
      </c>
      <c r="I31" s="17">
        <f t="shared" si="2"/>
        <v>20.080000000000002</v>
      </c>
      <c r="J31" s="20">
        <v>8</v>
      </c>
      <c r="K31" s="17">
        <f t="shared" si="0"/>
        <v>2.5100000000000002</v>
      </c>
      <c r="L31" s="15" t="s">
        <v>140</v>
      </c>
    </row>
    <row r="32" spans="1:12" x14ac:dyDescent="0.35">
      <c r="A32" s="4"/>
      <c r="B32" t="s">
        <v>160</v>
      </c>
      <c r="E32" s="16">
        <v>0</v>
      </c>
      <c r="F32" s="84">
        <f>E32/$E$20</f>
        <v>0</v>
      </c>
      <c r="G32" s="19">
        <v>0.1</v>
      </c>
      <c r="H32" s="19">
        <v>0</v>
      </c>
      <c r="I32" s="17">
        <f>E32*H32</f>
        <v>0</v>
      </c>
      <c r="J32" s="20">
        <v>5</v>
      </c>
      <c r="K32" s="17">
        <f t="shared" si="0"/>
        <v>0</v>
      </c>
      <c r="L32" s="19">
        <v>0.05</v>
      </c>
    </row>
    <row r="33" spans="1:12" x14ac:dyDescent="0.35">
      <c r="A33" s="4"/>
      <c r="B33" t="s">
        <v>155</v>
      </c>
      <c r="E33" s="16">
        <v>0</v>
      </c>
      <c r="F33" s="84">
        <f>E33/$E$20</f>
        <v>0</v>
      </c>
      <c r="G33" s="19">
        <v>0.1</v>
      </c>
      <c r="H33" s="19">
        <v>0</v>
      </c>
      <c r="I33" s="17">
        <f>E33*H33</f>
        <v>0</v>
      </c>
      <c r="J33" s="20">
        <v>5</v>
      </c>
      <c r="K33" s="17">
        <f t="shared" si="0"/>
        <v>0</v>
      </c>
      <c r="L33" s="19"/>
    </row>
    <row r="34" spans="1:12" x14ac:dyDescent="0.35">
      <c r="A34" s="4"/>
      <c r="E34" s="16"/>
      <c r="F34" s="50"/>
      <c r="G34" s="19"/>
      <c r="H34" s="19"/>
      <c r="I34" s="17"/>
      <c r="J34" s="20"/>
      <c r="K34" s="17"/>
    </row>
    <row r="35" spans="1:12" x14ac:dyDescent="0.35">
      <c r="A35" s="4"/>
      <c r="B35" s="40" t="s">
        <v>37</v>
      </c>
      <c r="C35" s="41"/>
      <c r="D35" s="41"/>
      <c r="E35" s="85">
        <f>SUM(E28:E33)</f>
        <v>2644.2</v>
      </c>
      <c r="F35" s="86">
        <f>SUM(F28:F33)</f>
        <v>5.9473684210526372</v>
      </c>
      <c r="G35" s="41"/>
      <c r="H35" s="41"/>
      <c r="I35" s="87">
        <f>SUM(I28:I33)</f>
        <v>69.238419999999991</v>
      </c>
      <c r="J35" s="41"/>
      <c r="K35" s="88">
        <f>SUM(K28:K33)</f>
        <v>10.703069999999999</v>
      </c>
    </row>
    <row r="36" spans="1:12" x14ac:dyDescent="0.35">
      <c r="A36" s="4"/>
    </row>
    <row r="37" spans="1:12" x14ac:dyDescent="0.35">
      <c r="A37" s="4" t="s">
        <v>0</v>
      </c>
      <c r="B37" s="5" t="s">
        <v>53</v>
      </c>
      <c r="C37" s="5"/>
      <c r="D37" s="5"/>
      <c r="E37" s="5"/>
      <c r="F37" s="5"/>
      <c r="G37" s="5"/>
      <c r="H37" s="5"/>
      <c r="I37" s="5"/>
      <c r="J37" s="5"/>
      <c r="K37" s="5"/>
    </row>
    <row r="38" spans="1:12" x14ac:dyDescent="0.35">
      <c r="A38" s="4"/>
    </row>
    <row r="39" spans="1:12" x14ac:dyDescent="0.35">
      <c r="A39" s="4"/>
      <c r="B39" s="6" t="s">
        <v>54</v>
      </c>
      <c r="C39" s="6"/>
      <c r="D39" s="6"/>
      <c r="E39" s="6"/>
      <c r="F39" s="6"/>
      <c r="H39" s="6" t="s">
        <v>55</v>
      </c>
      <c r="I39" s="6"/>
      <c r="J39" s="6"/>
      <c r="K39" s="6"/>
    </row>
    <row r="40" spans="1:12" x14ac:dyDescent="0.35">
      <c r="A40" s="4"/>
      <c r="D40" s="15" t="s">
        <v>30</v>
      </c>
      <c r="E40" s="15" t="s">
        <v>31</v>
      </c>
      <c r="F40" s="15" t="s">
        <v>58</v>
      </c>
      <c r="I40" s="15" t="s">
        <v>30</v>
      </c>
      <c r="J40" s="15" t="s">
        <v>31</v>
      </c>
      <c r="K40" s="15" t="s">
        <v>58</v>
      </c>
    </row>
    <row r="41" spans="1:12" x14ac:dyDescent="0.35">
      <c r="A41" s="4"/>
      <c r="B41" t="str">
        <f>B28</f>
        <v>Revolver</v>
      </c>
      <c r="D41" s="51">
        <f>E28</f>
        <v>0</v>
      </c>
      <c r="E41" s="84">
        <f>D41/$E$20</f>
        <v>0</v>
      </c>
      <c r="F41" s="9">
        <f>D41/$D$50</f>
        <v>0</v>
      </c>
      <c r="H41" t="s">
        <v>59</v>
      </c>
      <c r="I41" s="51">
        <f>K16</f>
        <v>3325.4354080000003</v>
      </c>
      <c r="J41" s="84">
        <f>I41/$E$20</f>
        <v>7.4796118038686528</v>
      </c>
      <c r="K41" s="9">
        <f>I41/$I$50</f>
        <v>0.7781344552602022</v>
      </c>
    </row>
    <row r="42" spans="1:12" x14ac:dyDescent="0.35">
      <c r="A42" s="4"/>
      <c r="B42" t="str">
        <f>B29</f>
        <v>Secured term loan - USD tranche</v>
      </c>
      <c r="D42" s="51">
        <f>E29</f>
        <v>1510</v>
      </c>
      <c r="E42" s="84">
        <f>D42/$E$20</f>
        <v>3.3963112910481361</v>
      </c>
      <c r="F42" s="9">
        <f>D42/$D$50</f>
        <v>0.35333208536128785</v>
      </c>
      <c r="H42" t="s">
        <v>60</v>
      </c>
      <c r="I42" s="51">
        <f>E21</f>
        <v>755.4</v>
      </c>
      <c r="J42" s="84">
        <f t="shared" ref="J42:J44" si="3">I42/$E$20</f>
        <v>1.6990553306342795</v>
      </c>
      <c r="K42" s="9">
        <f>I42/$I$50</f>
        <v>0.17675964058405089</v>
      </c>
    </row>
    <row r="43" spans="1:12" x14ac:dyDescent="0.35">
      <c r="A43" s="4"/>
      <c r="B43" t="str">
        <f>B30</f>
        <v>Secured term loan - EUR tranche</v>
      </c>
      <c r="D43" s="51">
        <f>E30</f>
        <v>334.2</v>
      </c>
      <c r="E43" s="84">
        <f t="shared" ref="E43:E48" si="4">D43/$E$20</f>
        <v>0.75168690958164708</v>
      </c>
      <c r="F43" s="9">
        <f>D43/$D$50</f>
        <v>7.8201048296518152E-2</v>
      </c>
      <c r="H43" t="s">
        <v>61</v>
      </c>
      <c r="I43" s="52">
        <v>91.2</v>
      </c>
      <c r="J43" s="84">
        <f t="shared" si="3"/>
        <v>0.20512820512820532</v>
      </c>
      <c r="K43" s="9">
        <f>I43/$I$50</f>
        <v>2.1340321976787719E-2</v>
      </c>
    </row>
    <row r="44" spans="1:12" x14ac:dyDescent="0.35">
      <c r="A44" s="4"/>
      <c r="B44" t="str">
        <f>B31</f>
        <v>Senior notes</v>
      </c>
      <c r="D44" s="51">
        <f>E31</f>
        <v>800</v>
      </c>
      <c r="E44" s="84">
        <f t="shared" si="4"/>
        <v>1.7993702204228534</v>
      </c>
      <c r="F44" s="9">
        <f>D44/$D$50</f>
        <v>0.18719580681392736</v>
      </c>
      <c r="H44" t="s">
        <v>62</v>
      </c>
      <c r="I44" s="51">
        <f>I35</f>
        <v>69.238419999999991</v>
      </c>
      <c r="J44" s="84">
        <f t="shared" si="3"/>
        <v>0.15573193882141262</v>
      </c>
      <c r="K44" s="9">
        <f>I44/$I$50</f>
        <v>1.6201427368026954E-2</v>
      </c>
    </row>
    <row r="45" spans="1:12" x14ac:dyDescent="0.35">
      <c r="A45" s="4"/>
      <c r="B45" t="s">
        <v>139</v>
      </c>
      <c r="D45" s="51">
        <f>E32</f>
        <v>0</v>
      </c>
      <c r="E45" s="84">
        <f t="shared" si="4"/>
        <v>0</v>
      </c>
      <c r="F45" s="9">
        <f>D45/$D$50</f>
        <v>0</v>
      </c>
      <c r="I45" s="51"/>
      <c r="J45" s="84"/>
      <c r="K45" s="9"/>
    </row>
    <row r="46" spans="1:12" x14ac:dyDescent="0.35">
      <c r="A46" s="4"/>
      <c r="B46" t="s">
        <v>155</v>
      </c>
      <c r="D46" s="51">
        <f t="shared" ref="D46" si="5">E33</f>
        <v>0</v>
      </c>
      <c r="E46" s="84">
        <f t="shared" si="4"/>
        <v>0</v>
      </c>
      <c r="F46" s="9">
        <f t="shared" ref="F46" si="6">D46/$D$50</f>
        <v>0</v>
      </c>
      <c r="H46" t="s">
        <v>63</v>
      </c>
      <c r="I46" s="52">
        <v>32.326171999999588</v>
      </c>
      <c r="J46" s="84">
        <f>I46/$E$20</f>
        <v>7.2708439046332923E-2</v>
      </c>
      <c r="K46" s="9">
        <f>I46/$I$50</f>
        <v>7.5641548109321383E-3</v>
      </c>
    </row>
    <row r="47" spans="1:12" x14ac:dyDescent="0.35">
      <c r="A47" s="4"/>
      <c r="B47" t="s">
        <v>56</v>
      </c>
      <c r="D47" s="21">
        <f>E22-E23</f>
        <v>69.400000000000006</v>
      </c>
      <c r="E47" s="84">
        <f t="shared" si="4"/>
        <v>0.15609536662168255</v>
      </c>
      <c r="F47" s="9">
        <f>D47/$D$50</f>
        <v>1.62392362411082E-2</v>
      </c>
    </row>
    <row r="48" spans="1:12" x14ac:dyDescent="0.35">
      <c r="A48" s="4"/>
      <c r="B48" t="s">
        <v>57</v>
      </c>
      <c r="D48" s="21">
        <f>D50-SUM(D42:D47)</f>
        <v>1560.0000000000005</v>
      </c>
      <c r="E48" s="84">
        <f t="shared" si="4"/>
        <v>3.5087719298245652</v>
      </c>
      <c r="F48" s="9">
        <f>D48/$D$50</f>
        <v>0.36503182328715844</v>
      </c>
    </row>
    <row r="49" spans="1:13" x14ac:dyDescent="0.35">
      <c r="A49" s="4"/>
    </row>
    <row r="50" spans="1:13" x14ac:dyDescent="0.35">
      <c r="A50" s="4"/>
      <c r="B50" s="40" t="s">
        <v>37</v>
      </c>
      <c r="C50" s="41"/>
      <c r="D50" s="126">
        <f>I50</f>
        <v>4273.6000000000004</v>
      </c>
      <c r="E50" s="86">
        <f>SUM(E41:E48)</f>
        <v>9.6122357174988853</v>
      </c>
      <c r="F50" s="89">
        <f>SUM(F41:F48)</f>
        <v>1</v>
      </c>
      <c r="G50" s="7"/>
      <c r="H50" s="40" t="s">
        <v>37</v>
      </c>
      <c r="I50" s="85">
        <f>SUM(I41:I46)</f>
        <v>4273.6000000000004</v>
      </c>
      <c r="J50" s="86">
        <f>SUM(J41:J46)</f>
        <v>9.6122357174988835</v>
      </c>
      <c r="K50" s="89">
        <f>SUM(K41:K46)</f>
        <v>0.99999999999999989</v>
      </c>
    </row>
    <row r="51" spans="1:13" x14ac:dyDescent="0.35">
      <c r="A51" s="4"/>
    </row>
    <row r="52" spans="1:13" x14ac:dyDescent="0.35">
      <c r="A52" s="4" t="s">
        <v>0</v>
      </c>
      <c r="B52" s="5" t="s">
        <v>64</v>
      </c>
      <c r="C52" s="5"/>
      <c r="D52" s="5"/>
      <c r="E52" s="5"/>
      <c r="F52" s="5"/>
      <c r="G52" s="5"/>
      <c r="H52" s="5"/>
      <c r="I52" s="5"/>
      <c r="J52" s="5"/>
      <c r="K52" s="5"/>
    </row>
    <row r="53" spans="1:13" x14ac:dyDescent="0.35">
      <c r="A53" s="4"/>
    </row>
    <row r="54" spans="1:13" x14ac:dyDescent="0.35">
      <c r="A54" s="4"/>
      <c r="B54" s="6" t="s">
        <v>2</v>
      </c>
      <c r="C54" s="6"/>
      <c r="D54" s="53">
        <v>2008</v>
      </c>
      <c r="E54" s="53">
        <f>D54+1</f>
        <v>2009</v>
      </c>
      <c r="F54" s="53">
        <f t="shared" ref="F54:K54" si="7">E54+1</f>
        <v>2010</v>
      </c>
      <c r="G54" s="54">
        <f t="shared" si="7"/>
        <v>2011</v>
      </c>
      <c r="H54" s="54">
        <f t="shared" si="7"/>
        <v>2012</v>
      </c>
      <c r="I54" s="54">
        <f t="shared" si="7"/>
        <v>2013</v>
      </c>
      <c r="J54" s="54">
        <f t="shared" si="7"/>
        <v>2014</v>
      </c>
      <c r="K54" s="54">
        <f t="shared" si="7"/>
        <v>2015</v>
      </c>
      <c r="M54" s="65" t="s">
        <v>86</v>
      </c>
    </row>
    <row r="55" spans="1:13" x14ac:dyDescent="0.35">
      <c r="A55" s="4"/>
    </row>
    <row r="56" spans="1:13" x14ac:dyDescent="0.35">
      <c r="A56" s="4"/>
      <c r="B56" t="s">
        <v>82</v>
      </c>
      <c r="D56" s="59" t="s">
        <v>81</v>
      </c>
      <c r="E56" s="58">
        <f>E63/D63-1</f>
        <v>3.3690471340693584E-2</v>
      </c>
      <c r="F56" s="58">
        <f>F63/E63-1</f>
        <v>-1.3872467880507666E-2</v>
      </c>
      <c r="G56" s="58">
        <f t="shared" ref="G56:K56" si="8">G63/F63-1</f>
        <v>2.8694748621213462E-2</v>
      </c>
      <c r="H56" s="58">
        <f t="shared" si="8"/>
        <v>-0.18337218337218342</v>
      </c>
      <c r="I56" s="58">
        <f t="shared" si="8"/>
        <v>-0.10371075166508092</v>
      </c>
      <c r="J56" s="58">
        <f t="shared" si="8"/>
        <v>1.3800424628450214E-2</v>
      </c>
      <c r="K56" s="58">
        <f t="shared" si="8"/>
        <v>5.9685863874345602E-2</v>
      </c>
      <c r="M56" s="66">
        <v>0</v>
      </c>
    </row>
    <row r="57" spans="1:13" x14ac:dyDescent="0.35">
      <c r="A57" s="4"/>
      <c r="B57" t="s">
        <v>83</v>
      </c>
      <c r="D57" s="58">
        <f>D69/D$63</f>
        <v>0.37344685704974129</v>
      </c>
      <c r="E57" s="58">
        <f t="shared" ref="E57:F57" si="9">E69/E$63</f>
        <v>0.35221092456845593</v>
      </c>
      <c r="F57" s="58">
        <f t="shared" si="9"/>
        <v>0.35464790983934136</v>
      </c>
      <c r="G57" s="64">
        <f>F57</f>
        <v>0.35464790983934136</v>
      </c>
      <c r="H57" s="58">
        <f>G57+$M$57</f>
        <v>0.37214790983934137</v>
      </c>
      <c r="I57" s="58">
        <f t="shared" ref="I57:K57" si="10">H57+$M$57</f>
        <v>0.38964790983934139</v>
      </c>
      <c r="J57" s="58">
        <f t="shared" si="10"/>
        <v>0.4071479098393414</v>
      </c>
      <c r="K57" s="58">
        <f t="shared" si="10"/>
        <v>0.42464790983934142</v>
      </c>
      <c r="M57" s="66">
        <v>1.7500000000000002E-2</v>
      </c>
    </row>
    <row r="58" spans="1:13" x14ac:dyDescent="0.35">
      <c r="A58" s="4"/>
      <c r="B58" t="s">
        <v>87</v>
      </c>
      <c r="D58" s="58">
        <f>D72/D$63</f>
        <v>0.22915223856275718</v>
      </c>
      <c r="E58" s="58">
        <f t="shared" ref="E58:F58" si="11">E72/E$63</f>
        <v>0.2184519586978797</v>
      </c>
      <c r="F58" s="58">
        <f t="shared" si="11"/>
        <v>0.22160498761090253</v>
      </c>
      <c r="G58" s="64">
        <f>F58</f>
        <v>0.22160498761090253</v>
      </c>
      <c r="H58" s="58">
        <f>G58-$M$58</f>
        <v>0.19960498761090253</v>
      </c>
      <c r="I58" s="58">
        <f t="shared" ref="I58:K58" si="12">H58-$M$58</f>
        <v>0.17760498761090254</v>
      </c>
      <c r="J58" s="58">
        <f t="shared" si="12"/>
        <v>0.15560498761090255</v>
      </c>
      <c r="K58" s="58">
        <f t="shared" si="12"/>
        <v>0.13360498761090256</v>
      </c>
      <c r="M58" s="66">
        <v>2.1999999999999999E-2</v>
      </c>
    </row>
    <row r="59" spans="1:13" x14ac:dyDescent="0.35">
      <c r="A59" s="4"/>
      <c r="B59" t="s">
        <v>84</v>
      </c>
      <c r="D59" s="58">
        <f>D90/D87</f>
        <v>0.35290102389078526</v>
      </c>
      <c r="E59" s="58">
        <f t="shared" ref="E59:F59" si="13">E90/E87</f>
        <v>0.29740168539325834</v>
      </c>
      <c r="F59" s="58">
        <f t="shared" si="13"/>
        <v>0.34294759057333851</v>
      </c>
      <c r="G59" s="58">
        <f>F59-$M$59</f>
        <v>0.33794759057333851</v>
      </c>
      <c r="H59" s="58">
        <f t="shared" ref="H59:K59" si="14">G59-$M$59</f>
        <v>0.3329475905733385</v>
      </c>
      <c r="I59" s="58">
        <f t="shared" si="14"/>
        <v>0.3279475905733385</v>
      </c>
      <c r="J59" s="58">
        <f t="shared" si="14"/>
        <v>0.32294759057333849</v>
      </c>
      <c r="K59" s="58">
        <f t="shared" si="14"/>
        <v>0.31794759057333849</v>
      </c>
      <c r="M59" s="66">
        <v>5.0000000000000001E-3</v>
      </c>
    </row>
    <row r="60" spans="1:13" x14ac:dyDescent="0.35">
      <c r="A60" s="4"/>
    </row>
    <row r="61" spans="1:13" x14ac:dyDescent="0.35">
      <c r="A61" s="4" t="s">
        <v>0</v>
      </c>
      <c r="B61" s="6" t="s">
        <v>65</v>
      </c>
      <c r="C61" s="6"/>
      <c r="D61" s="53">
        <v>2008</v>
      </c>
      <c r="E61" s="53">
        <f>D61+1</f>
        <v>2009</v>
      </c>
      <c r="F61" s="53">
        <f t="shared" ref="F61:K61" si="15">E61+1</f>
        <v>2010</v>
      </c>
      <c r="G61" s="54">
        <f t="shared" si="15"/>
        <v>2011</v>
      </c>
      <c r="H61" s="54">
        <f t="shared" si="15"/>
        <v>2012</v>
      </c>
      <c r="I61" s="54">
        <f t="shared" si="15"/>
        <v>2013</v>
      </c>
      <c r="J61" s="54">
        <f t="shared" si="15"/>
        <v>2014</v>
      </c>
      <c r="K61" s="54">
        <f t="shared" si="15"/>
        <v>2015</v>
      </c>
    </row>
    <row r="62" spans="1:13" x14ac:dyDescent="0.35">
      <c r="A62" s="4"/>
    </row>
    <row r="63" spans="1:13" x14ac:dyDescent="0.35">
      <c r="A63" s="4"/>
      <c r="B63" t="s">
        <v>66</v>
      </c>
      <c r="D63" s="52">
        <v>2454.6999999999998</v>
      </c>
      <c r="E63" s="52">
        <v>2537.4</v>
      </c>
      <c r="F63" s="52">
        <v>2502.1999999999998</v>
      </c>
      <c r="G63" s="52">
        <v>2574</v>
      </c>
      <c r="H63" s="52">
        <v>2102</v>
      </c>
      <c r="I63" s="52">
        <v>1884</v>
      </c>
      <c r="J63" s="52">
        <v>1910</v>
      </c>
      <c r="K63" s="52">
        <v>2024</v>
      </c>
    </row>
    <row r="64" spans="1:13" x14ac:dyDescent="0.35">
      <c r="A64" s="4"/>
      <c r="B64" s="77" t="s">
        <v>67</v>
      </c>
      <c r="D64" s="60" t="str">
        <f>D56</f>
        <v>--</v>
      </c>
      <c r="E64" s="60">
        <f t="shared" ref="E64:K64" si="16">E56</f>
        <v>3.3690471340693584E-2</v>
      </c>
      <c r="F64" s="60">
        <f t="shared" si="16"/>
        <v>-1.3872467880507666E-2</v>
      </c>
      <c r="G64" s="60">
        <f t="shared" si="16"/>
        <v>2.8694748621213462E-2</v>
      </c>
      <c r="H64" s="60">
        <f t="shared" si="16"/>
        <v>-0.18337218337218342</v>
      </c>
      <c r="I64" s="60">
        <f t="shared" si="16"/>
        <v>-0.10371075166508092</v>
      </c>
      <c r="J64" s="60">
        <f t="shared" si="16"/>
        <v>1.3800424628450214E-2</v>
      </c>
      <c r="K64" s="60">
        <f t="shared" si="16"/>
        <v>5.9685863874345602E-2</v>
      </c>
    </row>
    <row r="65" spans="1:11" x14ac:dyDescent="0.35">
      <c r="A65" s="4"/>
    </row>
    <row r="66" spans="1:11" x14ac:dyDescent="0.35">
      <c r="A66" s="4"/>
      <c r="B66" t="s">
        <v>68</v>
      </c>
      <c r="D66" s="52">
        <v>1538</v>
      </c>
      <c r="E66" s="52">
        <v>1643.7</v>
      </c>
      <c r="F66" s="52">
        <v>1614.8</v>
      </c>
      <c r="G66" s="17" t="str">
        <f>IF(CASE=2,"--",G63-G69)</f>
        <v>--</v>
      </c>
      <c r="H66" s="17" t="str">
        <f>IF(CASE=2,"--",H63-H69)</f>
        <v>--</v>
      </c>
      <c r="I66" s="17" t="str">
        <f>IF(CASE=2,"--",I63-I69)</f>
        <v>--</v>
      </c>
      <c r="J66" s="17" t="str">
        <f>IF(CASE=2,"--",J63-J69)</f>
        <v>--</v>
      </c>
      <c r="K66" s="17" t="str">
        <f>IF(CASE=2,"--",K63-K69)</f>
        <v>--</v>
      </c>
    </row>
    <row r="67" spans="1:11" x14ac:dyDescent="0.35">
      <c r="A67" s="4"/>
      <c r="B67" s="77" t="s">
        <v>69</v>
      </c>
      <c r="D67" s="61">
        <f>D66/D$63</f>
        <v>0.62655314295025877</v>
      </c>
      <c r="E67" s="61">
        <f t="shared" ref="E67:F67" si="17">E66/E$63</f>
        <v>0.64778907543154407</v>
      </c>
      <c r="F67" s="61">
        <f t="shared" si="17"/>
        <v>0.64535209016065864</v>
      </c>
      <c r="G67" s="61" t="str">
        <f>IF(CASE=2,"--",G66/G$63)</f>
        <v>--</v>
      </c>
      <c r="H67" s="61" t="str">
        <f>IF(CASE=2,"--",H66/H$63)</f>
        <v>--</v>
      </c>
      <c r="I67" s="61" t="str">
        <f>IF(CASE=2,"--",I66/I$63)</f>
        <v>--</v>
      </c>
      <c r="J67" s="61" t="str">
        <f>IF(CASE=2,"--",J66/J$63)</f>
        <v>--</v>
      </c>
      <c r="K67" s="61" t="str">
        <f>IF(CASE=2,"--",K66/K$63)</f>
        <v>--</v>
      </c>
    </row>
    <row r="68" spans="1:11" x14ac:dyDescent="0.35">
      <c r="A68" s="4"/>
    </row>
    <row r="69" spans="1:11" x14ac:dyDescent="0.35">
      <c r="A69" s="4"/>
      <c r="B69" t="s">
        <v>70</v>
      </c>
      <c r="D69" s="52">
        <f>D63-D66</f>
        <v>916.69999999999982</v>
      </c>
      <c r="E69" s="52">
        <f t="shared" ref="E69:F69" si="18">E63-E66</f>
        <v>893.7</v>
      </c>
      <c r="F69" s="52">
        <f t="shared" si="18"/>
        <v>887.39999999999986</v>
      </c>
      <c r="G69" s="17" t="str">
        <f>IF(CASE=2,"--",G70*G63)</f>
        <v>--</v>
      </c>
      <c r="H69" s="17" t="str">
        <f>IF(CASE=2,"--",H70*H63)</f>
        <v>--</v>
      </c>
      <c r="I69" s="17" t="str">
        <f>IF(CASE=2,"--",I70*I63)</f>
        <v>--</v>
      </c>
      <c r="J69" s="17" t="str">
        <f>IF(CASE=2,"--",J70*J63)</f>
        <v>--</v>
      </c>
      <c r="K69" s="17" t="str">
        <f>IF(CASE=2,"--",K70*K63)</f>
        <v>--</v>
      </c>
    </row>
    <row r="70" spans="1:11" x14ac:dyDescent="0.35">
      <c r="A70" s="4"/>
      <c r="B70" s="77" t="s">
        <v>69</v>
      </c>
      <c r="D70" s="60">
        <f>D57</f>
        <v>0.37344685704974129</v>
      </c>
      <c r="E70" s="60">
        <f>E57</f>
        <v>0.35221092456845593</v>
      </c>
      <c r="F70" s="60">
        <f>F57</f>
        <v>0.35464790983934136</v>
      </c>
      <c r="G70" s="60" t="str">
        <f>IF(CASE=2,"--",G57)</f>
        <v>--</v>
      </c>
      <c r="H70" s="60" t="str">
        <f>IF(CASE=2,"--",H57)</f>
        <v>--</v>
      </c>
      <c r="I70" s="60" t="str">
        <f>IF(CASE=2,"--",I57)</f>
        <v>--</v>
      </c>
      <c r="J70" s="60" t="str">
        <f>IF(CASE=2,"--",J57)</f>
        <v>--</v>
      </c>
      <c r="K70" s="60" t="str">
        <f>IF(CASE=2,"--",K57)</f>
        <v>--</v>
      </c>
    </row>
    <row r="71" spans="1:11" x14ac:dyDescent="0.35">
      <c r="A71" s="4"/>
    </row>
    <row r="72" spans="1:11" x14ac:dyDescent="0.35">
      <c r="A72" s="4"/>
      <c r="B72" t="s">
        <v>71</v>
      </c>
      <c r="D72" s="52">
        <v>562.5</v>
      </c>
      <c r="E72" s="52">
        <v>554.29999999999995</v>
      </c>
      <c r="F72" s="52">
        <v>554.50000000000023</v>
      </c>
      <c r="G72" s="17" t="str">
        <f>IF(CASE=2,"--",G73*G63)</f>
        <v>--</v>
      </c>
      <c r="H72" s="17" t="str">
        <f>IF(CASE=2,"--",H73*H63)</f>
        <v>--</v>
      </c>
      <c r="I72" s="17" t="str">
        <f>IF(CASE=2,"--",I73*I63)</f>
        <v>--</v>
      </c>
      <c r="J72" s="17" t="str">
        <f>IF(CASE=2,"--",J73*J63)</f>
        <v>--</v>
      </c>
      <c r="K72" s="17" t="str">
        <f>IF(CASE=2,"--",K73*K63)</f>
        <v>--</v>
      </c>
    </row>
    <row r="73" spans="1:11" x14ac:dyDescent="0.35">
      <c r="A73" s="4"/>
      <c r="B73" s="77" t="s">
        <v>69</v>
      </c>
      <c r="D73" s="60">
        <f>D58</f>
        <v>0.22915223856275718</v>
      </c>
      <c r="E73" s="60">
        <f t="shared" ref="E73:F73" si="19">E58</f>
        <v>0.2184519586978797</v>
      </c>
      <c r="F73" s="60">
        <f t="shared" si="19"/>
        <v>0.22160498761090253</v>
      </c>
      <c r="G73" s="60" t="str">
        <f>IF(CASE=2,"--",G58)</f>
        <v>--</v>
      </c>
      <c r="H73" s="60" t="str">
        <f>IF(CASE=2,"--",H58)</f>
        <v>--</v>
      </c>
      <c r="I73" s="60" t="str">
        <f>IF(CASE=2,"--",I58)</f>
        <v>--</v>
      </c>
      <c r="J73" s="60" t="str">
        <f>IF(CASE=2,"--",J58)</f>
        <v>--</v>
      </c>
      <c r="K73" s="60" t="str">
        <f>IF(CASE=2,"--",K58)</f>
        <v>--</v>
      </c>
    </row>
    <row r="74" spans="1:11" x14ac:dyDescent="0.35">
      <c r="A74" s="4"/>
      <c r="D74" s="55"/>
      <c r="E74" s="55"/>
      <c r="F74" s="55"/>
      <c r="G74" s="21"/>
    </row>
    <row r="75" spans="1:11" x14ac:dyDescent="0.35">
      <c r="A75" s="4"/>
      <c r="B75" s="68" t="s">
        <v>72</v>
      </c>
      <c r="C75" s="69"/>
      <c r="D75" s="70">
        <f>D69-D72</f>
        <v>354.19999999999982</v>
      </c>
      <c r="E75" s="70">
        <f t="shared" ref="E75:F75" si="20">E69-E72</f>
        <v>339.40000000000009</v>
      </c>
      <c r="F75" s="70">
        <f t="shared" si="20"/>
        <v>332.89999999999964</v>
      </c>
      <c r="G75" s="71">
        <f>CHOOSE(CASE,G78,G81)</f>
        <v>351</v>
      </c>
      <c r="H75" s="71">
        <f>CHOOSE(CASE,H78,H81)</f>
        <v>426</v>
      </c>
      <c r="I75" s="71">
        <f>CHOOSE(CASE,I78,I81)</f>
        <v>465</v>
      </c>
      <c r="J75" s="71">
        <f>CHOOSE(CASE,J78,J81)</f>
        <v>528</v>
      </c>
      <c r="K75" s="72">
        <f>CHOOSE(CASE,K78,K81)</f>
        <v>589</v>
      </c>
    </row>
    <row r="76" spans="1:11" x14ac:dyDescent="0.35">
      <c r="A76" s="4"/>
      <c r="B76" s="78" t="s">
        <v>69</v>
      </c>
      <c r="C76" s="74"/>
      <c r="D76" s="75">
        <f>D75/D$63</f>
        <v>0.14429461848698408</v>
      </c>
      <c r="E76" s="75">
        <f t="shared" ref="E76:K76" si="21">E75/E$63</f>
        <v>0.1337589658705762</v>
      </c>
      <c r="F76" s="75">
        <f t="shared" si="21"/>
        <v>0.13304292222843883</v>
      </c>
      <c r="G76" s="75">
        <f t="shared" si="21"/>
        <v>0.13636363636363635</v>
      </c>
      <c r="H76" s="75">
        <f t="shared" si="21"/>
        <v>0.20266412940057088</v>
      </c>
      <c r="I76" s="75">
        <f t="shared" si="21"/>
        <v>0.24681528662420382</v>
      </c>
      <c r="J76" s="75">
        <f t="shared" si="21"/>
        <v>0.27643979057591622</v>
      </c>
      <c r="K76" s="76">
        <f t="shared" si="21"/>
        <v>0.29100790513833991</v>
      </c>
    </row>
    <row r="77" spans="1:11" x14ac:dyDescent="0.35">
      <c r="A77" s="4"/>
    </row>
    <row r="78" spans="1:11" x14ac:dyDescent="0.35">
      <c r="A78" s="4"/>
      <c r="B78" t="s">
        <v>73</v>
      </c>
      <c r="G78" s="21">
        <f ca="1">IF(CASE=1,G69-G72,G78)</f>
        <v>342.45248181600164</v>
      </c>
      <c r="H78" s="21">
        <f ca="1">IF(CASE=1,H69-H72,H78)</f>
        <v>362.68522252417847</v>
      </c>
      <c r="I78" s="21">
        <f ca="1">IF(CASE=1,I69-I72,I78)</f>
        <v>399.48886547837878</v>
      </c>
      <c r="J78" s="21">
        <f ca="1">IF(CASE=1,J69-J72,J78)</f>
        <v>480.44698145631816</v>
      </c>
      <c r="K78" s="21">
        <f ca="1">IF(CASE=1,K69-K72,K78)</f>
        <v>589.07087459036029</v>
      </c>
    </row>
    <row r="79" spans="1:11" x14ac:dyDescent="0.35">
      <c r="A79" s="4"/>
      <c r="B79" s="77" t="s">
        <v>69</v>
      </c>
      <c r="G79" s="61">
        <f t="shared" ref="G79:K79" ca="1" si="22">G78/G$63</f>
        <v>0.13304292222843886</v>
      </c>
      <c r="H79" s="61">
        <f t="shared" ca="1" si="22"/>
        <v>0.17254292222843887</v>
      </c>
      <c r="I79" s="61">
        <f t="shared" ca="1" si="22"/>
        <v>0.21204292222843885</v>
      </c>
      <c r="J79" s="61">
        <f t="shared" ca="1" si="22"/>
        <v>0.25154292222843883</v>
      </c>
      <c r="K79" s="61">
        <f t="shared" ca="1" si="22"/>
        <v>0.29104292222843886</v>
      </c>
    </row>
    <row r="80" spans="1:11" x14ac:dyDescent="0.35">
      <c r="A80" s="4"/>
    </row>
    <row r="81" spans="1:21" x14ac:dyDescent="0.35">
      <c r="A81" s="4"/>
      <c r="B81" t="s">
        <v>74</v>
      </c>
      <c r="G81" s="52">
        <v>351</v>
      </c>
      <c r="H81" s="52">
        <v>426</v>
      </c>
      <c r="I81" s="52">
        <v>465</v>
      </c>
      <c r="J81" s="52">
        <v>528</v>
      </c>
      <c r="K81" s="52">
        <v>589</v>
      </c>
      <c r="L81" s="62"/>
      <c r="M81" s="63"/>
      <c r="N81" s="62"/>
      <c r="P81" s="62"/>
      <c r="Q81" s="63"/>
      <c r="R81" s="62"/>
      <c r="T81" s="62"/>
      <c r="U81" s="63"/>
    </row>
    <row r="82" spans="1:21" x14ac:dyDescent="0.35">
      <c r="A82" s="4"/>
      <c r="B82" s="77" t="s">
        <v>69</v>
      </c>
      <c r="G82" s="61">
        <f t="shared" ref="G82:K82" si="23">G81/G$63</f>
        <v>0.13636363636363635</v>
      </c>
      <c r="H82" s="61">
        <f t="shared" si="23"/>
        <v>0.20266412940057088</v>
      </c>
      <c r="I82" s="61">
        <f t="shared" si="23"/>
        <v>0.24681528662420382</v>
      </c>
      <c r="J82" s="61">
        <f t="shared" si="23"/>
        <v>0.27643979057591622</v>
      </c>
      <c r="K82" s="61">
        <f t="shared" si="23"/>
        <v>0.29100790513833991</v>
      </c>
    </row>
    <row r="83" spans="1:21" x14ac:dyDescent="0.35">
      <c r="A83" s="4"/>
    </row>
    <row r="84" spans="1:21" x14ac:dyDescent="0.35">
      <c r="A84" s="4"/>
      <c r="B84" t="s">
        <v>75</v>
      </c>
      <c r="D84" s="52">
        <v>67.099999999999994</v>
      </c>
      <c r="E84" s="52">
        <v>57.3</v>
      </c>
      <c r="F84" s="52">
        <v>49.6</v>
      </c>
      <c r="G84" s="51">
        <f ca="1">G294</f>
        <v>207.48685182262236</v>
      </c>
      <c r="H84" s="51">
        <f ca="1">H294</f>
        <v>204.7888161562023</v>
      </c>
      <c r="I84" s="51">
        <f t="shared" ref="I84:K84" ca="1" si="24">I294</f>
        <v>198.67307168240518</v>
      </c>
      <c r="J84" s="51">
        <f t="shared" ca="1" si="24"/>
        <v>188.35618603210673</v>
      </c>
      <c r="K84" s="51">
        <f t="shared" ca="1" si="24"/>
        <v>174.27059453287848</v>
      </c>
    </row>
    <row r="85" spans="1:21" x14ac:dyDescent="0.35">
      <c r="A85" s="4"/>
      <c r="B85" t="s">
        <v>76</v>
      </c>
      <c r="D85" s="52">
        <v>5.9</v>
      </c>
      <c r="E85" s="52">
        <v>2.7</v>
      </c>
      <c r="F85" s="52">
        <v>1</v>
      </c>
      <c r="G85" s="51">
        <f ca="1">G273</f>
        <v>0.63006396588486124</v>
      </c>
      <c r="H85" s="51">
        <f t="shared" ref="H85:K85" ca="1" si="25">H273</f>
        <v>0.63006396588486158</v>
      </c>
      <c r="I85" s="51">
        <f t="shared" ca="1" si="25"/>
        <v>0.63006396588486102</v>
      </c>
      <c r="J85" s="51">
        <f t="shared" ca="1" si="25"/>
        <v>0.63006396588486169</v>
      </c>
      <c r="K85" s="51">
        <f t="shared" ca="1" si="25"/>
        <v>0.63006396588486102</v>
      </c>
    </row>
    <row r="86" spans="1:21" x14ac:dyDescent="0.35">
      <c r="A86" s="4"/>
    </row>
    <row r="87" spans="1:21" x14ac:dyDescent="0.35">
      <c r="A87" s="4"/>
      <c r="B87" t="s">
        <v>77</v>
      </c>
      <c r="D87" s="21">
        <f>D75-D84+D85</f>
        <v>292.99999999999977</v>
      </c>
      <c r="E87" s="21">
        <f t="shared" ref="E87:F87" si="26">E75-E84+E85</f>
        <v>284.80000000000007</v>
      </c>
      <c r="F87" s="21">
        <f t="shared" si="26"/>
        <v>284.29999999999961</v>
      </c>
      <c r="G87" s="21">
        <f ca="1">G75-G84+G85</f>
        <v>144.1432121432625</v>
      </c>
      <c r="H87" s="21">
        <f t="shared" ref="H87:K87" ca="1" si="27">H75-H84+H85</f>
        <v>221.84124780968256</v>
      </c>
      <c r="I87" s="21">
        <f t="shared" ca="1" si="27"/>
        <v>266.95699228347968</v>
      </c>
      <c r="J87" s="21">
        <f t="shared" ca="1" si="27"/>
        <v>340.27387793377812</v>
      </c>
      <c r="K87" s="21">
        <f t="shared" ca="1" si="27"/>
        <v>415.35946943300638</v>
      </c>
    </row>
    <row r="88" spans="1:21" x14ac:dyDescent="0.35">
      <c r="A88" s="4"/>
      <c r="B88" s="77" t="s">
        <v>69</v>
      </c>
      <c r="D88" s="61">
        <f>D87/D$63</f>
        <v>0.11936285493135609</v>
      </c>
      <c r="E88" s="61">
        <f t="shared" ref="E88:K88" si="28">E87/E$63</f>
        <v>0.11224087648774338</v>
      </c>
      <c r="F88" s="61">
        <f t="shared" si="28"/>
        <v>0.113620014387339</v>
      </c>
      <c r="G88" s="61">
        <f t="shared" ca="1" si="28"/>
        <v>5.5999693917351399E-2</v>
      </c>
      <c r="H88" s="61">
        <f t="shared" ca="1" si="28"/>
        <v>0.10553817688376906</v>
      </c>
      <c r="I88" s="61">
        <f t="shared" ca="1" si="28"/>
        <v>0.14169691734791914</v>
      </c>
      <c r="J88" s="61">
        <f t="shared" ca="1" si="28"/>
        <v>0.17815386279255399</v>
      </c>
      <c r="K88" s="61">
        <f t="shared" ca="1" si="28"/>
        <v>0.20521712916650514</v>
      </c>
    </row>
    <row r="89" spans="1:21" x14ac:dyDescent="0.35">
      <c r="A89" s="4"/>
    </row>
    <row r="90" spans="1:21" x14ac:dyDescent="0.35">
      <c r="A90" s="4"/>
      <c r="B90" t="s">
        <v>78</v>
      </c>
      <c r="D90" s="52">
        <v>103.4</v>
      </c>
      <c r="E90" s="52">
        <v>84.7</v>
      </c>
      <c r="F90" s="52">
        <v>97.5</v>
      </c>
      <c r="G90" s="21">
        <f ca="1">G87*G91</f>
        <v>48.712851241317153</v>
      </c>
      <c r="H90" s="21">
        <f t="shared" ref="H90:K90" ca="1" si="29">H87*H91</f>
        <v>73.86150894801672</v>
      </c>
      <c r="I90" s="21">
        <f t="shared" ca="1" si="29"/>
        <v>87.547902406072481</v>
      </c>
      <c r="J90" s="21">
        <f t="shared" ca="1" si="29"/>
        <v>109.89062901375993</v>
      </c>
      <c r="K90" s="21">
        <f t="shared" ca="1" si="29"/>
        <v>132.06254252804462</v>
      </c>
    </row>
    <row r="91" spans="1:21" x14ac:dyDescent="0.35">
      <c r="A91" s="4"/>
      <c r="B91" s="77" t="s">
        <v>79</v>
      </c>
      <c r="D91" s="60">
        <f>D59</f>
        <v>0.35290102389078526</v>
      </c>
      <c r="E91" s="60">
        <f>E59</f>
        <v>0.29740168539325834</v>
      </c>
      <c r="F91" s="60">
        <f>F59</f>
        <v>0.34294759057333851</v>
      </c>
      <c r="G91" s="60">
        <f>G59</f>
        <v>0.33794759057333851</v>
      </c>
      <c r="H91" s="60">
        <f t="shared" ref="H91:K91" si="30">H59</f>
        <v>0.3329475905733385</v>
      </c>
      <c r="I91" s="60">
        <f t="shared" si="30"/>
        <v>0.3279475905733385</v>
      </c>
      <c r="J91" s="60">
        <f t="shared" si="30"/>
        <v>0.32294759057333849</v>
      </c>
      <c r="K91" s="60">
        <f t="shared" si="30"/>
        <v>0.31794759057333849</v>
      </c>
    </row>
    <row r="92" spans="1:21" x14ac:dyDescent="0.35">
      <c r="A92" s="4"/>
    </row>
    <row r="93" spans="1:21" x14ac:dyDescent="0.35">
      <c r="A93" s="4"/>
      <c r="B93" s="68" t="s">
        <v>80</v>
      </c>
      <c r="C93" s="69"/>
      <c r="D93" s="71">
        <f>D87-D90</f>
        <v>189.59999999999977</v>
      </c>
      <c r="E93" s="71">
        <f t="shared" ref="E93:F93" si="31">E87-E90</f>
        <v>200.10000000000008</v>
      </c>
      <c r="F93" s="71">
        <f t="shared" si="31"/>
        <v>186.79999999999961</v>
      </c>
      <c r="G93" s="71">
        <f ca="1">G87-G90</f>
        <v>95.430360901945349</v>
      </c>
      <c r="H93" s="71">
        <f t="shared" ref="H93:K93" ca="1" si="32">H87-H90</f>
        <v>147.97973886166585</v>
      </c>
      <c r="I93" s="71">
        <f t="shared" ca="1" si="32"/>
        <v>179.40908987740721</v>
      </c>
      <c r="J93" s="71">
        <f t="shared" ca="1" si="32"/>
        <v>230.38324892001819</v>
      </c>
      <c r="K93" s="72">
        <f t="shared" ca="1" si="32"/>
        <v>283.29692690496177</v>
      </c>
    </row>
    <row r="94" spans="1:21" x14ac:dyDescent="0.35">
      <c r="A94" s="4"/>
      <c r="B94" s="78" t="s">
        <v>69</v>
      </c>
      <c r="C94" s="74"/>
      <c r="D94" s="75">
        <f>D93/D$63</f>
        <v>7.7239581211553263E-2</v>
      </c>
      <c r="E94" s="75">
        <f t="shared" ref="E94:K94" si="33">E93/E$63</f>
        <v>7.8860250650271954E-2</v>
      </c>
      <c r="F94" s="75">
        <f t="shared" si="33"/>
        <v>7.4654304212293035E-2</v>
      </c>
      <c r="G94" s="75">
        <f t="shared" ca="1" si="33"/>
        <v>3.7074732285138051E-2</v>
      </c>
      <c r="H94" s="75">
        <f t="shared" ca="1" si="33"/>
        <v>7.0399495176815347E-2</v>
      </c>
      <c r="I94" s="75">
        <f t="shared" ca="1" si="33"/>
        <v>9.5227754711999582E-2</v>
      </c>
      <c r="J94" s="75">
        <f t="shared" ca="1" si="33"/>
        <v>0.12061950205236555</v>
      </c>
      <c r="K94" s="76">
        <f t="shared" ca="1" si="33"/>
        <v>0.13996883740363725</v>
      </c>
    </row>
    <row r="95" spans="1:21" x14ac:dyDescent="0.35">
      <c r="A95" s="4"/>
    </row>
    <row r="96" spans="1:21" x14ac:dyDescent="0.35">
      <c r="A96" s="4"/>
      <c r="B96" s="81" t="s">
        <v>89</v>
      </c>
    </row>
    <row r="97" spans="1:11" x14ac:dyDescent="0.35">
      <c r="A97" s="4"/>
      <c r="B97" t="s">
        <v>72</v>
      </c>
      <c r="D97" s="51">
        <f>D75</f>
        <v>354.19999999999982</v>
      </c>
      <c r="E97" s="51">
        <f t="shared" ref="E97:F97" si="34">E75</f>
        <v>339.40000000000009</v>
      </c>
      <c r="F97" s="51">
        <f t="shared" si="34"/>
        <v>332.89999999999964</v>
      </c>
    </row>
    <row r="98" spans="1:11" x14ac:dyDescent="0.35">
      <c r="A98" s="4"/>
      <c r="B98" t="s">
        <v>90</v>
      </c>
      <c r="D98" s="51">
        <f>D160</f>
        <v>95.6</v>
      </c>
      <c r="E98" s="51">
        <f t="shared" ref="E98:F98" si="35">E160</f>
        <v>98.1</v>
      </c>
      <c r="F98" s="51">
        <f t="shared" si="35"/>
        <v>111.7</v>
      </c>
      <c r="G98" s="56"/>
      <c r="I98" s="56"/>
      <c r="J98" s="57"/>
      <c r="K98" s="56"/>
    </row>
    <row r="99" spans="1:11" x14ac:dyDescent="0.35">
      <c r="A99" s="4"/>
      <c r="B99" s="3" t="s">
        <v>91</v>
      </c>
      <c r="C99" s="3"/>
      <c r="D99" s="82">
        <v>0</v>
      </c>
      <c r="E99" s="82">
        <f>1.5+2</f>
        <v>3.5</v>
      </c>
      <c r="F99" s="82">
        <v>0</v>
      </c>
      <c r="G99" s="3"/>
      <c r="H99" s="3"/>
      <c r="I99" s="3"/>
      <c r="J99" s="3"/>
      <c r="K99" s="3"/>
    </row>
    <row r="100" spans="1:11" x14ac:dyDescent="0.35">
      <c r="A100" s="4"/>
      <c r="B100" s="7" t="s">
        <v>92</v>
      </c>
      <c r="C100" s="7"/>
      <c r="D100" s="49">
        <f>D97+D98+D99</f>
        <v>449.79999999999984</v>
      </c>
      <c r="E100" s="49">
        <f t="shared" ref="E100:F100" si="36">E97+E98+E99</f>
        <v>441.00000000000011</v>
      </c>
      <c r="F100" s="49">
        <f t="shared" si="36"/>
        <v>444.59999999999962</v>
      </c>
    </row>
    <row r="101" spans="1:11" x14ac:dyDescent="0.35">
      <c r="A101" s="4"/>
      <c r="B101" s="77" t="s">
        <v>69</v>
      </c>
      <c r="D101" s="61">
        <f>D100/D$63</f>
        <v>0.18324031449871669</v>
      </c>
      <c r="E101" s="61">
        <f t="shared" ref="E101:F101" si="37">E100/E$63</f>
        <v>0.1737999527074959</v>
      </c>
      <c r="F101" s="61">
        <f t="shared" si="37"/>
        <v>0.17768363839820944</v>
      </c>
    </row>
    <row r="102" spans="1:11" x14ac:dyDescent="0.35">
      <c r="A102" s="4"/>
    </row>
    <row r="103" spans="1:11" x14ac:dyDescent="0.35">
      <c r="A103" s="4"/>
      <c r="B103" s="68" t="s">
        <v>92</v>
      </c>
      <c r="C103" s="69"/>
      <c r="D103" s="93">
        <f>D100</f>
        <v>449.79999999999984</v>
      </c>
      <c r="E103" s="93">
        <f t="shared" ref="E103:F104" si="38">E100</f>
        <v>441.00000000000011</v>
      </c>
      <c r="F103" s="93">
        <f t="shared" si="38"/>
        <v>444.59999999999962</v>
      </c>
      <c r="G103" s="95">
        <f>CHOOSE(CASE,G106,G109)</f>
        <v>464</v>
      </c>
      <c r="H103" s="95">
        <f>CHOOSE(CASE,H106,H109)</f>
        <v>518</v>
      </c>
      <c r="I103" s="95">
        <f>CHOOSE(CASE,I106,I109)</f>
        <v>563</v>
      </c>
      <c r="J103" s="95">
        <f>CHOOSE(CASE,J106,J109)</f>
        <v>620</v>
      </c>
      <c r="K103" s="96">
        <f>CHOOSE(CASE,K106,K109)</f>
        <v>685</v>
      </c>
    </row>
    <row r="104" spans="1:11" x14ac:dyDescent="0.35">
      <c r="A104" s="4"/>
      <c r="B104" s="78" t="s">
        <v>69</v>
      </c>
      <c r="C104" s="74"/>
      <c r="D104" s="91">
        <f>D101</f>
        <v>0.18324031449871669</v>
      </c>
      <c r="E104" s="91">
        <f t="shared" si="38"/>
        <v>0.1737999527074959</v>
      </c>
      <c r="F104" s="91">
        <f t="shared" si="38"/>
        <v>0.17768363839820944</v>
      </c>
      <c r="G104" s="75">
        <f t="shared" ref="G104:K104" si="39">G103/G$63</f>
        <v>0.18026418026418026</v>
      </c>
      <c r="H104" s="75">
        <f t="shared" si="39"/>
        <v>0.24643196955280686</v>
      </c>
      <c r="I104" s="75">
        <f t="shared" si="39"/>
        <v>0.29883227176220806</v>
      </c>
      <c r="J104" s="75">
        <f t="shared" si="39"/>
        <v>0.32460732984293195</v>
      </c>
      <c r="K104" s="76">
        <f t="shared" si="39"/>
        <v>0.3384387351778656</v>
      </c>
    </row>
    <row r="105" spans="1:11" x14ac:dyDescent="0.35">
      <c r="A105" s="4"/>
    </row>
    <row r="106" spans="1:11" x14ac:dyDescent="0.35">
      <c r="A106" s="4"/>
      <c r="B106" t="s">
        <v>93</v>
      </c>
      <c r="G106" s="50">
        <f ca="1">G78+G163</f>
        <v>450.76559691271132</v>
      </c>
      <c r="H106" s="50">
        <f ca="1">H78+H163</f>
        <v>452.66873764977436</v>
      </c>
      <c r="I106" s="50">
        <f ca="1">I78+I163</f>
        <v>481.05277722748565</v>
      </c>
      <c r="J106" s="50">
        <f ca="1">J78+J163</f>
        <v>562.81506608518976</v>
      </c>
      <c r="K106" s="50">
        <f ca="1">K78+K163</f>
        <v>675.44187107666198</v>
      </c>
    </row>
    <row r="107" spans="1:11" x14ac:dyDescent="0.35">
      <c r="A107" s="4"/>
      <c r="B107" s="77" t="s">
        <v>69</v>
      </c>
      <c r="G107" s="61">
        <f t="shared" ref="G107:K107" ca="1" si="40">G106/G$63</f>
        <v>0.17512260952319786</v>
      </c>
      <c r="H107" s="61">
        <f t="shared" ca="1" si="40"/>
        <v>0.21535144512358437</v>
      </c>
      <c r="I107" s="61">
        <f t="shared" ca="1" si="40"/>
        <v>0.25533586901671212</v>
      </c>
      <c r="J107" s="61">
        <f t="shared" ca="1" si="40"/>
        <v>0.29466757386659148</v>
      </c>
      <c r="K107" s="61">
        <f t="shared" ca="1" si="40"/>
        <v>0.33371633946475393</v>
      </c>
    </row>
    <row r="108" spans="1:11" x14ac:dyDescent="0.35">
      <c r="A108" s="4"/>
    </row>
    <row r="109" spans="1:11" x14ac:dyDescent="0.35">
      <c r="A109" s="4"/>
      <c r="B109" t="s">
        <v>94</v>
      </c>
      <c r="G109" s="52">
        <v>464</v>
      </c>
      <c r="H109" s="52">
        <v>518</v>
      </c>
      <c r="I109" s="52">
        <v>563</v>
      </c>
      <c r="J109" s="52">
        <v>620</v>
      </c>
      <c r="K109" s="52">
        <v>685</v>
      </c>
    </row>
    <row r="110" spans="1:11" x14ac:dyDescent="0.35">
      <c r="A110" s="4"/>
      <c r="B110" s="77" t="s">
        <v>69</v>
      </c>
      <c r="G110" s="61">
        <f t="shared" ref="G110:K110" si="41">G109/G$63</f>
        <v>0.18026418026418026</v>
      </c>
      <c r="H110" s="61">
        <f t="shared" si="41"/>
        <v>0.24643196955280686</v>
      </c>
      <c r="I110" s="61">
        <f t="shared" si="41"/>
        <v>0.29883227176220806</v>
      </c>
      <c r="J110" s="61">
        <f t="shared" si="41"/>
        <v>0.32460732984293195</v>
      </c>
      <c r="K110" s="61">
        <f t="shared" si="41"/>
        <v>0.3384387351778656</v>
      </c>
    </row>
    <row r="111" spans="1:11" x14ac:dyDescent="0.35">
      <c r="A111" s="4"/>
    </row>
    <row r="112" spans="1:11" x14ac:dyDescent="0.35">
      <c r="A112" s="4" t="s">
        <v>0</v>
      </c>
      <c r="B112" s="6" t="s">
        <v>121</v>
      </c>
      <c r="C112" s="6"/>
      <c r="D112" s="53">
        <v>2008</v>
      </c>
      <c r="E112" s="53">
        <f>D112+1</f>
        <v>2009</v>
      </c>
      <c r="F112" s="53">
        <f t="shared" ref="F112:K112" si="42">E112+1</f>
        <v>2010</v>
      </c>
      <c r="G112" s="54">
        <f t="shared" si="42"/>
        <v>2011</v>
      </c>
      <c r="H112" s="54">
        <f t="shared" si="42"/>
        <v>2012</v>
      </c>
      <c r="I112" s="54">
        <f t="shared" si="42"/>
        <v>2013</v>
      </c>
      <c r="J112" s="54">
        <f t="shared" si="42"/>
        <v>2014</v>
      </c>
      <c r="K112" s="54">
        <f t="shared" si="42"/>
        <v>2015</v>
      </c>
    </row>
    <row r="113" spans="1:13" x14ac:dyDescent="0.35">
      <c r="A113" s="4"/>
    </row>
    <row r="114" spans="1:13" x14ac:dyDescent="0.35">
      <c r="A114" s="4"/>
      <c r="B114" t="s">
        <v>161</v>
      </c>
      <c r="D114" s="52">
        <v>139.30000000000001</v>
      </c>
      <c r="E114" s="52">
        <v>130</v>
      </c>
      <c r="F114" s="52">
        <v>142.9</v>
      </c>
      <c r="G114" s="50">
        <f>G115*G$63</f>
        <v>141.64856567644247</v>
      </c>
      <c r="H114" s="50">
        <f t="shared" ref="H114:K114" si="43">H115*H$63</f>
        <v>115.6741589168151</v>
      </c>
      <c r="I114" s="50">
        <f t="shared" si="43"/>
        <v>103.67750494732618</v>
      </c>
      <c r="J114" s="50">
        <f t="shared" si="43"/>
        <v>105.10829854001753</v>
      </c>
      <c r="K114" s="50">
        <f t="shared" si="43"/>
        <v>111.38177813874108</v>
      </c>
    </row>
    <row r="115" spans="1:13" x14ac:dyDescent="0.35">
      <c r="A115" s="4"/>
      <c r="B115" s="77" t="s">
        <v>69</v>
      </c>
      <c r="D115" s="61">
        <f>D114/D$63</f>
        <v>5.6748278812074802E-2</v>
      </c>
      <c r="E115" s="61">
        <f t="shared" ref="E115:F115" si="44">E114/E$63</f>
        <v>5.1233546149601954E-2</v>
      </c>
      <c r="F115" s="61">
        <f t="shared" si="44"/>
        <v>5.7109743425785314E-2</v>
      </c>
      <c r="G115" s="61">
        <f>AVERAGE(D115:F115)</f>
        <v>5.5030522795820692E-2</v>
      </c>
      <c r="H115" s="60">
        <f>G115</f>
        <v>5.5030522795820692E-2</v>
      </c>
      <c r="I115" s="60">
        <f t="shared" ref="I115:K115" si="45">H115</f>
        <v>5.5030522795820692E-2</v>
      </c>
      <c r="J115" s="60">
        <f t="shared" si="45"/>
        <v>5.5030522795820692E-2</v>
      </c>
      <c r="K115" s="60">
        <f t="shared" si="45"/>
        <v>5.5030522795820692E-2</v>
      </c>
    </row>
    <row r="116" spans="1:13" x14ac:dyDescent="0.35">
      <c r="A116" s="4"/>
      <c r="B116" s="81"/>
    </row>
    <row r="117" spans="1:13" x14ac:dyDescent="0.35">
      <c r="A117" s="4"/>
      <c r="B117" t="s">
        <v>162</v>
      </c>
      <c r="D117" s="52">
        <f>53.5+45.2</f>
        <v>98.7</v>
      </c>
      <c r="E117" s="52">
        <f>86.4+32.5</f>
        <v>118.9</v>
      </c>
      <c r="F117" s="52">
        <f>88.4+15.1</f>
        <v>103.5</v>
      </c>
      <c r="G117" s="50">
        <f>G118*G$63</f>
        <v>110.193943009389</v>
      </c>
      <c r="H117" s="50">
        <f t="shared" ref="H117:K117" si="46">H118*H$63</f>
        <v>89.987439085367399</v>
      </c>
      <c r="I117" s="50">
        <f t="shared" si="46"/>
        <v>80.654774137408268</v>
      </c>
      <c r="J117" s="50">
        <f t="shared" si="46"/>
        <v>81.767844268816233</v>
      </c>
      <c r="K117" s="50">
        <f t="shared" si="46"/>
        <v>86.648228691143487</v>
      </c>
    </row>
    <row r="118" spans="1:13" x14ac:dyDescent="0.35">
      <c r="A118" s="4"/>
      <c r="B118" s="77" t="s">
        <v>69</v>
      </c>
      <c r="D118" s="61">
        <f>D117/D$63</f>
        <v>4.0208579459811794E-2</v>
      </c>
      <c r="E118" s="61">
        <f t="shared" ref="E118:F118" si="47">E117/E$63</f>
        <v>4.6858989516828251E-2</v>
      </c>
      <c r="F118" s="61">
        <f t="shared" si="47"/>
        <v>4.136360003197187E-2</v>
      </c>
      <c r="G118" s="61">
        <f>AVERAGE(D118:F118)</f>
        <v>4.2810389669537298E-2</v>
      </c>
      <c r="H118" s="60">
        <f>G118</f>
        <v>4.2810389669537298E-2</v>
      </c>
      <c r="I118" s="60">
        <f t="shared" ref="I118:K118" si="48">H118</f>
        <v>4.2810389669537298E-2</v>
      </c>
      <c r="J118" s="60">
        <f t="shared" si="48"/>
        <v>4.2810389669537298E-2</v>
      </c>
      <c r="K118" s="60">
        <f t="shared" si="48"/>
        <v>4.2810389669537298E-2</v>
      </c>
    </row>
    <row r="119" spans="1:13" x14ac:dyDescent="0.35">
      <c r="A119" s="4"/>
      <c r="B119" s="81"/>
    </row>
    <row r="120" spans="1:13" x14ac:dyDescent="0.35">
      <c r="A120" s="4"/>
      <c r="B120" t="s">
        <v>163</v>
      </c>
      <c r="D120" s="52">
        <v>129.5</v>
      </c>
      <c r="E120" s="52">
        <v>127</v>
      </c>
      <c r="F120" s="52">
        <v>106.9</v>
      </c>
      <c r="G120" s="50">
        <f>G121*G$63</f>
        <v>109.96746862760772</v>
      </c>
      <c r="H120" s="50">
        <f t="shared" ref="H120:K120" si="49">H121*H$63</f>
        <v>89.802493805451206</v>
      </c>
      <c r="I120" s="50">
        <f t="shared" si="49"/>
        <v>80.4890096714891</v>
      </c>
      <c r="J120" s="50">
        <f t="shared" si="49"/>
        <v>81.599792182879071</v>
      </c>
      <c r="K120" s="50">
        <f t="shared" si="49"/>
        <v>86.47014627128128</v>
      </c>
    </row>
    <row r="121" spans="1:13" x14ac:dyDescent="0.35">
      <c r="A121" s="4"/>
      <c r="B121" s="77" t="s">
        <v>69</v>
      </c>
      <c r="D121" s="61">
        <f t="shared" ref="D121:F121" si="50">D120/D$63</f>
        <v>5.2755937589114767E-2</v>
      </c>
      <c r="E121" s="61">
        <f t="shared" si="50"/>
        <v>5.0051233546149598E-2</v>
      </c>
      <c r="F121" s="61">
        <f t="shared" si="50"/>
        <v>4.2722404284229881E-2</v>
      </c>
      <c r="G121" s="61">
        <f>F121</f>
        <v>4.2722404284229881E-2</v>
      </c>
      <c r="H121" s="60">
        <f>G121</f>
        <v>4.2722404284229881E-2</v>
      </c>
      <c r="I121" s="60">
        <f t="shared" ref="I121:K121" si="51">H121</f>
        <v>4.2722404284229881E-2</v>
      </c>
      <c r="J121" s="60">
        <f t="shared" si="51"/>
        <v>4.2722404284229881E-2</v>
      </c>
      <c r="K121" s="60">
        <f t="shared" si="51"/>
        <v>4.2722404284229881E-2</v>
      </c>
      <c r="M121" s="127" t="s">
        <v>164</v>
      </c>
    </row>
    <row r="122" spans="1:13" x14ac:dyDescent="0.35">
      <c r="A122" s="4"/>
      <c r="B122" s="81"/>
    </row>
    <row r="123" spans="1:13" x14ac:dyDescent="0.35">
      <c r="A123" s="4"/>
      <c r="B123" t="s">
        <v>165</v>
      </c>
      <c r="D123" s="52">
        <v>77.2</v>
      </c>
      <c r="E123" s="52">
        <v>67.8</v>
      </c>
      <c r="F123" s="52">
        <v>71.900000000000006</v>
      </c>
      <c r="G123" s="50">
        <f>G124*G$63</f>
        <v>74.564361269911387</v>
      </c>
      <c r="H123" s="50">
        <f t="shared" ref="H123:K123" si="52">H124*H$63</f>
        <v>60.891331542095465</v>
      </c>
      <c r="I123" s="50">
        <f t="shared" si="52"/>
        <v>54.576245777977093</v>
      </c>
      <c r="J123" s="50">
        <f t="shared" si="52"/>
        <v>55.329421144339832</v>
      </c>
      <c r="K123" s="50">
        <f t="shared" si="52"/>
        <v>58.631805443007238</v>
      </c>
    </row>
    <row r="124" spans="1:13" x14ac:dyDescent="0.35">
      <c r="A124" s="4"/>
      <c r="B124" s="77" t="s">
        <v>69</v>
      </c>
      <c r="D124" s="61">
        <f>D123/D$63</f>
        <v>3.1449871674746409E-2</v>
      </c>
      <c r="E124" s="61">
        <f t="shared" ref="E124:F124" si="53">E123/E$63</f>
        <v>2.6720264838023172E-2</v>
      </c>
      <c r="F124" s="61">
        <f t="shared" si="53"/>
        <v>2.8734713452162101E-2</v>
      </c>
      <c r="G124" s="61">
        <f>AVERAGE(D124:F124)</f>
        <v>2.8968283321643893E-2</v>
      </c>
      <c r="H124" s="60">
        <f>G124</f>
        <v>2.8968283321643893E-2</v>
      </c>
      <c r="I124" s="60">
        <f t="shared" ref="I124:K124" si="54">H124</f>
        <v>2.8968283321643893E-2</v>
      </c>
      <c r="J124" s="60">
        <f t="shared" si="54"/>
        <v>2.8968283321643893E-2</v>
      </c>
      <c r="K124" s="60">
        <f t="shared" si="54"/>
        <v>2.8968283321643893E-2</v>
      </c>
    </row>
    <row r="125" spans="1:13" x14ac:dyDescent="0.35">
      <c r="A125" s="4"/>
      <c r="B125" s="81"/>
    </row>
    <row r="126" spans="1:13" x14ac:dyDescent="0.35">
      <c r="A126" s="4"/>
      <c r="B126" t="s">
        <v>166</v>
      </c>
      <c r="D126" s="52">
        <v>241.9</v>
      </c>
      <c r="E126" s="52">
        <v>220</v>
      </c>
      <c r="F126" s="52">
        <v>200.9</v>
      </c>
      <c r="G126" s="50">
        <f>G127*G$63</f>
        <v>206.66477499800177</v>
      </c>
      <c r="H126" s="50">
        <f t="shared" ref="H126:K126" si="55">H127*H$63</f>
        <v>168.76820398049716</v>
      </c>
      <c r="I126" s="50">
        <f t="shared" si="55"/>
        <v>151.2651266885141</v>
      </c>
      <c r="J126" s="50">
        <f t="shared" si="55"/>
        <v>153.35264966829192</v>
      </c>
      <c r="K126" s="50">
        <f t="shared" si="55"/>
        <v>162.50563504116377</v>
      </c>
      <c r="M126" s="81" t="s">
        <v>167</v>
      </c>
    </row>
    <row r="127" spans="1:13" x14ac:dyDescent="0.35">
      <c r="A127" s="4"/>
      <c r="B127" s="77" t="s">
        <v>69</v>
      </c>
      <c r="D127" s="61">
        <f>D126/D$63</f>
        <v>9.8545647125921718E-2</v>
      </c>
      <c r="E127" s="61">
        <f t="shared" ref="E127:F127" si="56">E126/E$63</f>
        <v>8.6702924253172539E-2</v>
      </c>
      <c r="F127" s="61">
        <f t="shared" si="56"/>
        <v>8.0289345376069063E-2</v>
      </c>
      <c r="G127" s="61">
        <f>F127</f>
        <v>8.0289345376069063E-2</v>
      </c>
      <c r="H127" s="60">
        <f>G127</f>
        <v>8.0289345376069063E-2</v>
      </c>
      <c r="I127" s="60">
        <f t="shared" ref="I127:K127" si="57">H127</f>
        <v>8.0289345376069063E-2</v>
      </c>
      <c r="J127" s="60">
        <f t="shared" si="57"/>
        <v>8.0289345376069063E-2</v>
      </c>
      <c r="K127" s="60">
        <f t="shared" si="57"/>
        <v>8.0289345376069063E-2</v>
      </c>
      <c r="M127" t="s">
        <v>168</v>
      </c>
    </row>
    <row r="128" spans="1:13" x14ac:dyDescent="0.35">
      <c r="A128" s="4"/>
      <c r="B128" s="81"/>
      <c r="M128" t="s">
        <v>169</v>
      </c>
    </row>
    <row r="129" spans="1:13" x14ac:dyDescent="0.35">
      <c r="A129" s="4"/>
      <c r="B129" s="68" t="s">
        <v>120</v>
      </c>
      <c r="C129" s="69"/>
      <c r="D129" s="71">
        <f>D114+D117-D120-D123-D126</f>
        <v>-210.60000000000002</v>
      </c>
      <c r="E129" s="71">
        <f t="shared" ref="E129:K129" si="58">E114+E117-E120-E123-E126</f>
        <v>-165.89999999999998</v>
      </c>
      <c r="F129" s="71">
        <f t="shared" si="58"/>
        <v>-133.30000000000001</v>
      </c>
      <c r="G129" s="71">
        <f t="shared" si="58"/>
        <v>-139.3540962096894</v>
      </c>
      <c r="H129" s="71">
        <f t="shared" si="58"/>
        <v>-113.80043132586133</v>
      </c>
      <c r="I129" s="71">
        <f t="shared" si="58"/>
        <v>-101.99810305324583</v>
      </c>
      <c r="J129" s="71">
        <f t="shared" si="58"/>
        <v>-103.40572018667704</v>
      </c>
      <c r="K129" s="72">
        <f t="shared" si="58"/>
        <v>-109.57757992556772</v>
      </c>
      <c r="M129" t="s">
        <v>170</v>
      </c>
    </row>
    <row r="130" spans="1:13" x14ac:dyDescent="0.35">
      <c r="A130" s="4"/>
      <c r="B130" s="78" t="s">
        <v>69</v>
      </c>
      <c r="C130" s="74"/>
      <c r="D130" s="75">
        <f t="shared" ref="D130:K130" si="59">D129/D$63</f>
        <v>-8.579459811789629E-2</v>
      </c>
      <c r="E130" s="75">
        <f t="shared" si="59"/>
        <v>-6.5381886970915098E-2</v>
      </c>
      <c r="F130" s="75">
        <f t="shared" si="59"/>
        <v>-5.3273119654703868E-2</v>
      </c>
      <c r="G130" s="115">
        <f t="shared" si="59"/>
        <v>-5.413912051658485E-2</v>
      </c>
      <c r="H130" s="115">
        <f t="shared" si="59"/>
        <v>-5.4139120516584836E-2</v>
      </c>
      <c r="I130" s="115">
        <f t="shared" si="59"/>
        <v>-5.4139120516584836E-2</v>
      </c>
      <c r="J130" s="115">
        <f t="shared" si="59"/>
        <v>-5.4139120516584843E-2</v>
      </c>
      <c r="K130" s="116">
        <f t="shared" si="59"/>
        <v>-5.4139120516584843E-2</v>
      </c>
      <c r="M130" t="s">
        <v>171</v>
      </c>
    </row>
    <row r="131" spans="1:13" x14ac:dyDescent="0.35">
      <c r="A131" s="4"/>
      <c r="B131" s="81"/>
      <c r="D131" s="21"/>
      <c r="E131" s="21"/>
      <c r="F131" s="21"/>
      <c r="G131" s="21"/>
      <c r="H131" s="21"/>
      <c r="I131" s="21"/>
      <c r="J131" s="21"/>
      <c r="K131" s="21"/>
    </row>
    <row r="132" spans="1:13" x14ac:dyDescent="0.35">
      <c r="A132" s="4"/>
      <c r="B132" s="68" t="s">
        <v>95</v>
      </c>
      <c r="C132" s="69"/>
      <c r="D132" s="128" t="s">
        <v>81</v>
      </c>
      <c r="E132" s="71">
        <f t="shared" ref="E132:K132" si="60">E129-D129</f>
        <v>44.700000000000045</v>
      </c>
      <c r="F132" s="71">
        <f t="shared" si="60"/>
        <v>32.599999999999966</v>
      </c>
      <c r="G132" s="71">
        <f t="shared" si="60"/>
        <v>-6.0540962096893907</v>
      </c>
      <c r="H132" s="71">
        <f t="shared" si="60"/>
        <v>25.553664883828077</v>
      </c>
      <c r="I132" s="71">
        <f t="shared" si="60"/>
        <v>11.802328272615497</v>
      </c>
      <c r="J132" s="71">
        <f t="shared" si="60"/>
        <v>-1.4076171334312164</v>
      </c>
      <c r="K132" s="72">
        <f t="shared" si="60"/>
        <v>-6.1718597388906744</v>
      </c>
    </row>
    <row r="133" spans="1:13" x14ac:dyDescent="0.35">
      <c r="A133" s="4"/>
      <c r="B133" s="78" t="s">
        <v>69</v>
      </c>
      <c r="C133" s="74"/>
      <c r="D133" s="75" t="s">
        <v>81</v>
      </c>
      <c r="E133" s="115">
        <f>E132/E$63</f>
        <v>1.7616457791440075E-2</v>
      </c>
      <c r="F133" s="115">
        <f>F132/F$63</f>
        <v>1.3028534889297406E-2</v>
      </c>
      <c r="G133" s="115">
        <f>G132/G$63</f>
        <v>-2.3520187294830577E-3</v>
      </c>
      <c r="H133" s="115">
        <f t="shared" ref="H133:K133" si="61">H132/H$63</f>
        <v>1.2156833912382529E-2</v>
      </c>
      <c r="I133" s="115">
        <f t="shared" si="61"/>
        <v>6.2645054525559962E-3</v>
      </c>
      <c r="J133" s="115">
        <f t="shared" si="61"/>
        <v>-7.3697232116817616E-4</v>
      </c>
      <c r="K133" s="116">
        <f t="shared" si="61"/>
        <v>-3.0493378156574479E-3</v>
      </c>
    </row>
    <row r="134" spans="1:13" x14ac:dyDescent="0.35">
      <c r="A134" s="4"/>
    </row>
    <row r="135" spans="1:13" x14ac:dyDescent="0.35">
      <c r="A135" s="4" t="s">
        <v>0</v>
      </c>
      <c r="B135" s="6" t="s">
        <v>122</v>
      </c>
      <c r="C135" s="6"/>
      <c r="D135" s="53">
        <v>2008</v>
      </c>
      <c r="E135" s="53">
        <f>D135+1</f>
        <v>2009</v>
      </c>
      <c r="F135" s="53">
        <f t="shared" ref="F135:K135" si="62">E135+1</f>
        <v>2010</v>
      </c>
      <c r="G135" s="54">
        <f t="shared" si="62"/>
        <v>2011</v>
      </c>
      <c r="H135" s="54">
        <f t="shared" si="62"/>
        <v>2012</v>
      </c>
      <c r="I135" s="54">
        <f t="shared" si="62"/>
        <v>2013</v>
      </c>
      <c r="J135" s="54">
        <f t="shared" si="62"/>
        <v>2014</v>
      </c>
      <c r="K135" s="54">
        <f t="shared" si="62"/>
        <v>2015</v>
      </c>
    </row>
    <row r="136" spans="1:13" x14ac:dyDescent="0.35">
      <c r="A136" s="4"/>
    </row>
    <row r="137" spans="1:13" x14ac:dyDescent="0.35">
      <c r="A137" s="4"/>
      <c r="B137" t="s">
        <v>125</v>
      </c>
      <c r="D137" s="52">
        <v>178.2</v>
      </c>
      <c r="E137" s="52">
        <v>204</v>
      </c>
      <c r="F137" s="52">
        <v>150.30000000000001</v>
      </c>
      <c r="G137" s="50">
        <f>G138*G$63</f>
        <v>182.80533167533957</v>
      </c>
      <c r="H137" s="50">
        <f t="shared" ref="H137:K137" si="63">H138*H$63</f>
        <v>149.2839188739564</v>
      </c>
      <c r="I137" s="50">
        <f t="shared" si="63"/>
        <v>133.80157143602943</v>
      </c>
      <c r="J137" s="50">
        <f t="shared" si="63"/>
        <v>135.64808993780053</v>
      </c>
      <c r="K137" s="50">
        <f t="shared" si="63"/>
        <v>143.74436336864309</v>
      </c>
    </row>
    <row r="138" spans="1:13" x14ac:dyDescent="0.35">
      <c r="A138" s="4"/>
      <c r="B138" s="77" t="s">
        <v>69</v>
      </c>
      <c r="D138" s="61">
        <f>D137/D$63</f>
        <v>7.2595429176681464E-2</v>
      </c>
      <c r="E138" s="61">
        <f t="shared" ref="E138:F138" si="64">E137/E$63</f>
        <v>8.0397257034759986E-2</v>
      </c>
      <c r="F138" s="61">
        <f t="shared" si="64"/>
        <v>6.0067140915993932E-2</v>
      </c>
      <c r="G138" s="61">
        <f>AVERAGE(D138:F138)</f>
        <v>7.1019942375811801E-2</v>
      </c>
      <c r="H138" s="60">
        <f>G138</f>
        <v>7.1019942375811801E-2</v>
      </c>
      <c r="I138" s="60">
        <f t="shared" ref="I138:K138" si="65">H138</f>
        <v>7.1019942375811801E-2</v>
      </c>
      <c r="J138" s="60">
        <f t="shared" si="65"/>
        <v>7.1019942375811801E-2</v>
      </c>
      <c r="K138" s="60">
        <f t="shared" si="65"/>
        <v>7.1019942375811801E-2</v>
      </c>
    </row>
    <row r="139" spans="1:13" x14ac:dyDescent="0.35">
      <c r="A139" s="4"/>
    </row>
    <row r="140" spans="1:13" x14ac:dyDescent="0.35">
      <c r="A140" s="4"/>
      <c r="B140" t="s">
        <v>126</v>
      </c>
      <c r="D140" s="52">
        <f>95.6-D153</f>
        <v>90.6</v>
      </c>
      <c r="E140" s="52">
        <f>98.1-E153</f>
        <v>89.3</v>
      </c>
      <c r="F140" s="52">
        <f>111.7-F153</f>
        <v>103</v>
      </c>
      <c r="G140" s="50">
        <f>G142*G137</f>
        <v>99.413115096709689</v>
      </c>
      <c r="H140" s="50">
        <f t="shared" ref="H140:K140" si="66">H142*H137</f>
        <v>81.183515125595861</v>
      </c>
      <c r="I140" s="50">
        <f t="shared" si="66"/>
        <v>72.763911749106867</v>
      </c>
      <c r="J140" s="50">
        <f t="shared" si="66"/>
        <v>73.768084628871605</v>
      </c>
      <c r="K140" s="50">
        <f t="shared" si="66"/>
        <v>78.170996486301647</v>
      </c>
    </row>
    <row r="141" spans="1:13" x14ac:dyDescent="0.35">
      <c r="A141" s="4"/>
      <c r="B141" s="77" t="s">
        <v>69</v>
      </c>
      <c r="D141" s="61">
        <f>D140/D$63</f>
        <v>3.6908787224508084E-2</v>
      </c>
      <c r="E141" s="61">
        <f t="shared" ref="E141:F141" si="67">E140/E$63</f>
        <v>3.5193505162765031E-2</v>
      </c>
      <c r="F141" s="61">
        <f t="shared" si="67"/>
        <v>4.116377587722804E-2</v>
      </c>
      <c r="G141" s="61">
        <f>AVERAGE(D141:F141)</f>
        <v>3.7755356088167054E-2</v>
      </c>
      <c r="H141" s="60">
        <f>G141</f>
        <v>3.7755356088167054E-2</v>
      </c>
      <c r="I141" s="60">
        <f t="shared" ref="I141:K142" si="68">H141</f>
        <v>3.7755356088167054E-2</v>
      </c>
      <c r="J141" s="60">
        <f t="shared" si="68"/>
        <v>3.7755356088167054E-2</v>
      </c>
      <c r="K141" s="60">
        <f t="shared" si="68"/>
        <v>3.7755356088167054E-2</v>
      </c>
    </row>
    <row r="142" spans="1:13" x14ac:dyDescent="0.35">
      <c r="A142" s="4"/>
      <c r="B142" s="77" t="s">
        <v>123</v>
      </c>
      <c r="D142" s="61">
        <f>D140/D137</f>
        <v>0.50841750841750843</v>
      </c>
      <c r="E142" s="61">
        <f t="shared" ref="E142:F142" si="69">E140/E137</f>
        <v>0.43774509803921569</v>
      </c>
      <c r="F142" s="61">
        <f t="shared" si="69"/>
        <v>0.6852960745176313</v>
      </c>
      <c r="G142" s="61">
        <f>AVERAGE(D142:F142)</f>
        <v>0.54381956032478518</v>
      </c>
      <c r="H142" s="60">
        <f>G142</f>
        <v>0.54381956032478518</v>
      </c>
      <c r="I142" s="60">
        <f t="shared" si="68"/>
        <v>0.54381956032478518</v>
      </c>
      <c r="J142" s="60">
        <f t="shared" si="68"/>
        <v>0.54381956032478518</v>
      </c>
      <c r="K142" s="60">
        <f t="shared" si="68"/>
        <v>0.54381956032478518</v>
      </c>
    </row>
    <row r="143" spans="1:13" x14ac:dyDescent="0.35">
      <c r="A143" s="4"/>
    </row>
    <row r="144" spans="1:13" x14ac:dyDescent="0.35">
      <c r="A144" s="4"/>
      <c r="B144" s="81" t="s">
        <v>124</v>
      </c>
    </row>
    <row r="145" spans="1:11" x14ac:dyDescent="0.35">
      <c r="A145" s="4"/>
      <c r="B145" s="8" t="s">
        <v>102</v>
      </c>
      <c r="D145" s="52"/>
      <c r="E145" s="52"/>
      <c r="F145" s="50">
        <f>F148+F147-F146</f>
        <v>966.8</v>
      </c>
      <c r="G145" s="51">
        <f>F148</f>
        <v>1014.1</v>
      </c>
      <c r="H145" s="51">
        <f t="shared" ref="H145:K145" si="70">G148</f>
        <v>1097.49221657863</v>
      </c>
      <c r="I145" s="51">
        <f t="shared" si="70"/>
        <v>1165.5926203269905</v>
      </c>
      <c r="J145" s="51">
        <f t="shared" si="70"/>
        <v>1226.6302800139131</v>
      </c>
      <c r="K145" s="51">
        <f t="shared" si="70"/>
        <v>1288.510285322842</v>
      </c>
    </row>
    <row r="146" spans="1:11" x14ac:dyDescent="0.35">
      <c r="A146" s="4"/>
      <c r="B146" s="8" t="s">
        <v>125</v>
      </c>
      <c r="D146" s="51"/>
      <c r="E146" s="51"/>
      <c r="F146" s="51">
        <f t="shared" ref="F146:K146" si="71">F137</f>
        <v>150.30000000000001</v>
      </c>
      <c r="G146" s="51">
        <f t="shared" si="71"/>
        <v>182.80533167533957</v>
      </c>
      <c r="H146" s="51">
        <f t="shared" si="71"/>
        <v>149.2839188739564</v>
      </c>
      <c r="I146" s="51">
        <f t="shared" si="71"/>
        <v>133.80157143602943</v>
      </c>
      <c r="J146" s="51">
        <f t="shared" si="71"/>
        <v>135.64808993780053</v>
      </c>
      <c r="K146" s="51">
        <f t="shared" si="71"/>
        <v>143.74436336864309</v>
      </c>
    </row>
    <row r="147" spans="1:11" x14ac:dyDescent="0.35">
      <c r="A147" s="4"/>
      <c r="B147" s="8" t="s">
        <v>126</v>
      </c>
      <c r="D147" s="51"/>
      <c r="E147" s="51"/>
      <c r="F147" s="51">
        <f t="shared" ref="F147:K147" si="72">F140</f>
        <v>103</v>
      </c>
      <c r="G147" s="51">
        <f t="shared" si="72"/>
        <v>99.413115096709689</v>
      </c>
      <c r="H147" s="51">
        <f t="shared" si="72"/>
        <v>81.183515125595861</v>
      </c>
      <c r="I147" s="51">
        <f t="shared" si="72"/>
        <v>72.763911749106867</v>
      </c>
      <c r="J147" s="51">
        <f t="shared" si="72"/>
        <v>73.768084628871605</v>
      </c>
      <c r="K147" s="51">
        <f t="shared" si="72"/>
        <v>78.170996486301647</v>
      </c>
    </row>
    <row r="148" spans="1:11" x14ac:dyDescent="0.35">
      <c r="A148" s="4"/>
      <c r="B148" s="97" t="s">
        <v>104</v>
      </c>
      <c r="D148" s="49"/>
      <c r="E148" s="117"/>
      <c r="F148" s="117">
        <v>1014.1</v>
      </c>
      <c r="G148" s="49">
        <f t="shared" ref="G148:K148" si="73">G145+G146-G147</f>
        <v>1097.49221657863</v>
      </c>
      <c r="H148" s="49">
        <f t="shared" si="73"/>
        <v>1165.5926203269905</v>
      </c>
      <c r="I148" s="49">
        <f t="shared" si="73"/>
        <v>1226.6302800139131</v>
      </c>
      <c r="J148" s="49">
        <f t="shared" si="73"/>
        <v>1288.510285322842</v>
      </c>
      <c r="K148" s="49">
        <f t="shared" si="73"/>
        <v>1354.0836522051834</v>
      </c>
    </row>
    <row r="149" spans="1:11" x14ac:dyDescent="0.35">
      <c r="A149" s="4"/>
    </row>
    <row r="150" spans="1:11" x14ac:dyDescent="0.35">
      <c r="A150" s="4"/>
      <c r="B150" s="81" t="s">
        <v>127</v>
      </c>
    </row>
    <row r="151" spans="1:11" x14ac:dyDescent="0.35">
      <c r="A151" s="4"/>
      <c r="B151" s="8" t="s">
        <v>102</v>
      </c>
      <c r="D151" s="21">
        <f>D154+D153-D152</f>
        <v>1059.5999999999999</v>
      </c>
      <c r="E151" s="51">
        <f t="shared" ref="E151:F151" si="74">D154</f>
        <v>1054.5999999999999</v>
      </c>
      <c r="F151" s="51">
        <f t="shared" si="74"/>
        <v>1062.7</v>
      </c>
      <c r="G151" s="51">
        <f>F154</f>
        <v>1025.4000000000001</v>
      </c>
      <c r="H151" s="51">
        <f t="shared" ref="H151:K151" ca="1" si="75">G154</f>
        <v>1025.4000000000001</v>
      </c>
      <c r="I151" s="51">
        <f t="shared" ca="1" si="75"/>
        <v>1025.4000000000001</v>
      </c>
      <c r="J151" s="51">
        <f t="shared" ca="1" si="75"/>
        <v>1025.4000000000001</v>
      </c>
      <c r="K151" s="51">
        <f t="shared" ca="1" si="75"/>
        <v>1025.4000000000001</v>
      </c>
    </row>
    <row r="152" spans="1:11" x14ac:dyDescent="0.35">
      <c r="A152" s="4"/>
      <c r="B152" s="8" t="s">
        <v>128</v>
      </c>
      <c r="D152" s="52">
        <v>0</v>
      </c>
      <c r="E152" s="21">
        <f>E154+E153-E151</f>
        <v>16.900000000000091</v>
      </c>
      <c r="F152" s="21">
        <f t="shared" ref="F152:K152" si="76">F154+F153-F151</f>
        <v>-28.599999999999909</v>
      </c>
      <c r="G152" s="21">
        <f t="shared" ca="1" si="76"/>
        <v>8.9000000000000909</v>
      </c>
      <c r="H152" s="21">
        <f t="shared" ca="1" si="76"/>
        <v>8.7999999999999545</v>
      </c>
      <c r="I152" s="21">
        <f t="shared" ca="1" si="76"/>
        <v>8.7999999999999545</v>
      </c>
      <c r="J152" s="21">
        <f t="shared" ca="1" si="76"/>
        <v>8.5999999999999091</v>
      </c>
      <c r="K152" s="21">
        <f t="shared" ca="1" si="76"/>
        <v>8.2000000000000455</v>
      </c>
    </row>
    <row r="153" spans="1:11" x14ac:dyDescent="0.35">
      <c r="A153" s="4"/>
      <c r="B153" s="8" t="s">
        <v>36</v>
      </c>
      <c r="D153" s="52">
        <v>5</v>
      </c>
      <c r="E153" s="52">
        <v>8.8000000000000007</v>
      </c>
      <c r="F153" s="52">
        <v>8.6999999999999993</v>
      </c>
      <c r="G153" s="52">
        <v>8.9</v>
      </c>
      <c r="H153" s="52">
        <v>8.8000000000000007</v>
      </c>
      <c r="I153" s="52">
        <v>8.8000000000000007</v>
      </c>
      <c r="J153" s="52">
        <v>8.6</v>
      </c>
      <c r="K153" s="52">
        <v>8.1999999999999993</v>
      </c>
    </row>
    <row r="154" spans="1:11" x14ac:dyDescent="0.35">
      <c r="A154" s="4"/>
      <c r="B154" s="97" t="s">
        <v>104</v>
      </c>
      <c r="D154" s="117">
        <v>1054.5999999999999</v>
      </c>
      <c r="E154" s="117">
        <v>1062.7</v>
      </c>
      <c r="F154" s="117">
        <v>1025.4000000000001</v>
      </c>
      <c r="G154" s="49">
        <f t="shared" ref="G154:K154" ca="1" si="77">G151+G152-G153</f>
        <v>1025.4000000000001</v>
      </c>
      <c r="H154" s="49">
        <f t="shared" ca="1" si="77"/>
        <v>1025.4000000000001</v>
      </c>
      <c r="I154" s="49">
        <f t="shared" ca="1" si="77"/>
        <v>1025.4000000000001</v>
      </c>
      <c r="J154" s="49">
        <f t="shared" ca="1" si="77"/>
        <v>1025.4000000000001</v>
      </c>
      <c r="K154" s="49">
        <f t="shared" ca="1" si="77"/>
        <v>1025.4000000000001</v>
      </c>
    </row>
    <row r="155" spans="1:11" x14ac:dyDescent="0.35">
      <c r="A155" s="4"/>
      <c r="E155" s="21"/>
    </row>
    <row r="156" spans="1:11" x14ac:dyDescent="0.35">
      <c r="A156" s="4"/>
      <c r="B156" s="7" t="s">
        <v>129</v>
      </c>
      <c r="D156" s="117">
        <f>26.6+135.4+105.2</f>
        <v>267.2</v>
      </c>
      <c r="E156" s="117">
        <f>26.4+135.3+98.9</f>
        <v>260.60000000000002</v>
      </c>
      <c r="F156" s="117">
        <f>31+138.5+104.2</f>
        <v>273.7</v>
      </c>
      <c r="G156" s="90">
        <f>F156</f>
        <v>273.7</v>
      </c>
      <c r="H156" s="90">
        <f t="shared" ref="H156:K156" si="78">G156</f>
        <v>273.7</v>
      </c>
      <c r="I156" s="90">
        <f t="shared" si="78"/>
        <v>273.7</v>
      </c>
      <c r="J156" s="90">
        <f t="shared" si="78"/>
        <v>273.7</v>
      </c>
      <c r="K156" s="90">
        <f t="shared" si="78"/>
        <v>273.7</v>
      </c>
    </row>
    <row r="157" spans="1:11" x14ac:dyDescent="0.35">
      <c r="A157" s="4"/>
      <c r="B157" s="7"/>
      <c r="D157" s="117"/>
      <c r="E157" s="117"/>
      <c r="F157" s="117"/>
      <c r="G157" s="90"/>
      <c r="H157" s="90"/>
      <c r="I157" s="90"/>
      <c r="J157" s="90"/>
      <c r="K157" s="90"/>
    </row>
    <row r="158" spans="1:11" x14ac:dyDescent="0.35">
      <c r="A158" s="4"/>
      <c r="B158" s="7" t="s">
        <v>130</v>
      </c>
      <c r="D158" s="117">
        <f>71.2+360.4+85.6</f>
        <v>517.19999999999993</v>
      </c>
      <c r="E158" s="117">
        <f>65.8+354.5+74.1</f>
        <v>494.4</v>
      </c>
      <c r="F158" s="117">
        <f>65.3+344.6+68.2</f>
        <v>478.1</v>
      </c>
      <c r="G158" s="90">
        <f>F158</f>
        <v>478.1</v>
      </c>
      <c r="H158" s="90">
        <f t="shared" ref="H158:K158" si="79">G158</f>
        <v>478.1</v>
      </c>
      <c r="I158" s="90">
        <f t="shared" si="79"/>
        <v>478.1</v>
      </c>
      <c r="J158" s="90">
        <f t="shared" si="79"/>
        <v>478.1</v>
      </c>
      <c r="K158" s="90">
        <f t="shared" si="79"/>
        <v>478.1</v>
      </c>
    </row>
    <row r="159" spans="1:11" x14ac:dyDescent="0.35">
      <c r="A159" s="4"/>
      <c r="B159" s="7"/>
      <c r="D159" s="117"/>
      <c r="E159" s="117"/>
      <c r="F159" s="117"/>
      <c r="G159" s="90"/>
      <c r="H159" s="90"/>
      <c r="I159" s="90"/>
      <c r="J159" s="90"/>
      <c r="K159" s="90"/>
    </row>
    <row r="160" spans="1:11" x14ac:dyDescent="0.35">
      <c r="A160" s="4"/>
      <c r="B160" s="68" t="s">
        <v>90</v>
      </c>
      <c r="C160" s="69"/>
      <c r="D160" s="95">
        <f>D140+D153</f>
        <v>95.6</v>
      </c>
      <c r="E160" s="95">
        <f>E140+E153</f>
        <v>98.1</v>
      </c>
      <c r="F160" s="95">
        <f>F140+F153</f>
        <v>111.7</v>
      </c>
      <c r="G160" s="71">
        <f>CHOOSE(CASE,G163,G166)</f>
        <v>113</v>
      </c>
      <c r="H160" s="71">
        <f>CHOOSE(CASE,H163,H166)</f>
        <v>92</v>
      </c>
      <c r="I160" s="71">
        <f>CHOOSE(CASE,I163,I166)</f>
        <v>98</v>
      </c>
      <c r="J160" s="71">
        <f>CHOOSE(CASE,J163,J166)</f>
        <v>92</v>
      </c>
      <c r="K160" s="72">
        <f>CHOOSE(CASE,K163,K166)</f>
        <v>96</v>
      </c>
    </row>
    <row r="161" spans="1:13" x14ac:dyDescent="0.35">
      <c r="A161" s="4"/>
      <c r="B161" s="78" t="s">
        <v>69</v>
      </c>
      <c r="C161" s="74"/>
      <c r="D161" s="75">
        <f t="shared" ref="D161:K161" si="80">D160/D$63</f>
        <v>3.8945696011732596E-2</v>
      </c>
      <c r="E161" s="75">
        <f t="shared" si="80"/>
        <v>3.8661622132891933E-2</v>
      </c>
      <c r="F161" s="75">
        <f t="shared" si="80"/>
        <v>4.4640716169770604E-2</v>
      </c>
      <c r="G161" s="75">
        <f t="shared" si="80"/>
        <v>4.3900543900543904E-2</v>
      </c>
      <c r="H161" s="75">
        <f t="shared" si="80"/>
        <v>4.3767840152235969E-2</v>
      </c>
      <c r="I161" s="75">
        <f t="shared" si="80"/>
        <v>5.2016985138004249E-2</v>
      </c>
      <c r="J161" s="75">
        <f t="shared" si="80"/>
        <v>4.8167539267015703E-2</v>
      </c>
      <c r="K161" s="76">
        <f t="shared" si="80"/>
        <v>4.7430830039525688E-2</v>
      </c>
    </row>
    <row r="162" spans="1:13" x14ac:dyDescent="0.35">
      <c r="A162" s="4"/>
    </row>
    <row r="163" spans="1:13" x14ac:dyDescent="0.35">
      <c r="A163" s="4"/>
      <c r="B163" t="s">
        <v>96</v>
      </c>
      <c r="D163" s="52"/>
      <c r="E163" s="52"/>
      <c r="F163" s="52"/>
      <c r="G163" s="21">
        <f>G140+G153</f>
        <v>108.31311509670969</v>
      </c>
      <c r="H163" s="21">
        <f>H140+H153</f>
        <v>89.983515125595858</v>
      </c>
      <c r="I163" s="21">
        <f>I140+I153</f>
        <v>81.563911749106865</v>
      </c>
      <c r="J163" s="21">
        <f>J140+J153</f>
        <v>82.3680846288716</v>
      </c>
      <c r="K163" s="21">
        <f>K140+K153</f>
        <v>86.370996486301649</v>
      </c>
    </row>
    <row r="164" spans="1:13" x14ac:dyDescent="0.35">
      <c r="A164" s="4"/>
      <c r="B164" s="77" t="s">
        <v>69</v>
      </c>
      <c r="D164" s="61"/>
      <c r="E164" s="61"/>
      <c r="F164" s="61"/>
      <c r="G164" s="129">
        <f>G163/G$63</f>
        <v>4.2079687294759013E-2</v>
      </c>
      <c r="H164" s="129">
        <f t="shared" ref="H164:K164" si="81">H163/H$63</f>
        <v>4.2808522895145508E-2</v>
      </c>
      <c r="I164" s="129">
        <f t="shared" si="81"/>
        <v>4.3292946788273286E-2</v>
      </c>
      <c r="J164" s="129">
        <f t="shared" si="81"/>
        <v>4.312465163815267E-2</v>
      </c>
      <c r="K164" s="129">
        <f t="shared" si="81"/>
        <v>4.2673417236315042E-2</v>
      </c>
    </row>
    <row r="165" spans="1:13" x14ac:dyDescent="0.35">
      <c r="A165" s="4"/>
    </row>
    <row r="166" spans="1:13" x14ac:dyDescent="0.35">
      <c r="A166" s="4"/>
      <c r="B166" t="s">
        <v>97</v>
      </c>
      <c r="G166" s="21">
        <f>G109-G81</f>
        <v>113</v>
      </c>
      <c r="H166" s="21">
        <f>H109-H81</f>
        <v>92</v>
      </c>
      <c r="I166" s="21">
        <f>I109-I81</f>
        <v>98</v>
      </c>
      <c r="J166" s="21">
        <f>J109-J81</f>
        <v>92</v>
      </c>
      <c r="K166" s="21">
        <f>K109-K81</f>
        <v>96</v>
      </c>
    </row>
    <row r="167" spans="1:13" x14ac:dyDescent="0.35">
      <c r="A167" s="4"/>
      <c r="B167" s="77" t="s">
        <v>69</v>
      </c>
      <c r="D167" s="61"/>
      <c r="E167" s="61"/>
      <c r="F167" s="61"/>
      <c r="G167" s="61">
        <f t="shared" ref="G167:K167" si="82">G166/G$63</f>
        <v>4.3900543900543904E-2</v>
      </c>
      <c r="H167" s="61">
        <f t="shared" si="82"/>
        <v>4.3767840152235969E-2</v>
      </c>
      <c r="I167" s="61">
        <f t="shared" si="82"/>
        <v>5.2016985138004249E-2</v>
      </c>
      <c r="J167" s="61">
        <f t="shared" si="82"/>
        <v>4.8167539267015703E-2</v>
      </c>
      <c r="K167" s="61">
        <f t="shared" si="82"/>
        <v>4.7430830039525688E-2</v>
      </c>
    </row>
    <row r="168" spans="1:13" x14ac:dyDescent="0.35">
      <c r="A168" s="4"/>
    </row>
    <row r="169" spans="1:13" x14ac:dyDescent="0.35">
      <c r="A169" s="4"/>
      <c r="B169" s="68" t="s">
        <v>98</v>
      </c>
      <c r="C169" s="69"/>
      <c r="D169" s="93">
        <f t="shared" ref="D169:K170" si="83">D137</f>
        <v>178.2</v>
      </c>
      <c r="E169" s="93">
        <f t="shared" si="83"/>
        <v>204</v>
      </c>
      <c r="F169" s="93">
        <f t="shared" si="83"/>
        <v>150.30000000000001</v>
      </c>
      <c r="G169" s="93">
        <f t="shared" si="83"/>
        <v>182.80533167533957</v>
      </c>
      <c r="H169" s="93">
        <f t="shared" si="83"/>
        <v>149.2839188739564</v>
      </c>
      <c r="I169" s="93">
        <f t="shared" si="83"/>
        <v>133.80157143602943</v>
      </c>
      <c r="J169" s="93">
        <f t="shared" si="83"/>
        <v>135.64808993780053</v>
      </c>
      <c r="K169" s="118">
        <f t="shared" si="83"/>
        <v>143.74436336864309</v>
      </c>
      <c r="M169" s="56"/>
    </row>
    <row r="170" spans="1:13" x14ac:dyDescent="0.35">
      <c r="A170" s="4"/>
      <c r="B170" s="78" t="s">
        <v>69</v>
      </c>
      <c r="C170" s="74"/>
      <c r="D170" s="130">
        <f t="shared" si="83"/>
        <v>7.2595429176681464E-2</v>
      </c>
      <c r="E170" s="130">
        <f t="shared" si="83"/>
        <v>8.0397257034759986E-2</v>
      </c>
      <c r="F170" s="130">
        <f t="shared" si="83"/>
        <v>6.0067140915993932E-2</v>
      </c>
      <c r="G170" s="91">
        <f t="shared" si="83"/>
        <v>7.1019942375811801E-2</v>
      </c>
      <c r="H170" s="91">
        <f t="shared" si="83"/>
        <v>7.1019942375811801E-2</v>
      </c>
      <c r="I170" s="91">
        <f t="shared" si="83"/>
        <v>7.1019942375811801E-2</v>
      </c>
      <c r="J170" s="91">
        <f t="shared" si="83"/>
        <v>7.1019942375811801E-2</v>
      </c>
      <c r="K170" s="131">
        <f t="shared" si="83"/>
        <v>7.1019942375811801E-2</v>
      </c>
    </row>
    <row r="171" spans="1:13" x14ac:dyDescent="0.35">
      <c r="A171" s="4"/>
    </row>
    <row r="172" spans="1:13" x14ac:dyDescent="0.35">
      <c r="A172" s="4" t="s">
        <v>0</v>
      </c>
      <c r="B172" s="6" t="s">
        <v>131</v>
      </c>
      <c r="C172" s="6"/>
      <c r="D172" s="53">
        <v>2008</v>
      </c>
      <c r="E172" s="53">
        <f>D172+1</f>
        <v>2009</v>
      </c>
      <c r="F172" s="53">
        <f t="shared" ref="F172:K172" si="84">E172+1</f>
        <v>2010</v>
      </c>
      <c r="G172" s="54">
        <f t="shared" si="84"/>
        <v>2011</v>
      </c>
      <c r="H172" s="54">
        <f t="shared" si="84"/>
        <v>2012</v>
      </c>
      <c r="I172" s="54">
        <f t="shared" si="84"/>
        <v>2013</v>
      </c>
      <c r="J172" s="54">
        <f t="shared" si="84"/>
        <v>2014</v>
      </c>
      <c r="K172" s="54">
        <f t="shared" si="84"/>
        <v>2015</v>
      </c>
    </row>
    <row r="173" spans="1:13" x14ac:dyDescent="0.35">
      <c r="A173" s="4"/>
    </row>
    <row r="174" spans="1:13" x14ac:dyDescent="0.35">
      <c r="A174" s="4"/>
      <c r="B174" t="s">
        <v>80</v>
      </c>
      <c r="D174" s="51"/>
      <c r="E174" s="51"/>
      <c r="F174" s="51"/>
      <c r="G174" s="51">
        <f ca="1">G93</f>
        <v>95.430360901945349</v>
      </c>
      <c r="H174" s="51">
        <f ca="1">H93</f>
        <v>147.97973886166585</v>
      </c>
      <c r="I174" s="51">
        <f ca="1">I93</f>
        <v>179.40908987740721</v>
      </c>
      <c r="J174" s="51">
        <f ca="1">J93</f>
        <v>230.38324892001819</v>
      </c>
      <c r="K174" s="51">
        <f ca="1">K93</f>
        <v>283.29692690496177</v>
      </c>
    </row>
    <row r="175" spans="1:13" x14ac:dyDescent="0.35">
      <c r="A175" s="4"/>
      <c r="B175" t="s">
        <v>172</v>
      </c>
      <c r="D175" s="51"/>
      <c r="E175" s="51"/>
      <c r="F175" s="51"/>
      <c r="G175" s="51">
        <f t="shared" ref="G175:K175" si="85">G160</f>
        <v>113</v>
      </c>
      <c r="H175" s="51">
        <f t="shared" si="85"/>
        <v>92</v>
      </c>
      <c r="I175" s="51">
        <f t="shared" si="85"/>
        <v>98</v>
      </c>
      <c r="J175" s="51">
        <f t="shared" si="85"/>
        <v>92</v>
      </c>
      <c r="K175" s="51">
        <f t="shared" si="85"/>
        <v>96</v>
      </c>
    </row>
    <row r="176" spans="1:13" x14ac:dyDescent="0.35">
      <c r="A176" s="4"/>
      <c r="B176" t="s">
        <v>173</v>
      </c>
      <c r="D176" s="51"/>
      <c r="E176" s="51"/>
      <c r="F176" s="51"/>
      <c r="G176" s="51">
        <f>G132</f>
        <v>-6.0540962096893907</v>
      </c>
      <c r="H176" s="51">
        <f>H132</f>
        <v>25.553664883828077</v>
      </c>
      <c r="I176" s="51">
        <f>I132</f>
        <v>11.802328272615497</v>
      </c>
      <c r="J176" s="51">
        <f>J132</f>
        <v>-1.4076171334312164</v>
      </c>
      <c r="K176" s="51">
        <f>K132</f>
        <v>-6.1718597388906744</v>
      </c>
    </row>
    <row r="177" spans="1:11" x14ac:dyDescent="0.35">
      <c r="A177" s="4"/>
      <c r="B177" t="s">
        <v>132</v>
      </c>
      <c r="D177" s="51"/>
      <c r="E177" s="51"/>
      <c r="F177" s="51"/>
      <c r="G177" s="50">
        <f>(F156-G156)+(G158-F158)</f>
        <v>0</v>
      </c>
      <c r="H177" s="50">
        <f>(G156-H156)+(H158-G158)</f>
        <v>0</v>
      </c>
      <c r="I177" s="50">
        <f>(H156-I156)+(I158-H158)</f>
        <v>0</v>
      </c>
      <c r="J177" s="50">
        <f>(I156-J156)+(J158-I158)</f>
        <v>0</v>
      </c>
      <c r="K177" s="50">
        <f>(J156-K156)+(K158-J158)</f>
        <v>0</v>
      </c>
    </row>
    <row r="178" spans="1:11" x14ac:dyDescent="0.35">
      <c r="A178" s="4"/>
      <c r="B178" t="s">
        <v>133</v>
      </c>
      <c r="D178" s="51"/>
      <c r="E178" s="51"/>
      <c r="F178" s="51"/>
      <c r="G178" s="123">
        <f>G250</f>
        <v>0</v>
      </c>
      <c r="H178" s="123">
        <f t="shared" ref="H178:K178" si="86">H250</f>
        <v>0</v>
      </c>
      <c r="I178" s="123">
        <f t="shared" si="86"/>
        <v>0</v>
      </c>
      <c r="J178" s="123">
        <f t="shared" si="86"/>
        <v>0</v>
      </c>
      <c r="K178" s="123">
        <f t="shared" si="86"/>
        <v>0</v>
      </c>
    </row>
    <row r="179" spans="1:11" x14ac:dyDescent="0.35">
      <c r="A179" s="4"/>
      <c r="B179" s="7" t="s">
        <v>174</v>
      </c>
      <c r="C179" s="7"/>
      <c r="D179" s="90"/>
      <c r="E179" s="90"/>
      <c r="F179" s="90"/>
      <c r="G179" s="94">
        <f ca="1">G174+G175-G176-G177+G178</f>
        <v>214.48445711163473</v>
      </c>
      <c r="H179" s="94">
        <f t="shared" ref="H179:K179" ca="1" si="87">H174+H175-H176-H177+H178</f>
        <v>214.42607397783777</v>
      </c>
      <c r="I179" s="94">
        <f t="shared" ca="1" si="87"/>
        <v>265.6067616047917</v>
      </c>
      <c r="J179" s="94">
        <f t="shared" ca="1" si="87"/>
        <v>323.79086605344946</v>
      </c>
      <c r="K179" s="94">
        <f t="shared" ca="1" si="87"/>
        <v>385.46878664385247</v>
      </c>
    </row>
    <row r="180" spans="1:11" x14ac:dyDescent="0.35">
      <c r="A180" s="4"/>
      <c r="D180" s="51"/>
      <c r="E180" s="51"/>
      <c r="F180" s="51"/>
      <c r="G180" s="51"/>
      <c r="H180" s="51"/>
      <c r="I180" s="51"/>
      <c r="J180" s="51"/>
      <c r="K180" s="51"/>
    </row>
    <row r="181" spans="1:11" x14ac:dyDescent="0.35">
      <c r="A181" s="4"/>
      <c r="B181" t="s">
        <v>125</v>
      </c>
      <c r="D181" s="51"/>
      <c r="E181" s="51"/>
      <c r="F181" s="51"/>
      <c r="G181" s="51">
        <f>G169</f>
        <v>182.80533167533957</v>
      </c>
      <c r="H181" s="51">
        <f t="shared" ref="H181:K181" si="88">H169</f>
        <v>149.2839188739564</v>
      </c>
      <c r="I181" s="51">
        <f t="shared" si="88"/>
        <v>133.80157143602943</v>
      </c>
      <c r="J181" s="51">
        <f t="shared" si="88"/>
        <v>135.64808993780053</v>
      </c>
      <c r="K181" s="51">
        <f t="shared" si="88"/>
        <v>143.74436336864309</v>
      </c>
    </row>
    <row r="182" spans="1:11" x14ac:dyDescent="0.35">
      <c r="A182" s="4"/>
      <c r="B182" t="s">
        <v>134</v>
      </c>
      <c r="D182" s="51"/>
      <c r="E182" s="51"/>
      <c r="F182" s="51"/>
      <c r="G182" s="51">
        <f ca="1">G152</f>
        <v>8.9000000000000909</v>
      </c>
      <c r="H182" s="51">
        <f ca="1">H152</f>
        <v>8.7999999999999545</v>
      </c>
      <c r="I182" s="51">
        <f ca="1">I152</f>
        <v>8.7999999999999545</v>
      </c>
      <c r="J182" s="51">
        <f ca="1">J152</f>
        <v>8.5999999999999091</v>
      </c>
      <c r="K182" s="51">
        <f ca="1">K152</f>
        <v>8.2000000000000455</v>
      </c>
    </row>
    <row r="183" spans="1:11" x14ac:dyDescent="0.35">
      <c r="A183" s="4"/>
      <c r="B183" s="132" t="s">
        <v>175</v>
      </c>
      <c r="C183" s="132"/>
      <c r="D183" s="94"/>
      <c r="E183" s="94"/>
      <c r="F183" s="94"/>
      <c r="G183" s="94">
        <f ca="1">G181+G182</f>
        <v>191.70533167533966</v>
      </c>
      <c r="H183" s="94">
        <f t="shared" ref="H183:K183" ca="1" si="89">H181+H182</f>
        <v>158.08391887395635</v>
      </c>
      <c r="I183" s="94">
        <f t="shared" ca="1" si="89"/>
        <v>142.60157143602939</v>
      </c>
      <c r="J183" s="94">
        <f t="shared" ca="1" si="89"/>
        <v>144.24808993780044</v>
      </c>
      <c r="K183" s="94">
        <f t="shared" ca="1" si="89"/>
        <v>151.94436336864314</v>
      </c>
    </row>
    <row r="184" spans="1:11" x14ac:dyDescent="0.35">
      <c r="A184" s="4"/>
      <c r="D184" s="51"/>
      <c r="E184" s="51"/>
      <c r="F184" s="51"/>
      <c r="G184" s="51"/>
      <c r="H184" s="51"/>
      <c r="I184" s="51"/>
      <c r="J184" s="51"/>
      <c r="K184" s="51"/>
    </row>
    <row r="185" spans="1:11" x14ac:dyDescent="0.35">
      <c r="A185" s="4"/>
      <c r="B185" t="s">
        <v>99</v>
      </c>
      <c r="D185" s="51"/>
      <c r="E185" s="51"/>
      <c r="F185" s="51"/>
      <c r="G185" s="50">
        <f>G222+G231+G240+G249</f>
        <v>0</v>
      </c>
      <c r="H185" s="50">
        <f t="shared" ref="H185:K185" ca="1" si="90">H222+H231+H240+H249</f>
        <v>0</v>
      </c>
      <c r="I185" s="50">
        <f t="shared" ca="1" si="90"/>
        <v>0</v>
      </c>
      <c r="J185" s="50">
        <f t="shared" ca="1" si="90"/>
        <v>0</v>
      </c>
      <c r="K185" s="50">
        <f t="shared" ca="1" si="90"/>
        <v>0</v>
      </c>
    </row>
    <row r="186" spans="1:11" x14ac:dyDescent="0.35">
      <c r="A186" s="4"/>
      <c r="B186" t="s">
        <v>176</v>
      </c>
      <c r="D186" s="51"/>
      <c r="E186" s="51"/>
      <c r="F186" s="51"/>
      <c r="G186" s="51">
        <f>G259</f>
        <v>0</v>
      </c>
      <c r="H186" s="51">
        <f t="shared" ref="H186:K186" si="91">H259</f>
        <v>0</v>
      </c>
      <c r="I186" s="51">
        <f t="shared" si="91"/>
        <v>0</v>
      </c>
      <c r="J186" s="51">
        <f t="shared" si="91"/>
        <v>0</v>
      </c>
      <c r="K186" s="51">
        <f t="shared" si="91"/>
        <v>0</v>
      </c>
    </row>
    <row r="187" spans="1:11" x14ac:dyDescent="0.35">
      <c r="A187" s="4"/>
      <c r="B187" s="7" t="s">
        <v>177</v>
      </c>
      <c r="C187" s="7"/>
      <c r="D187" s="90"/>
      <c r="E187" s="90"/>
      <c r="F187" s="90"/>
      <c r="G187" s="94">
        <f ca="1">G179-G183-G185-G186</f>
        <v>22.779125436295061</v>
      </c>
      <c r="H187" s="94">
        <f t="shared" ref="H187:K187" ca="1" si="92">H179-H183-H185-H186</f>
        <v>56.342155103881424</v>
      </c>
      <c r="I187" s="94">
        <f t="shared" ca="1" si="92"/>
        <v>123.00519016876231</v>
      </c>
      <c r="J187" s="94">
        <f t="shared" ca="1" si="92"/>
        <v>179.54277611564902</v>
      </c>
      <c r="K187" s="94">
        <f t="shared" ca="1" si="92"/>
        <v>233.52442327520933</v>
      </c>
    </row>
    <row r="188" spans="1:11" x14ac:dyDescent="0.35">
      <c r="A188" s="4"/>
      <c r="D188" s="51"/>
      <c r="E188" s="51"/>
      <c r="F188" s="51"/>
      <c r="G188" s="50"/>
      <c r="H188" s="50"/>
      <c r="I188" s="50"/>
      <c r="J188" s="50"/>
      <c r="K188" s="50"/>
    </row>
    <row r="189" spans="1:11" x14ac:dyDescent="0.35">
      <c r="A189" s="4"/>
      <c r="B189" t="s">
        <v>135</v>
      </c>
      <c r="D189" s="51"/>
      <c r="E189" s="51"/>
      <c r="F189" s="51"/>
      <c r="G189" s="51">
        <f ca="1">G215</f>
        <v>0</v>
      </c>
      <c r="H189" s="51">
        <f t="shared" ref="H189:K189" ca="1" si="93">H215</f>
        <v>0</v>
      </c>
      <c r="I189" s="51">
        <f t="shared" ca="1" si="93"/>
        <v>0</v>
      </c>
      <c r="J189" s="51">
        <f t="shared" ca="1" si="93"/>
        <v>0</v>
      </c>
      <c r="K189" s="51">
        <f t="shared" ca="1" si="93"/>
        <v>0</v>
      </c>
    </row>
    <row r="190" spans="1:11" x14ac:dyDescent="0.35">
      <c r="A190" s="4"/>
      <c r="B190" s="7" t="s">
        <v>136</v>
      </c>
      <c r="C190" s="7"/>
      <c r="D190" s="90"/>
      <c r="E190" s="90"/>
      <c r="F190" s="90"/>
      <c r="G190" s="94">
        <f ca="1">G187+G189</f>
        <v>22.779125436295061</v>
      </c>
      <c r="H190" s="94">
        <f t="shared" ref="H190:K190" ca="1" si="94">H187+H189</f>
        <v>56.342155103881424</v>
      </c>
      <c r="I190" s="94">
        <f t="shared" ca="1" si="94"/>
        <v>123.00519016876231</v>
      </c>
      <c r="J190" s="94">
        <f t="shared" ca="1" si="94"/>
        <v>179.54277611564902</v>
      </c>
      <c r="K190" s="94">
        <f t="shared" ca="1" si="94"/>
        <v>233.52442327520933</v>
      </c>
    </row>
    <row r="191" spans="1:11" x14ac:dyDescent="0.35">
      <c r="A191" s="4"/>
      <c r="D191" s="51"/>
      <c r="E191" s="51"/>
      <c r="F191" s="51"/>
      <c r="G191" s="50"/>
      <c r="H191" s="50"/>
      <c r="I191" s="50"/>
      <c r="J191" s="50"/>
      <c r="K191" s="50"/>
    </row>
    <row r="192" spans="1:11" x14ac:dyDescent="0.35">
      <c r="A192" s="4"/>
      <c r="B192" s="81" t="s">
        <v>137</v>
      </c>
    </row>
    <row r="193" spans="1:11" x14ac:dyDescent="0.35">
      <c r="A193" s="4"/>
      <c r="B193" t="s">
        <v>27</v>
      </c>
      <c r="D193" s="51"/>
      <c r="E193" s="51"/>
      <c r="F193" s="51"/>
      <c r="G193" s="51">
        <f ca="1">G223</f>
        <v>22.779125436295061</v>
      </c>
      <c r="H193" s="51">
        <f t="shared" ref="H193:K193" ca="1" si="95">H223</f>
        <v>56.342155103881424</v>
      </c>
      <c r="I193" s="51">
        <f t="shared" ca="1" si="95"/>
        <v>123.00519016876231</v>
      </c>
      <c r="J193" s="51">
        <f t="shared" ca="1" si="95"/>
        <v>179.54277611564902</v>
      </c>
      <c r="K193" s="51">
        <f t="shared" ca="1" si="95"/>
        <v>233.52442327520933</v>
      </c>
    </row>
    <row r="194" spans="1:11" x14ac:dyDescent="0.35">
      <c r="A194" s="4"/>
      <c r="B194" t="s">
        <v>28</v>
      </c>
      <c r="D194" s="51"/>
      <c r="E194" s="51"/>
      <c r="F194" s="51"/>
      <c r="G194" s="51">
        <f ca="1">G232</f>
        <v>-2.8421709430404007E-14</v>
      </c>
      <c r="H194" s="51">
        <f t="shared" ref="H194:K194" ca="1" si="96">H232</f>
        <v>2.8421709430404007E-14</v>
      </c>
      <c r="I194" s="51">
        <f t="shared" ca="1" si="96"/>
        <v>0</v>
      </c>
      <c r="J194" s="51">
        <f t="shared" ca="1" si="96"/>
        <v>0</v>
      </c>
      <c r="K194" s="51">
        <f t="shared" ca="1" si="96"/>
        <v>0</v>
      </c>
    </row>
    <row r="195" spans="1:11" x14ac:dyDescent="0.35">
      <c r="A195" s="4"/>
      <c r="B195" t="str">
        <f>B183</f>
        <v>Cash From Investing</v>
      </c>
      <c r="D195" s="51"/>
      <c r="E195" s="51"/>
      <c r="F195" s="51"/>
      <c r="G195" s="51">
        <f ca="1">G241</f>
        <v>0</v>
      </c>
      <c r="H195" s="51">
        <f t="shared" ref="H195:K195" ca="1" si="97">H241</f>
        <v>0</v>
      </c>
      <c r="I195" s="51">
        <f t="shared" ca="1" si="97"/>
        <v>0</v>
      </c>
      <c r="J195" s="51">
        <f t="shared" ca="1" si="97"/>
        <v>0</v>
      </c>
      <c r="K195" s="51">
        <f t="shared" ca="1" si="97"/>
        <v>0</v>
      </c>
    </row>
    <row r="196" spans="1:11" x14ac:dyDescent="0.35">
      <c r="A196" s="4"/>
      <c r="D196" s="51"/>
      <c r="E196" s="51"/>
      <c r="F196" s="51"/>
      <c r="G196" s="51"/>
      <c r="H196" s="51"/>
      <c r="I196" s="51"/>
      <c r="J196" s="51"/>
      <c r="K196" s="51"/>
    </row>
    <row r="197" spans="1:11" x14ac:dyDescent="0.35">
      <c r="A197" s="4"/>
      <c r="B197" s="7" t="s">
        <v>138</v>
      </c>
      <c r="C197" s="7"/>
      <c r="D197" s="7"/>
      <c r="E197" s="7"/>
      <c r="F197" s="7"/>
      <c r="G197" s="49">
        <f ca="1">G190-G193-G194-G195</f>
        <v>2.8421709430404007E-14</v>
      </c>
      <c r="H197" s="49">
        <f t="shared" ref="H197:K197" ca="1" si="98">H190-H193-H194-H195</f>
        <v>-2.8421709430404007E-14</v>
      </c>
      <c r="I197" s="49">
        <f t="shared" ca="1" si="98"/>
        <v>0</v>
      </c>
      <c r="J197" s="49">
        <f t="shared" ca="1" si="98"/>
        <v>0</v>
      </c>
      <c r="K197" s="49">
        <f t="shared" ca="1" si="98"/>
        <v>0</v>
      </c>
    </row>
    <row r="198" spans="1:11" x14ac:dyDescent="0.35">
      <c r="A198" s="4"/>
    </row>
    <row r="199" spans="1:11" x14ac:dyDescent="0.35">
      <c r="A199" s="4" t="s">
        <v>0</v>
      </c>
      <c r="B199" s="5" t="s">
        <v>100</v>
      </c>
      <c r="C199" s="5"/>
      <c r="D199" s="5"/>
      <c r="E199" s="5"/>
      <c r="F199" s="5"/>
      <c r="G199" s="5"/>
      <c r="H199" s="5"/>
      <c r="I199" s="5"/>
      <c r="J199" s="5"/>
      <c r="K199" s="5"/>
    </row>
    <row r="200" spans="1:11" x14ac:dyDescent="0.35">
      <c r="A200" s="4"/>
    </row>
    <row r="201" spans="1:11" x14ac:dyDescent="0.35">
      <c r="A201" s="4"/>
      <c r="B201" s="6" t="s">
        <v>101</v>
      </c>
      <c r="C201" s="6"/>
      <c r="D201" s="53">
        <v>2008</v>
      </c>
      <c r="E201" s="53">
        <f>D201+1</f>
        <v>2009</v>
      </c>
      <c r="F201" s="53">
        <f t="shared" ref="F201:K201" si="99">E201+1</f>
        <v>2010</v>
      </c>
      <c r="G201" s="54">
        <f t="shared" si="99"/>
        <v>2011</v>
      </c>
      <c r="H201" s="54">
        <f t="shared" si="99"/>
        <v>2012</v>
      </c>
      <c r="I201" s="54">
        <f t="shared" si="99"/>
        <v>2013</v>
      </c>
      <c r="J201" s="54">
        <f t="shared" si="99"/>
        <v>2014</v>
      </c>
      <c r="K201" s="54">
        <f t="shared" si="99"/>
        <v>2015</v>
      </c>
    </row>
    <row r="202" spans="1:11" x14ac:dyDescent="0.35">
      <c r="A202" s="4"/>
      <c r="B202" s="81" t="s">
        <v>19</v>
      </c>
    </row>
    <row r="203" spans="1:11" x14ac:dyDescent="0.35">
      <c r="A203" s="4"/>
      <c r="B203" s="8" t="s">
        <v>102</v>
      </c>
      <c r="G203" s="105">
        <f>E23</f>
        <v>118.19999999999999</v>
      </c>
      <c r="H203" s="51">
        <f t="shared" ref="H203:K203" ca="1" si="100">G205</f>
        <v>118.19999999999996</v>
      </c>
      <c r="I203" s="51">
        <f t="shared" ca="1" si="100"/>
        <v>118.20000000000005</v>
      </c>
      <c r="J203" s="51">
        <f t="shared" ca="1" si="100"/>
        <v>118.19999999999993</v>
      </c>
      <c r="K203" s="51">
        <f t="shared" ca="1" si="100"/>
        <v>118.20000000000005</v>
      </c>
    </row>
    <row r="204" spans="1:11" x14ac:dyDescent="0.35">
      <c r="A204" s="4"/>
      <c r="B204" s="8" t="s">
        <v>103</v>
      </c>
      <c r="G204" s="51">
        <f ca="1">G197</f>
        <v>2.8421709430404007E-14</v>
      </c>
      <c r="H204" s="51">
        <f ca="1">H197</f>
        <v>-2.8421709430404007E-14</v>
      </c>
      <c r="I204" s="51">
        <f ca="1">I197</f>
        <v>0</v>
      </c>
      <c r="J204" s="51">
        <f ca="1">J197</f>
        <v>0</v>
      </c>
      <c r="K204" s="51">
        <f ca="1">K197</f>
        <v>0</v>
      </c>
    </row>
    <row r="205" spans="1:11" x14ac:dyDescent="0.35">
      <c r="A205" s="4"/>
      <c r="B205" s="97" t="s">
        <v>104</v>
      </c>
      <c r="F205" s="90">
        <f>E22</f>
        <v>187.6</v>
      </c>
      <c r="G205" s="49">
        <f ca="1">G203+G204</f>
        <v>118.20000000000002</v>
      </c>
      <c r="H205" s="49">
        <f t="shared" ref="H205:K205" ca="1" si="101">H203+H204</f>
        <v>118.19999999999993</v>
      </c>
      <c r="I205" s="49">
        <f t="shared" ca="1" si="101"/>
        <v>118.20000000000005</v>
      </c>
      <c r="J205" s="49">
        <f t="shared" ca="1" si="101"/>
        <v>118.19999999999993</v>
      </c>
      <c r="K205" s="49">
        <f t="shared" ca="1" si="101"/>
        <v>118.20000000000005</v>
      </c>
    </row>
    <row r="206" spans="1:11" x14ac:dyDescent="0.35">
      <c r="A206" s="4"/>
    </row>
    <row r="207" spans="1:11" x14ac:dyDescent="0.35">
      <c r="A207" s="4"/>
      <c r="B207" s="81" t="str">
        <f>B28</f>
        <v>Revolver</v>
      </c>
    </row>
    <row r="208" spans="1:11" x14ac:dyDescent="0.35">
      <c r="A208" s="4"/>
      <c r="B208" s="8" t="s">
        <v>141</v>
      </c>
      <c r="G208" s="51">
        <f>G203</f>
        <v>118.19999999999999</v>
      </c>
      <c r="H208" s="51">
        <f t="shared" ref="H208:K208" ca="1" si="102">H203</f>
        <v>118.19999999999996</v>
      </c>
      <c r="I208" s="51">
        <f t="shared" ca="1" si="102"/>
        <v>118.20000000000005</v>
      </c>
      <c r="J208" s="51">
        <f t="shared" ca="1" si="102"/>
        <v>118.19999999999993</v>
      </c>
      <c r="K208" s="51">
        <f t="shared" ca="1" si="102"/>
        <v>118.20000000000005</v>
      </c>
    </row>
    <row r="209" spans="1:11" x14ac:dyDescent="0.35">
      <c r="A209" s="4"/>
      <c r="B209" s="8" t="s">
        <v>24</v>
      </c>
      <c r="G209" s="51">
        <f>$E$23</f>
        <v>118.19999999999999</v>
      </c>
      <c r="H209" s="51">
        <f t="shared" ref="H209:K209" si="103">$E$23</f>
        <v>118.19999999999999</v>
      </c>
      <c r="I209" s="51">
        <f t="shared" si="103"/>
        <v>118.19999999999999</v>
      </c>
      <c r="J209" s="51">
        <f t="shared" si="103"/>
        <v>118.19999999999999</v>
      </c>
      <c r="K209" s="51">
        <f t="shared" si="103"/>
        <v>118.19999999999999</v>
      </c>
    </row>
    <row r="210" spans="1:11" x14ac:dyDescent="0.35">
      <c r="A210" s="4"/>
      <c r="B210" s="8" t="s">
        <v>142</v>
      </c>
      <c r="G210" s="21">
        <f>G208-G209</f>
        <v>0</v>
      </c>
      <c r="H210" s="21">
        <f t="shared" ref="H210:K210" ca="1" si="104">H208-H209</f>
        <v>0</v>
      </c>
      <c r="I210" s="21">
        <f t="shared" ca="1" si="104"/>
        <v>0</v>
      </c>
      <c r="J210" s="21">
        <f t="shared" ca="1" si="104"/>
        <v>0</v>
      </c>
      <c r="K210" s="21">
        <f t="shared" ca="1" si="104"/>
        <v>0</v>
      </c>
    </row>
    <row r="211" spans="1:11" x14ac:dyDescent="0.35">
      <c r="A211" s="4"/>
      <c r="B211" s="8" t="s">
        <v>143</v>
      </c>
      <c r="G211" s="51">
        <f ca="1">G187</f>
        <v>22.779125436295061</v>
      </c>
      <c r="H211" s="51">
        <f ca="1">H187</f>
        <v>56.342155103881424</v>
      </c>
      <c r="I211" s="51">
        <f ca="1">I187</f>
        <v>123.00519016876231</v>
      </c>
      <c r="J211" s="51">
        <f ca="1">J187</f>
        <v>179.54277611564902</v>
      </c>
      <c r="K211" s="51">
        <f ca="1">K187</f>
        <v>233.52442327520933</v>
      </c>
    </row>
    <row r="212" spans="1:11" x14ac:dyDescent="0.35">
      <c r="A212" s="4"/>
      <c r="B212" s="97" t="s">
        <v>144</v>
      </c>
      <c r="G212" s="49">
        <f ca="1">G210+G211</f>
        <v>22.779125436295061</v>
      </c>
      <c r="H212" s="49">
        <f t="shared" ref="H212:K212" ca="1" si="105">H210+H211</f>
        <v>56.342155103881424</v>
      </c>
      <c r="I212" s="49">
        <f t="shared" ca="1" si="105"/>
        <v>123.00519016876231</v>
      </c>
      <c r="J212" s="49">
        <f t="shared" ca="1" si="105"/>
        <v>179.54277611564902</v>
      </c>
      <c r="K212" s="49">
        <f t="shared" ca="1" si="105"/>
        <v>233.52442327520933</v>
      </c>
    </row>
    <row r="213" spans="1:11" x14ac:dyDescent="0.35">
      <c r="A213" s="4"/>
      <c r="B213" s="97"/>
    </row>
    <row r="214" spans="1:11" x14ac:dyDescent="0.35">
      <c r="A214" s="4"/>
      <c r="B214" s="8" t="s">
        <v>102</v>
      </c>
      <c r="G214" s="51">
        <f>F216</f>
        <v>0</v>
      </c>
      <c r="H214" s="51">
        <f ca="1">G216</f>
        <v>0</v>
      </c>
      <c r="I214" s="51">
        <f t="shared" ref="I214:K214" ca="1" si="106">H216</f>
        <v>0</v>
      </c>
      <c r="J214" s="51">
        <f t="shared" ca="1" si="106"/>
        <v>0</v>
      </c>
      <c r="K214" s="51">
        <f t="shared" ca="1" si="106"/>
        <v>0</v>
      </c>
    </row>
    <row r="215" spans="1:11" x14ac:dyDescent="0.35">
      <c r="A215" s="4"/>
      <c r="B215" s="8" t="s">
        <v>145</v>
      </c>
      <c r="G215" s="21">
        <f ca="1">-MIN(G212,G214)</f>
        <v>0</v>
      </c>
      <c r="H215" s="21">
        <f t="shared" ref="H215:K215" ca="1" si="107">-MIN(H212,H214)</f>
        <v>0</v>
      </c>
      <c r="I215" s="21">
        <f t="shared" ca="1" si="107"/>
        <v>0</v>
      </c>
      <c r="J215" s="21">
        <f t="shared" ca="1" si="107"/>
        <v>0</v>
      </c>
      <c r="K215" s="21">
        <f t="shared" ca="1" si="107"/>
        <v>0</v>
      </c>
    </row>
    <row r="216" spans="1:11" x14ac:dyDescent="0.35">
      <c r="A216" s="4"/>
      <c r="B216" s="97" t="s">
        <v>104</v>
      </c>
      <c r="F216" s="90">
        <f>D41</f>
        <v>0</v>
      </c>
      <c r="G216" s="49">
        <f ca="1">G214+G215</f>
        <v>0</v>
      </c>
      <c r="H216" s="49">
        <f t="shared" ref="H216:K216" ca="1" si="108">H214+H215</f>
        <v>0</v>
      </c>
      <c r="I216" s="49">
        <f t="shared" ca="1" si="108"/>
        <v>0</v>
      </c>
      <c r="J216" s="49">
        <f t="shared" ca="1" si="108"/>
        <v>0</v>
      </c>
      <c r="K216" s="49">
        <f t="shared" ca="1" si="108"/>
        <v>0</v>
      </c>
    </row>
    <row r="217" spans="1:11" x14ac:dyDescent="0.35">
      <c r="A217" s="4"/>
      <c r="B217" s="8" t="s">
        <v>146</v>
      </c>
      <c r="F217" s="90"/>
      <c r="G217" s="52">
        <v>150</v>
      </c>
      <c r="H217" s="51">
        <f>G217</f>
        <v>150</v>
      </c>
      <c r="I217" s="51">
        <f t="shared" ref="I217:K217" si="109">H217</f>
        <v>150</v>
      </c>
      <c r="J217" s="51">
        <f t="shared" si="109"/>
        <v>150</v>
      </c>
      <c r="K217" s="51">
        <f t="shared" si="109"/>
        <v>150</v>
      </c>
    </row>
    <row r="218" spans="1:11" x14ac:dyDescent="0.35">
      <c r="A218" s="4"/>
      <c r="B218" s="120" t="s">
        <v>107</v>
      </c>
      <c r="F218" s="90"/>
      <c r="G218" s="133" t="str">
        <f ca="1">IF(G216&lt;G217,"OK","OVERDRAWN")</f>
        <v>OK</v>
      </c>
      <c r="H218" s="133" t="str">
        <f t="shared" ref="H218:K218" ca="1" si="110">IF(H216&lt;H217,"OK","OVERDRAWN")</f>
        <v>OK</v>
      </c>
      <c r="I218" s="133" t="str">
        <f t="shared" ca="1" si="110"/>
        <v>OK</v>
      </c>
      <c r="J218" s="133" t="str">
        <f t="shared" ca="1" si="110"/>
        <v>OK</v>
      </c>
      <c r="K218" s="133" t="str">
        <f t="shared" ca="1" si="110"/>
        <v>OK</v>
      </c>
    </row>
    <row r="219" spans="1:11" x14ac:dyDescent="0.35">
      <c r="A219" s="4"/>
    </row>
    <row r="220" spans="1:11" x14ac:dyDescent="0.35">
      <c r="A220" s="4"/>
      <c r="B220" s="81" t="str">
        <f>B42</f>
        <v>Secured term loan - USD tranche</v>
      </c>
    </row>
    <row r="221" spans="1:11" x14ac:dyDescent="0.35">
      <c r="A221" s="4"/>
      <c r="B221" s="8" t="s">
        <v>102</v>
      </c>
      <c r="G221" s="51">
        <f>F224</f>
        <v>1510</v>
      </c>
      <c r="H221" s="51">
        <f t="shared" ref="H221:K221" ca="1" si="111">G224</f>
        <v>1487.2208745637049</v>
      </c>
      <c r="I221" s="51">
        <f t="shared" ca="1" si="111"/>
        <v>1430.8787194598235</v>
      </c>
      <c r="J221" s="51">
        <f t="shared" ca="1" si="111"/>
        <v>1307.8735292910612</v>
      </c>
      <c r="K221" s="51">
        <f t="shared" ca="1" si="111"/>
        <v>1128.3307531754122</v>
      </c>
    </row>
    <row r="222" spans="1:11" x14ac:dyDescent="0.35">
      <c r="A222" s="4"/>
      <c r="B222" s="8" t="s">
        <v>148</v>
      </c>
      <c r="G222" s="50">
        <f>MIN(G221*G226,G221)</f>
        <v>0</v>
      </c>
      <c r="H222" s="50">
        <f t="shared" ref="H222:K222" ca="1" si="112">MIN(H221*H226,H221)</f>
        <v>0</v>
      </c>
      <c r="I222" s="50">
        <f t="shared" ca="1" si="112"/>
        <v>0</v>
      </c>
      <c r="J222" s="50">
        <f t="shared" ca="1" si="112"/>
        <v>0</v>
      </c>
      <c r="K222" s="50">
        <f t="shared" ca="1" si="112"/>
        <v>0</v>
      </c>
    </row>
    <row r="223" spans="1:11" x14ac:dyDescent="0.35">
      <c r="A223" s="4"/>
      <c r="B223" s="8" t="s">
        <v>152</v>
      </c>
      <c r="G223" s="21">
        <f ca="1">MIN(G227,G221-G222)</f>
        <v>22.779125436295089</v>
      </c>
      <c r="H223" s="21">
        <f t="shared" ref="H223:K223" ca="1" si="113">MIN(H227,H221-H222)</f>
        <v>56.342155103881396</v>
      </c>
      <c r="I223" s="21">
        <f t="shared" ca="1" si="113"/>
        <v>123.00519016876231</v>
      </c>
      <c r="J223" s="21">
        <f t="shared" ca="1" si="113"/>
        <v>179.54277611564902</v>
      </c>
      <c r="K223" s="21">
        <f t="shared" ca="1" si="113"/>
        <v>233.52442327520933</v>
      </c>
    </row>
    <row r="224" spans="1:11" x14ac:dyDescent="0.35">
      <c r="A224" s="4"/>
      <c r="B224" s="97" t="s">
        <v>104</v>
      </c>
      <c r="F224" s="90">
        <f>E29</f>
        <v>1510</v>
      </c>
      <c r="G224" s="49">
        <f ca="1">G221-G223-G222</f>
        <v>1487.2208745637049</v>
      </c>
      <c r="H224" s="49">
        <f t="shared" ref="H224:K224" ca="1" si="114">H221-H223-H222</f>
        <v>1430.8787194598235</v>
      </c>
      <c r="I224" s="49">
        <f t="shared" ca="1" si="114"/>
        <v>1307.8735292910612</v>
      </c>
      <c r="J224" s="49">
        <f t="shared" ca="1" si="114"/>
        <v>1128.3307531754122</v>
      </c>
      <c r="K224" s="49">
        <f t="shared" ca="1" si="114"/>
        <v>894.80632990020285</v>
      </c>
    </row>
    <row r="225" spans="1:11" x14ac:dyDescent="0.35">
      <c r="A225" s="4"/>
      <c r="B225" s="97"/>
      <c r="F225" s="90"/>
      <c r="G225" s="49"/>
      <c r="H225" s="49"/>
      <c r="I225" s="49"/>
      <c r="J225" s="49"/>
      <c r="K225" s="49"/>
    </row>
    <row r="226" spans="1:11" x14ac:dyDescent="0.35">
      <c r="A226" s="4"/>
      <c r="B226" s="77" t="s">
        <v>149</v>
      </c>
      <c r="G226" s="122">
        <v>0</v>
      </c>
      <c r="H226" s="122">
        <v>0</v>
      </c>
      <c r="I226" s="122">
        <v>0</v>
      </c>
      <c r="J226" s="122">
        <v>0</v>
      </c>
      <c r="K226" s="122">
        <v>0</v>
      </c>
    </row>
    <row r="227" spans="1:11" x14ac:dyDescent="0.35">
      <c r="A227" s="4"/>
      <c r="B227" s="77" t="s">
        <v>150</v>
      </c>
      <c r="E227" s="134" t="s">
        <v>151</v>
      </c>
      <c r="F227" s="122">
        <v>1</v>
      </c>
      <c r="G227" s="50">
        <f ca="1">$F$227*(G212+G215)</f>
        <v>22.779125436295061</v>
      </c>
      <c r="H227" s="50">
        <f t="shared" ref="H227:K227" ca="1" si="115">$F$227*(H212+H215)</f>
        <v>56.342155103881424</v>
      </c>
      <c r="I227" s="50">
        <f t="shared" ca="1" si="115"/>
        <v>123.00519016876231</v>
      </c>
      <c r="J227" s="50">
        <f t="shared" ca="1" si="115"/>
        <v>179.54277611564902</v>
      </c>
      <c r="K227" s="50">
        <f t="shared" ca="1" si="115"/>
        <v>233.52442327520933</v>
      </c>
    </row>
    <row r="228" spans="1:11" x14ac:dyDescent="0.35">
      <c r="A228" s="4"/>
      <c r="B228" s="7"/>
    </row>
    <row r="229" spans="1:11" x14ac:dyDescent="0.35">
      <c r="A229" s="4"/>
      <c r="B229" s="81" t="str">
        <f>B43</f>
        <v>Secured term loan - EUR tranche</v>
      </c>
    </row>
    <row r="230" spans="1:11" x14ac:dyDescent="0.35">
      <c r="A230" s="4"/>
      <c r="B230" s="8" t="s">
        <v>102</v>
      </c>
      <c r="G230" s="51">
        <f>F233</f>
        <v>334.2</v>
      </c>
      <c r="H230" s="51">
        <f t="shared" ref="H230:K230" ca="1" si="116">G233</f>
        <v>334.20000000000005</v>
      </c>
      <c r="I230" s="51">
        <f t="shared" ca="1" si="116"/>
        <v>334.19999999999993</v>
      </c>
      <c r="J230" s="51">
        <f t="shared" ca="1" si="116"/>
        <v>334.20000000000005</v>
      </c>
      <c r="K230" s="51">
        <f t="shared" ca="1" si="116"/>
        <v>334.19999999999993</v>
      </c>
    </row>
    <row r="231" spans="1:11" x14ac:dyDescent="0.35">
      <c r="A231" s="4"/>
      <c r="B231" s="8" t="s">
        <v>148</v>
      </c>
      <c r="G231" s="50">
        <f>MIN(G230*G235,G230)</f>
        <v>0</v>
      </c>
      <c r="H231" s="50">
        <f t="shared" ref="H231:K231" ca="1" si="117">MIN(H230*H235,H230)</f>
        <v>0</v>
      </c>
      <c r="I231" s="50">
        <f t="shared" ca="1" si="117"/>
        <v>0</v>
      </c>
      <c r="J231" s="50">
        <f t="shared" ca="1" si="117"/>
        <v>0</v>
      </c>
      <c r="K231" s="50">
        <f t="shared" ca="1" si="117"/>
        <v>0</v>
      </c>
    </row>
    <row r="232" spans="1:11" x14ac:dyDescent="0.35">
      <c r="A232" s="4"/>
      <c r="B232" s="8" t="s">
        <v>105</v>
      </c>
      <c r="G232" s="21">
        <f ca="1">MIN(G236,G230-G231)</f>
        <v>2.8421709430404007E-14</v>
      </c>
      <c r="H232" s="21">
        <f t="shared" ref="H232:K232" ca="1" si="118">MIN(H236,H230-H231)</f>
        <v>-2.8421709430404007E-14</v>
      </c>
      <c r="I232" s="21">
        <f t="shared" ca="1" si="118"/>
        <v>0</v>
      </c>
      <c r="J232" s="21">
        <f t="shared" ca="1" si="118"/>
        <v>0</v>
      </c>
      <c r="K232" s="21">
        <f t="shared" ca="1" si="118"/>
        <v>0</v>
      </c>
    </row>
    <row r="233" spans="1:11" x14ac:dyDescent="0.35">
      <c r="A233" s="4"/>
      <c r="B233" s="97" t="s">
        <v>104</v>
      </c>
      <c r="F233" s="90">
        <f>E30</f>
        <v>334.2</v>
      </c>
      <c r="G233" s="49">
        <f ca="1">G230-G232-G231</f>
        <v>334.19999999999993</v>
      </c>
      <c r="H233" s="49">
        <f t="shared" ref="H233:K233" ca="1" si="119">H230-H232-H231</f>
        <v>334.20000000000005</v>
      </c>
      <c r="I233" s="49">
        <f t="shared" ca="1" si="119"/>
        <v>334.19999999999993</v>
      </c>
      <c r="J233" s="49">
        <f t="shared" ca="1" si="119"/>
        <v>334.20000000000005</v>
      </c>
      <c r="K233" s="49">
        <f t="shared" ca="1" si="119"/>
        <v>334.19999999999993</v>
      </c>
    </row>
    <row r="234" spans="1:11" x14ac:dyDescent="0.35">
      <c r="A234" s="4"/>
      <c r="B234" s="97"/>
      <c r="F234" s="90"/>
      <c r="G234" s="49"/>
      <c r="H234" s="49"/>
      <c r="I234" s="49"/>
      <c r="J234" s="49"/>
      <c r="K234" s="49"/>
    </row>
    <row r="235" spans="1:11" x14ac:dyDescent="0.35">
      <c r="A235" s="4"/>
      <c r="B235" s="77" t="s">
        <v>149</v>
      </c>
      <c r="F235" s="90"/>
      <c r="G235" s="122">
        <v>0</v>
      </c>
      <c r="H235" s="122">
        <v>0</v>
      </c>
      <c r="I235" s="122">
        <v>0</v>
      </c>
      <c r="J235" s="122">
        <v>0</v>
      </c>
      <c r="K235" s="122">
        <v>0</v>
      </c>
    </row>
    <row r="236" spans="1:11" x14ac:dyDescent="0.35">
      <c r="A236" s="4"/>
      <c r="B236" s="77" t="s">
        <v>150</v>
      </c>
      <c r="E236" s="134" t="s">
        <v>151</v>
      </c>
      <c r="F236" s="122">
        <v>1</v>
      </c>
      <c r="G236" s="21">
        <f ca="1">$F$236*(G212+G215-G223)</f>
        <v>-2.8421709430404007E-14</v>
      </c>
      <c r="H236" s="21">
        <f t="shared" ref="H236:K236" ca="1" si="120">$F$236*(H212+H215-H223)</f>
        <v>2.8421709430404007E-14</v>
      </c>
      <c r="I236" s="21">
        <f t="shared" ca="1" si="120"/>
        <v>0</v>
      </c>
      <c r="J236" s="21">
        <f t="shared" ca="1" si="120"/>
        <v>0</v>
      </c>
      <c r="K236" s="21">
        <f t="shared" ca="1" si="120"/>
        <v>0</v>
      </c>
    </row>
    <row r="237" spans="1:11" x14ac:dyDescent="0.35">
      <c r="A237" s="4"/>
    </row>
    <row r="238" spans="1:11" x14ac:dyDescent="0.35">
      <c r="A238" s="4"/>
      <c r="B238" s="81" t="str">
        <f>B44</f>
        <v>Senior notes</v>
      </c>
    </row>
    <row r="239" spans="1:11" x14ac:dyDescent="0.35">
      <c r="A239" s="4"/>
      <c r="B239" s="8" t="s">
        <v>102</v>
      </c>
      <c r="G239" s="51">
        <f>F242</f>
        <v>800</v>
      </c>
      <c r="H239" s="51">
        <f t="shared" ref="H239:K239" ca="1" si="121">G242</f>
        <v>800</v>
      </c>
      <c r="I239" s="51">
        <f t="shared" ca="1" si="121"/>
        <v>800</v>
      </c>
      <c r="J239" s="51">
        <f t="shared" ca="1" si="121"/>
        <v>800</v>
      </c>
      <c r="K239" s="51">
        <f t="shared" ca="1" si="121"/>
        <v>800</v>
      </c>
    </row>
    <row r="240" spans="1:11" x14ac:dyDescent="0.35">
      <c r="A240" s="4"/>
      <c r="B240" s="8" t="s">
        <v>148</v>
      </c>
      <c r="G240" s="50">
        <f>MIN(G239*G244,G239)</f>
        <v>0</v>
      </c>
      <c r="H240" s="50">
        <f t="shared" ref="H240:K240" ca="1" si="122">MIN(H239*H244,H239)</f>
        <v>0</v>
      </c>
      <c r="I240" s="50">
        <f t="shared" ca="1" si="122"/>
        <v>0</v>
      </c>
      <c r="J240" s="50">
        <f t="shared" ca="1" si="122"/>
        <v>0</v>
      </c>
      <c r="K240" s="50">
        <f t="shared" ca="1" si="122"/>
        <v>0</v>
      </c>
    </row>
    <row r="241" spans="1:12" x14ac:dyDescent="0.35">
      <c r="A241" s="4"/>
      <c r="B241" s="8" t="s">
        <v>105</v>
      </c>
      <c r="G241" s="21">
        <f ca="1">MIN(G245,G239-G240)</f>
        <v>0</v>
      </c>
      <c r="H241" s="21">
        <f t="shared" ref="H241:K241" ca="1" si="123">MIN(H245,H239-H240)</f>
        <v>0</v>
      </c>
      <c r="I241" s="21">
        <f t="shared" ca="1" si="123"/>
        <v>0</v>
      </c>
      <c r="J241" s="21">
        <f t="shared" ca="1" si="123"/>
        <v>0</v>
      </c>
      <c r="K241" s="21">
        <f t="shared" ca="1" si="123"/>
        <v>0</v>
      </c>
    </row>
    <row r="242" spans="1:12" x14ac:dyDescent="0.35">
      <c r="A242" s="4"/>
      <c r="B242" s="97" t="s">
        <v>104</v>
      </c>
      <c r="F242" s="90">
        <f>E31</f>
        <v>800</v>
      </c>
      <c r="G242" s="49">
        <f ca="1">G239-G241-G240</f>
        <v>800</v>
      </c>
      <c r="H242" s="49">
        <f t="shared" ref="H242:K242" ca="1" si="124">H239-H241-H240</f>
        <v>800</v>
      </c>
      <c r="I242" s="49">
        <f t="shared" ca="1" si="124"/>
        <v>800</v>
      </c>
      <c r="J242" s="49">
        <f t="shared" ca="1" si="124"/>
        <v>800</v>
      </c>
      <c r="K242" s="49">
        <f t="shared" ca="1" si="124"/>
        <v>800</v>
      </c>
    </row>
    <row r="243" spans="1:12" x14ac:dyDescent="0.35">
      <c r="A243" s="4"/>
      <c r="B243" s="97"/>
      <c r="G243" s="49"/>
      <c r="H243" s="49"/>
      <c r="I243" s="49"/>
      <c r="J243" s="49"/>
      <c r="K243" s="49"/>
    </row>
    <row r="244" spans="1:12" x14ac:dyDescent="0.35">
      <c r="A244" s="4"/>
      <c r="B244" s="77" t="s">
        <v>149</v>
      </c>
      <c r="F244" s="90"/>
      <c r="G244" s="122">
        <v>0</v>
      </c>
      <c r="H244" s="122">
        <v>0</v>
      </c>
      <c r="I244" s="122">
        <v>0</v>
      </c>
      <c r="J244" s="122">
        <v>0</v>
      </c>
      <c r="K244" s="122">
        <v>0</v>
      </c>
    </row>
    <row r="245" spans="1:12" x14ac:dyDescent="0.35">
      <c r="A245" s="4"/>
      <c r="B245" s="77" t="s">
        <v>150</v>
      </c>
      <c r="E245" s="134" t="s">
        <v>151</v>
      </c>
      <c r="F245" s="122">
        <v>0</v>
      </c>
      <c r="G245" s="21">
        <f ca="1">$F$245*(G212+G215-G223-G232)</f>
        <v>0</v>
      </c>
      <c r="H245" s="21">
        <f t="shared" ref="H245:K245" ca="1" si="125">$F$245*(H212+H215-H223-H232)</f>
        <v>0</v>
      </c>
      <c r="I245" s="21">
        <f t="shared" ca="1" si="125"/>
        <v>0</v>
      </c>
      <c r="J245" s="21">
        <f t="shared" ca="1" si="125"/>
        <v>0</v>
      </c>
      <c r="K245" s="21">
        <f t="shared" ca="1" si="125"/>
        <v>0</v>
      </c>
    </row>
    <row r="246" spans="1:12" x14ac:dyDescent="0.35">
      <c r="A246" s="4"/>
    </row>
    <row r="247" spans="1:12" x14ac:dyDescent="0.35">
      <c r="A247" s="4"/>
      <c r="B247" s="81" t="str">
        <f>B45</f>
        <v>Subordinated Notes</v>
      </c>
    </row>
    <row r="248" spans="1:12" x14ac:dyDescent="0.35">
      <c r="A248" s="4"/>
      <c r="B248" s="8" t="s">
        <v>102</v>
      </c>
      <c r="G248" s="51">
        <f>F251</f>
        <v>0</v>
      </c>
      <c r="H248" s="51">
        <f t="shared" ref="H248:K248" si="126">G251</f>
        <v>0</v>
      </c>
      <c r="I248" s="51">
        <f t="shared" si="126"/>
        <v>0</v>
      </c>
      <c r="J248" s="51">
        <f t="shared" si="126"/>
        <v>0</v>
      </c>
      <c r="K248" s="51">
        <f t="shared" si="126"/>
        <v>0</v>
      </c>
    </row>
    <row r="249" spans="1:12" x14ac:dyDescent="0.35">
      <c r="A249" s="4"/>
      <c r="B249" s="8" t="s">
        <v>148</v>
      </c>
      <c r="G249" s="50">
        <f>MIN(G248*G253,G248)</f>
        <v>0</v>
      </c>
      <c r="H249" s="50">
        <f t="shared" ref="H249:K249" si="127">MIN(H248*H253,H248)</f>
        <v>0</v>
      </c>
      <c r="I249" s="50">
        <f t="shared" si="127"/>
        <v>0</v>
      </c>
      <c r="J249" s="50">
        <f t="shared" si="127"/>
        <v>0</v>
      </c>
      <c r="K249" s="50">
        <f t="shared" si="127"/>
        <v>0</v>
      </c>
    </row>
    <row r="250" spans="1:12" x14ac:dyDescent="0.35">
      <c r="A250" s="4"/>
      <c r="B250" s="8" t="s">
        <v>133</v>
      </c>
      <c r="G250" s="21">
        <f>IF(PIK=2,$L$32*(G248-G249),0)</f>
        <v>0</v>
      </c>
      <c r="H250" s="21">
        <f>IF(PIK=2,$L$32*(H248-H249),0)</f>
        <v>0</v>
      </c>
      <c r="I250" s="21">
        <f>IF(PIK=2,$L$32*(I248-I249),0)</f>
        <v>0</v>
      </c>
      <c r="J250" s="21">
        <f>IF(PIK=2,$L$32*(J248-J249),0)</f>
        <v>0</v>
      </c>
      <c r="K250" s="21">
        <f>IF(PIK=2,$L$32*(K248-K249),0)</f>
        <v>0</v>
      </c>
    </row>
    <row r="251" spans="1:12" x14ac:dyDescent="0.35">
      <c r="A251" s="4"/>
      <c r="B251" s="97" t="s">
        <v>104</v>
      </c>
      <c r="F251" s="90">
        <f>E32</f>
        <v>0</v>
      </c>
      <c r="G251" s="49">
        <f>G248-G249+G250</f>
        <v>0</v>
      </c>
      <c r="H251" s="49">
        <f t="shared" ref="H251:K251" si="128">H248-H249+H250</f>
        <v>0</v>
      </c>
      <c r="I251" s="49">
        <f t="shared" si="128"/>
        <v>0</v>
      </c>
      <c r="J251" s="49">
        <f t="shared" si="128"/>
        <v>0</v>
      </c>
      <c r="K251" s="49">
        <f t="shared" si="128"/>
        <v>0</v>
      </c>
    </row>
    <row r="252" spans="1:12" x14ac:dyDescent="0.35">
      <c r="A252" s="4"/>
      <c r="B252" s="97"/>
      <c r="F252" s="90"/>
      <c r="G252" s="49"/>
      <c r="H252" s="49"/>
      <c r="I252" s="49"/>
      <c r="J252" s="49"/>
      <c r="K252" s="49"/>
    </row>
    <row r="253" spans="1:12" x14ac:dyDescent="0.35">
      <c r="A253" s="4"/>
      <c r="B253" s="77" t="s">
        <v>149</v>
      </c>
      <c r="F253" s="90"/>
      <c r="G253" s="122">
        <v>0</v>
      </c>
      <c r="H253" s="122">
        <v>0</v>
      </c>
      <c r="I253" s="122">
        <v>0</v>
      </c>
      <c r="J253" s="122">
        <v>0</v>
      </c>
      <c r="K253" s="122">
        <v>0</v>
      </c>
    </row>
    <row r="254" spans="1:12" x14ac:dyDescent="0.35">
      <c r="A254" s="4"/>
      <c r="B254" s="77"/>
      <c r="F254" s="90"/>
      <c r="G254" s="90"/>
      <c r="H254" s="90"/>
      <c r="I254" s="90"/>
      <c r="J254" s="90"/>
      <c r="K254" s="90"/>
      <c r="L254" s="90"/>
    </row>
    <row r="255" spans="1:12" x14ac:dyDescent="0.35">
      <c r="A255" s="4"/>
      <c r="B255" s="81" t="str">
        <f>B33</f>
        <v>Preferred equity</v>
      </c>
      <c r="F255" s="90"/>
      <c r="G255" s="90"/>
      <c r="H255" s="90"/>
      <c r="I255" s="90"/>
      <c r="J255" s="90"/>
      <c r="K255" s="90"/>
      <c r="L255" s="90"/>
    </row>
    <row r="256" spans="1:12" x14ac:dyDescent="0.35">
      <c r="A256" s="4"/>
      <c r="B256" s="8" t="s">
        <v>102</v>
      </c>
      <c r="F256" s="90"/>
      <c r="G256" s="90">
        <f>F258</f>
        <v>0</v>
      </c>
      <c r="H256" s="90">
        <f t="shared" ref="H256:K256" si="129">G258</f>
        <v>0</v>
      </c>
      <c r="I256" s="90">
        <f t="shared" si="129"/>
        <v>0</v>
      </c>
      <c r="J256" s="90">
        <f t="shared" si="129"/>
        <v>0</v>
      </c>
      <c r="K256" s="90">
        <f t="shared" si="129"/>
        <v>0</v>
      </c>
      <c r="L256" s="90"/>
    </row>
    <row r="257" spans="1:12" x14ac:dyDescent="0.35">
      <c r="A257" s="4"/>
      <c r="B257" s="8" t="s">
        <v>156</v>
      </c>
      <c r="F257" s="90"/>
      <c r="G257" s="21">
        <f>IF(PIK=2,$L$32*G256,0)</f>
        <v>0</v>
      </c>
      <c r="H257" s="21">
        <f>IF(PIK=2,$L$32*H256,0)</f>
        <v>0</v>
      </c>
      <c r="I257" s="21">
        <f>IF(PIK=2,$L$32*I256,0)</f>
        <v>0</v>
      </c>
      <c r="J257" s="21">
        <f>IF(PIK=2,$L$32*J256,0)</f>
        <v>0</v>
      </c>
      <c r="K257" s="21">
        <f>IF(PIK=2,$L$32*K256,0)</f>
        <v>0</v>
      </c>
      <c r="L257" s="90"/>
    </row>
    <row r="258" spans="1:12" x14ac:dyDescent="0.35">
      <c r="A258" s="4"/>
      <c r="B258" s="97" t="s">
        <v>104</v>
      </c>
      <c r="F258" s="90">
        <f>E33</f>
        <v>0</v>
      </c>
      <c r="G258" s="94">
        <f>G256+G257</f>
        <v>0</v>
      </c>
      <c r="H258" s="94">
        <f t="shared" ref="H258:K258" si="130">H256+H257</f>
        <v>0</v>
      </c>
      <c r="I258" s="94">
        <f t="shared" si="130"/>
        <v>0</v>
      </c>
      <c r="J258" s="94">
        <f t="shared" si="130"/>
        <v>0</v>
      </c>
      <c r="K258" s="94">
        <f t="shared" si="130"/>
        <v>0</v>
      </c>
      <c r="L258" s="90"/>
    </row>
    <row r="259" spans="1:12" x14ac:dyDescent="0.35">
      <c r="A259" s="4"/>
      <c r="B259" s="8" t="s">
        <v>157</v>
      </c>
      <c r="F259" s="90"/>
      <c r="G259" s="50">
        <f>IF(PIK=1,G258*$G$32,0)</f>
        <v>0</v>
      </c>
      <c r="H259" s="50">
        <f>IF(PIK=1,H258*$G$32,0)</f>
        <v>0</v>
      </c>
      <c r="I259" s="50">
        <f>IF(PIK=1,I258*$G$32,0)</f>
        <v>0</v>
      </c>
      <c r="J259" s="50">
        <f>IF(PIK=1,J258*$G$32,0)</f>
        <v>0</v>
      </c>
      <c r="K259" s="50">
        <f>IF(PIK=1,K258*$G$32,0)</f>
        <v>0</v>
      </c>
      <c r="L259" s="90"/>
    </row>
    <row r="260" spans="1:12" x14ac:dyDescent="0.35">
      <c r="A260" s="4"/>
      <c r="B260" s="77"/>
      <c r="F260" s="90"/>
      <c r="G260" s="90"/>
      <c r="H260" s="90"/>
      <c r="I260" s="90"/>
      <c r="J260" s="90"/>
      <c r="K260" s="90"/>
      <c r="L260" s="90"/>
    </row>
    <row r="261" spans="1:12" x14ac:dyDescent="0.35">
      <c r="A261" s="4"/>
      <c r="B261" s="81" t="s">
        <v>158</v>
      </c>
      <c r="L261" s="90"/>
    </row>
    <row r="262" spans="1:12" x14ac:dyDescent="0.35">
      <c r="A262" s="4"/>
      <c r="B262" s="8" t="s">
        <v>102</v>
      </c>
      <c r="G262" s="51">
        <f>F264</f>
        <v>69.238419999999991</v>
      </c>
      <c r="H262" s="51">
        <f t="shared" ref="H262:K262" si="131">G264</f>
        <v>58.535349999999994</v>
      </c>
      <c r="I262" s="51">
        <f t="shared" si="131"/>
        <v>47.832279999999997</v>
      </c>
      <c r="J262" s="51">
        <f t="shared" si="131"/>
        <v>37.12921</v>
      </c>
      <c r="K262" s="51">
        <f t="shared" si="131"/>
        <v>26.426140000000004</v>
      </c>
      <c r="L262" s="90"/>
    </row>
    <row r="263" spans="1:12" x14ac:dyDescent="0.35">
      <c r="A263" s="4"/>
      <c r="B263" s="8" t="s">
        <v>36</v>
      </c>
      <c r="G263" s="50">
        <f>MIN($K$35,G262)</f>
        <v>10.703069999999999</v>
      </c>
      <c r="H263" s="50">
        <f t="shared" ref="H263:K263" si="132">MIN($K$35,H262)</f>
        <v>10.703069999999999</v>
      </c>
      <c r="I263" s="50">
        <f t="shared" si="132"/>
        <v>10.703069999999999</v>
      </c>
      <c r="J263" s="50">
        <f t="shared" si="132"/>
        <v>10.703069999999999</v>
      </c>
      <c r="K263" s="50">
        <f t="shared" si="132"/>
        <v>10.703069999999999</v>
      </c>
      <c r="L263" s="90"/>
    </row>
    <row r="264" spans="1:12" x14ac:dyDescent="0.35">
      <c r="A264" s="4"/>
      <c r="B264" s="97" t="s">
        <v>104</v>
      </c>
      <c r="F264" s="90">
        <f>I35</f>
        <v>69.238419999999991</v>
      </c>
      <c r="G264" s="49">
        <f>G262-G263</f>
        <v>58.535349999999994</v>
      </c>
      <c r="H264" s="49">
        <f t="shared" ref="H264:K264" si="133">H262-H263</f>
        <v>47.832279999999997</v>
      </c>
      <c r="I264" s="49">
        <f t="shared" si="133"/>
        <v>37.12921</v>
      </c>
      <c r="J264" s="49">
        <f t="shared" si="133"/>
        <v>26.426140000000004</v>
      </c>
      <c r="K264" s="49">
        <f t="shared" si="133"/>
        <v>15.723070000000005</v>
      </c>
      <c r="L264" s="90"/>
    </row>
    <row r="265" spans="1:12" x14ac:dyDescent="0.35">
      <c r="A265" s="4"/>
    </row>
    <row r="266" spans="1:12" x14ac:dyDescent="0.35">
      <c r="A266" s="4"/>
      <c r="B266" s="98" t="s">
        <v>106</v>
      </c>
      <c r="C266" s="79"/>
      <c r="D266" s="79"/>
      <c r="E266" s="79"/>
      <c r="F266" s="79"/>
      <c r="G266" s="79"/>
      <c r="H266" s="79"/>
      <c r="I266" s="79"/>
      <c r="J266" s="79"/>
      <c r="K266" s="92"/>
    </row>
    <row r="267" spans="1:12" x14ac:dyDescent="0.35">
      <c r="A267" s="4"/>
      <c r="B267" s="99" t="s">
        <v>102</v>
      </c>
      <c r="C267" s="100"/>
      <c r="D267" s="100"/>
      <c r="E267" s="100"/>
      <c r="F267" s="100"/>
      <c r="G267" s="101">
        <f>G214+G221+G230+G239+G248</f>
        <v>2644.2</v>
      </c>
      <c r="H267" s="101">
        <f t="shared" ref="H267:K267" ca="1" si="134">H214+H221+H230+H239+H248</f>
        <v>2621.4208745637052</v>
      </c>
      <c r="I267" s="101">
        <f t="shared" ca="1" si="134"/>
        <v>2565.0787194598233</v>
      </c>
      <c r="J267" s="101">
        <f t="shared" ca="1" si="134"/>
        <v>2442.0735292910613</v>
      </c>
      <c r="K267" s="102">
        <f t="shared" ca="1" si="134"/>
        <v>2262.530753175412</v>
      </c>
    </row>
    <row r="268" spans="1:12" x14ac:dyDescent="0.35">
      <c r="A268" s="4"/>
      <c r="B268" s="99" t="s">
        <v>105</v>
      </c>
      <c r="C268" s="100"/>
      <c r="D268" s="100"/>
      <c r="E268" s="100"/>
      <c r="F268" s="100"/>
      <c r="G268" s="101">
        <f ca="1">-G215+G223+G232+G241</f>
        <v>22.779125436295118</v>
      </c>
      <c r="H268" s="101">
        <f t="shared" ref="H268:K268" ca="1" si="135">-H215+H223+H232+H241</f>
        <v>56.342155103881367</v>
      </c>
      <c r="I268" s="101">
        <f t="shared" ca="1" si="135"/>
        <v>123.00519016876231</v>
      </c>
      <c r="J268" s="101">
        <f t="shared" ca="1" si="135"/>
        <v>179.54277611564902</v>
      </c>
      <c r="K268" s="102">
        <f t="shared" ca="1" si="135"/>
        <v>233.52442327520933</v>
      </c>
    </row>
    <row r="269" spans="1:12" x14ac:dyDescent="0.35">
      <c r="A269" s="4"/>
      <c r="B269" s="73" t="s">
        <v>104</v>
      </c>
      <c r="C269" s="80"/>
      <c r="D269" s="80"/>
      <c r="E269" s="80"/>
      <c r="F269" s="103">
        <f>F216+F224+F233+F242+F251</f>
        <v>2644.2</v>
      </c>
      <c r="G269" s="103">
        <f t="shared" ref="G269:K269" ca="1" si="136">G216+G224+G233+G242+G251</f>
        <v>2621.4208745637047</v>
      </c>
      <c r="H269" s="103">
        <f t="shared" ca="1" si="136"/>
        <v>2565.0787194598233</v>
      </c>
      <c r="I269" s="103">
        <f t="shared" ca="1" si="136"/>
        <v>2442.0735292910613</v>
      </c>
      <c r="J269" s="103">
        <f t="shared" ca="1" si="136"/>
        <v>2262.5307531754124</v>
      </c>
      <c r="K269" s="104">
        <f t="shared" ca="1" si="136"/>
        <v>2029.0063299002027</v>
      </c>
    </row>
    <row r="270" spans="1:12" x14ac:dyDescent="0.35">
      <c r="A270" s="4"/>
      <c r="B270" s="135" t="s">
        <v>107</v>
      </c>
      <c r="C270" s="135"/>
      <c r="D270" s="135"/>
      <c r="E270" s="135"/>
      <c r="F270" s="135"/>
      <c r="G270" s="136">
        <f ca="1">G267-G268-G269</f>
        <v>0</v>
      </c>
      <c r="H270" s="136">
        <f t="shared" ref="H270:K270" ca="1" si="137">H267-H268-H269</f>
        <v>0</v>
      </c>
      <c r="I270" s="136">
        <f t="shared" ca="1" si="137"/>
        <v>0</v>
      </c>
      <c r="J270" s="136">
        <f t="shared" ca="1" si="137"/>
        <v>0</v>
      </c>
      <c r="K270" s="136">
        <f t="shared" ca="1" si="137"/>
        <v>0</v>
      </c>
    </row>
    <row r="271" spans="1:12" x14ac:dyDescent="0.35">
      <c r="A271" s="4"/>
    </row>
    <row r="272" spans="1:12" x14ac:dyDescent="0.35">
      <c r="A272" s="4" t="s">
        <v>0</v>
      </c>
      <c r="B272" s="6" t="s">
        <v>108</v>
      </c>
      <c r="C272" s="6"/>
      <c r="D272" s="53">
        <v>2008</v>
      </c>
      <c r="E272" s="53">
        <f>D272+1</f>
        <v>2009</v>
      </c>
      <c r="F272" s="53">
        <f t="shared" ref="F272:K272" si="138">E272+1</f>
        <v>2010</v>
      </c>
      <c r="G272" s="54">
        <f t="shared" si="138"/>
        <v>2011</v>
      </c>
      <c r="H272" s="54">
        <f t="shared" si="138"/>
        <v>2012</v>
      </c>
      <c r="I272" s="54">
        <f t="shared" si="138"/>
        <v>2013</v>
      </c>
      <c r="J272" s="54">
        <f t="shared" si="138"/>
        <v>2014</v>
      </c>
      <c r="K272" s="54">
        <f t="shared" si="138"/>
        <v>2015</v>
      </c>
    </row>
    <row r="273" spans="1:11" x14ac:dyDescent="0.35">
      <c r="A273" s="4"/>
      <c r="B273" t="s">
        <v>19</v>
      </c>
      <c r="F273" s="51">
        <f>F85</f>
        <v>1</v>
      </c>
      <c r="G273" s="50">
        <f ca="1">IF(CIRC="OFF",AVERAGE(G203,G205)*G274,0)</f>
        <v>0.63006396588486147</v>
      </c>
      <c r="H273" s="50">
        <f ca="1">IF(CIRC="OFF",AVERAGE(H203,H205)*H274,0)</f>
        <v>0.63006396588486113</v>
      </c>
      <c r="I273" s="50">
        <f ca="1">IF(CIRC="OFF",AVERAGE(I203,I205)*I274,0)</f>
        <v>0.63006396588486169</v>
      </c>
      <c r="J273" s="50">
        <f ca="1">IF(CIRC="OFF",AVERAGE(J203,J205)*J274,0)</f>
        <v>0.63006396588486102</v>
      </c>
      <c r="K273" s="50">
        <f ca="1">IF(CIRC="OFF",AVERAGE(K203,K205)*K274,0)</f>
        <v>0.63006396588486169</v>
      </c>
    </row>
    <row r="274" spans="1:11" x14ac:dyDescent="0.35">
      <c r="A274" s="4"/>
      <c r="B274" s="77" t="s">
        <v>109</v>
      </c>
      <c r="F274" s="18">
        <f>F273/F205</f>
        <v>5.3304904051172707E-3</v>
      </c>
      <c r="G274" s="106">
        <f>F274</f>
        <v>5.3304904051172707E-3</v>
      </c>
      <c r="H274" s="106">
        <f t="shared" ref="H274:K274" si="139">G274</f>
        <v>5.3304904051172707E-3</v>
      </c>
      <c r="I274" s="106">
        <f t="shared" si="139"/>
        <v>5.3304904051172707E-3</v>
      </c>
      <c r="J274" s="106">
        <f t="shared" si="139"/>
        <v>5.3304904051172707E-3</v>
      </c>
      <c r="K274" s="106">
        <f t="shared" si="139"/>
        <v>5.3304904051172707E-3</v>
      </c>
    </row>
    <row r="275" spans="1:11" x14ac:dyDescent="0.35">
      <c r="A275" s="4"/>
    </row>
    <row r="276" spans="1:11" x14ac:dyDescent="0.35">
      <c r="A276" s="4"/>
      <c r="B276" t="str">
        <f>B28</f>
        <v>Revolver</v>
      </c>
      <c r="G276" s="50">
        <f ca="1">IF(CIRC="OFF",G277*AVERAGE(G214,G216),0)</f>
        <v>0</v>
      </c>
      <c r="H276" s="50">
        <f ca="1">IF(CIRC="OFF",H277*AVERAGE(H214,H216),0)</f>
        <v>0</v>
      </c>
      <c r="I276" s="50">
        <f ca="1">IF(CIRC="OFF",I277*AVERAGE(I214,I216),0)</f>
        <v>0</v>
      </c>
      <c r="J276" s="50">
        <f ca="1">IF(CIRC="OFF",J277*AVERAGE(J214,J216),0)</f>
        <v>0</v>
      </c>
      <c r="K276" s="50">
        <f ca="1">IF(CIRC="OFF",K277*AVERAGE(K214,K216),0)</f>
        <v>0</v>
      </c>
    </row>
    <row r="277" spans="1:11" x14ac:dyDescent="0.35">
      <c r="A277" s="4"/>
      <c r="B277" s="77" t="s">
        <v>110</v>
      </c>
      <c r="G277" s="106">
        <f>$G$28</f>
        <v>4.4999999999999998E-2</v>
      </c>
      <c r="H277" s="106">
        <f t="shared" ref="H277:K277" si="140">$G$28</f>
        <v>4.4999999999999998E-2</v>
      </c>
      <c r="I277" s="106">
        <f t="shared" si="140"/>
        <v>4.4999999999999998E-2</v>
      </c>
      <c r="J277" s="106">
        <f t="shared" si="140"/>
        <v>4.4999999999999998E-2</v>
      </c>
      <c r="K277" s="106">
        <f t="shared" si="140"/>
        <v>4.4999999999999998E-2</v>
      </c>
    </row>
    <row r="278" spans="1:11" x14ac:dyDescent="0.35">
      <c r="A278" s="4"/>
    </row>
    <row r="279" spans="1:11" x14ac:dyDescent="0.35">
      <c r="A279" s="4"/>
      <c r="B279" t="str">
        <f>B29</f>
        <v>Secured term loan - USD tranche</v>
      </c>
      <c r="G279" s="50">
        <f ca="1">IF(CIRC="OFF",G280*AVERAGE(G221,G224),0)</f>
        <v>102.20523182262234</v>
      </c>
      <c r="H279" s="50">
        <f ca="1">IF(CIRC="OFF",H280*AVERAGE(H221,H224),0)</f>
        <v>99.507196156202312</v>
      </c>
      <c r="I279" s="50">
        <f ca="1">IF(CIRC="OFF",I280*AVERAGE(I221,I224),0)</f>
        <v>93.391451682405176</v>
      </c>
      <c r="J279" s="50">
        <f ca="1">IF(CIRC="OFF",J280*AVERAGE(J221,J224),0)</f>
        <v>83.074566032106731</v>
      </c>
      <c r="K279" s="50">
        <f ca="1">IF(CIRC="OFF",K280*AVERAGE(K221,K224),0)</f>
        <v>68.988974532878473</v>
      </c>
    </row>
    <row r="280" spans="1:11" x14ac:dyDescent="0.35">
      <c r="A280" s="4"/>
      <c r="B280" s="77" t="s">
        <v>110</v>
      </c>
      <c r="F280" s="106"/>
      <c r="G280" s="106">
        <f t="shared" ref="G280:K280" si="141">$G$29</f>
        <v>6.8199999999999997E-2</v>
      </c>
      <c r="H280" s="106">
        <f t="shared" si="141"/>
        <v>6.8199999999999997E-2</v>
      </c>
      <c r="I280" s="106">
        <f t="shared" si="141"/>
        <v>6.8199999999999997E-2</v>
      </c>
      <c r="J280" s="106">
        <f t="shared" si="141"/>
        <v>6.8199999999999997E-2</v>
      </c>
      <c r="K280" s="106">
        <f t="shared" si="141"/>
        <v>6.8199999999999997E-2</v>
      </c>
    </row>
    <row r="281" spans="1:11" x14ac:dyDescent="0.35">
      <c r="A281" s="4"/>
    </row>
    <row r="282" spans="1:11" x14ac:dyDescent="0.35">
      <c r="A282" s="4"/>
      <c r="B282" t="str">
        <f>B30</f>
        <v>Secured term loan - EUR tranche</v>
      </c>
      <c r="G282" s="50">
        <f ca="1">IF(CIRC="OFF",G283*AVERAGE(G230,G233),0)</f>
        <v>23.761619999999994</v>
      </c>
      <c r="H282" s="50">
        <f ca="1">IF(CIRC="OFF",H283*AVERAGE(H230,H233),0)</f>
        <v>23.761620000000001</v>
      </c>
      <c r="I282" s="50">
        <f ca="1">IF(CIRC="OFF",I283*AVERAGE(I230,I233),0)</f>
        <v>23.761619999999994</v>
      </c>
      <c r="J282" s="50">
        <f ca="1">IF(CIRC="OFF",J283*AVERAGE(J230,J233),0)</f>
        <v>23.761620000000001</v>
      </c>
      <c r="K282" s="50">
        <f ca="1">IF(CIRC="OFF",K283*AVERAGE(K230,K233),0)</f>
        <v>23.761619999999994</v>
      </c>
    </row>
    <row r="283" spans="1:11" x14ac:dyDescent="0.35">
      <c r="A283" s="4"/>
      <c r="B283" s="77" t="s">
        <v>110</v>
      </c>
      <c r="F283" s="106"/>
      <c r="G283" s="106">
        <f t="shared" ref="G283:K283" si="142">$G$30</f>
        <v>7.1099999999999997E-2</v>
      </c>
      <c r="H283" s="106">
        <f t="shared" si="142"/>
        <v>7.1099999999999997E-2</v>
      </c>
      <c r="I283" s="106">
        <f t="shared" si="142"/>
        <v>7.1099999999999997E-2</v>
      </c>
      <c r="J283" s="106">
        <f t="shared" si="142"/>
        <v>7.1099999999999997E-2</v>
      </c>
      <c r="K283" s="106">
        <f t="shared" si="142"/>
        <v>7.1099999999999997E-2</v>
      </c>
    </row>
    <row r="284" spans="1:11" x14ac:dyDescent="0.35">
      <c r="A284" s="4"/>
    </row>
    <row r="285" spans="1:11" x14ac:dyDescent="0.35">
      <c r="A285" s="4"/>
      <c r="B285" t="str">
        <f>B31</f>
        <v>Senior notes</v>
      </c>
      <c r="G285" s="50">
        <f ca="1">IF(CIRC="OFF",G286*AVERAGE(G239,G242),0)</f>
        <v>81.52000000000001</v>
      </c>
      <c r="H285" s="50">
        <f ca="1">IF(CIRC="OFF",H286*AVERAGE(H239,H242),0)</f>
        <v>81.52000000000001</v>
      </c>
      <c r="I285" s="50">
        <f ca="1">IF(CIRC="OFF",I286*AVERAGE(I239,I242),0)</f>
        <v>81.52000000000001</v>
      </c>
      <c r="J285" s="50">
        <f ca="1">IF(CIRC="OFF",J286*AVERAGE(J239,J242),0)</f>
        <v>81.52000000000001</v>
      </c>
      <c r="K285" s="50">
        <f ca="1">IF(CIRC="OFF",K286*AVERAGE(K239,K242),0)</f>
        <v>81.52000000000001</v>
      </c>
    </row>
    <row r="286" spans="1:11" x14ac:dyDescent="0.35">
      <c r="A286" s="4"/>
      <c r="B286" s="77" t="s">
        <v>110</v>
      </c>
      <c r="F286" s="106"/>
      <c r="G286" s="106">
        <f t="shared" ref="G286:K286" si="143">$G$31</f>
        <v>0.1019</v>
      </c>
      <c r="H286" s="106">
        <f t="shared" si="143"/>
        <v>0.1019</v>
      </c>
      <c r="I286" s="106">
        <f t="shared" si="143"/>
        <v>0.1019</v>
      </c>
      <c r="J286" s="106">
        <f t="shared" si="143"/>
        <v>0.1019</v>
      </c>
      <c r="K286" s="106">
        <f t="shared" si="143"/>
        <v>0.1019</v>
      </c>
    </row>
    <row r="287" spans="1:11" x14ac:dyDescent="0.35">
      <c r="A287" s="4"/>
    </row>
    <row r="288" spans="1:11" x14ac:dyDescent="0.35">
      <c r="A288" s="4"/>
      <c r="B288" t="str">
        <f>B32</f>
        <v>Subordinated notes</v>
      </c>
      <c r="G288" s="50">
        <f>IF(PIK=1,IF(CIRC="OFF",G289*AVERAGE(G248,G251),0),0)</f>
        <v>0</v>
      </c>
      <c r="H288" s="50">
        <f>IF(PIK=1,IF(CIRC="OFF",H289*AVERAGE(H248,H251),0),0)</f>
        <v>0</v>
      </c>
      <c r="I288" s="50">
        <f>IF(PIK=1,IF(CIRC="OFF",I289*AVERAGE(I248,I251),0),0)</f>
        <v>0</v>
      </c>
      <c r="J288" s="50">
        <f>IF(PIK=1,IF(CIRC="OFF",J289*AVERAGE(J248,J251),0),0)</f>
        <v>0</v>
      </c>
      <c r="K288" s="50">
        <f>IF(PIK=1,IF(CIRC="OFF",K289*AVERAGE(K248,K251),0),0)</f>
        <v>0</v>
      </c>
    </row>
    <row r="289" spans="1:11" x14ac:dyDescent="0.35">
      <c r="A289" s="4"/>
      <c r="B289" s="77" t="s">
        <v>153</v>
      </c>
      <c r="G289" s="106">
        <f>$G$32</f>
        <v>0.1</v>
      </c>
      <c r="H289" s="106">
        <f t="shared" ref="H289:K289" si="144">$G$32</f>
        <v>0.1</v>
      </c>
      <c r="I289" s="106">
        <f t="shared" si="144"/>
        <v>0.1</v>
      </c>
      <c r="J289" s="106">
        <f t="shared" si="144"/>
        <v>0.1</v>
      </c>
      <c r="K289" s="106">
        <f t="shared" si="144"/>
        <v>0.1</v>
      </c>
    </row>
    <row r="290" spans="1:11" x14ac:dyDescent="0.35">
      <c r="A290" s="4"/>
      <c r="B290" s="77"/>
      <c r="G290" s="106"/>
      <c r="H290" s="106"/>
      <c r="I290" s="106"/>
      <c r="J290" s="106"/>
      <c r="K290" s="106"/>
    </row>
    <row r="291" spans="1:11" x14ac:dyDescent="0.35">
      <c r="A291" s="4"/>
      <c r="B291" t="str">
        <f>B32</f>
        <v>Subordinated notes</v>
      </c>
      <c r="G291" s="51">
        <f>G250</f>
        <v>0</v>
      </c>
      <c r="H291" s="51">
        <f t="shared" ref="H291:K291" si="145">H250</f>
        <v>0</v>
      </c>
      <c r="I291" s="51">
        <f t="shared" si="145"/>
        <v>0</v>
      </c>
      <c r="J291" s="51">
        <f t="shared" si="145"/>
        <v>0</v>
      </c>
      <c r="K291" s="51">
        <f t="shared" si="145"/>
        <v>0</v>
      </c>
    </row>
    <row r="292" spans="1:11" x14ac:dyDescent="0.35">
      <c r="A292" s="4"/>
      <c r="B292" s="77" t="s">
        <v>154</v>
      </c>
      <c r="G292" s="137">
        <f>$L$32</f>
        <v>0.05</v>
      </c>
      <c r="H292" s="137">
        <f t="shared" ref="H292:K292" si="146">$G$32</f>
        <v>0.1</v>
      </c>
      <c r="I292" s="137">
        <f t="shared" si="146"/>
        <v>0.1</v>
      </c>
      <c r="J292" s="137">
        <f t="shared" si="146"/>
        <v>0.1</v>
      </c>
      <c r="K292" s="137">
        <f t="shared" si="146"/>
        <v>0.1</v>
      </c>
    </row>
    <row r="293" spans="1:11" x14ac:dyDescent="0.35">
      <c r="A293" s="4"/>
    </row>
    <row r="294" spans="1:11" x14ac:dyDescent="0.35">
      <c r="A294" s="4"/>
      <c r="B294" t="s">
        <v>111</v>
      </c>
      <c r="G294" s="21">
        <f ca="1">G276+G279+G282+G285+G288+G291</f>
        <v>207.48685182262233</v>
      </c>
      <c r="H294" s="21">
        <f t="shared" ref="H294:K294" ca="1" si="147">H276+H279+H282+H285+H288+H291</f>
        <v>204.78881615620233</v>
      </c>
      <c r="I294" s="21">
        <f t="shared" ca="1" si="147"/>
        <v>198.67307168240518</v>
      </c>
      <c r="J294" s="21">
        <f t="shared" ca="1" si="147"/>
        <v>188.35618603210673</v>
      </c>
      <c r="K294" s="21">
        <f t="shared" ca="1" si="147"/>
        <v>174.27059453287848</v>
      </c>
    </row>
    <row r="295" spans="1:11" x14ac:dyDescent="0.35">
      <c r="A295" s="4"/>
      <c r="B295" s="77" t="s">
        <v>112</v>
      </c>
      <c r="G295" s="10">
        <f ca="1">G294/AVERAGE(G269,G267)</f>
        <v>7.8808124156798179E-2</v>
      </c>
      <c r="H295" s="10">
        <f ca="1">H294/AVERAGE(H269,H267)</f>
        <v>7.8969953605002946E-2</v>
      </c>
      <c r="I295" s="10">
        <f ca="1">I294/AVERAGE(I269,I267)</f>
        <v>7.9355714311250436E-2</v>
      </c>
      <c r="J295" s="10">
        <f ca="1">J294/AVERAGE(J269,J267)</f>
        <v>8.0073126122037028E-2</v>
      </c>
      <c r="K295" s="10">
        <f ca="1">K294/AVERAGE(K269,K267)</f>
        <v>8.1215933200318058E-2</v>
      </c>
    </row>
    <row r="296" spans="1:11" x14ac:dyDescent="0.35">
      <c r="A296" s="4"/>
    </row>
    <row r="297" spans="1:11" x14ac:dyDescent="0.35">
      <c r="A297" s="4" t="s">
        <v>0</v>
      </c>
      <c r="B297" s="5" t="s">
        <v>113</v>
      </c>
      <c r="C297" s="5"/>
      <c r="D297" s="5"/>
      <c r="E297" s="5"/>
      <c r="F297" s="5"/>
      <c r="G297" s="5"/>
      <c r="H297" s="5"/>
      <c r="I297" s="5"/>
      <c r="J297" s="5"/>
      <c r="K297" s="5"/>
    </row>
    <row r="298" spans="1:11" x14ac:dyDescent="0.35">
      <c r="A298" s="4"/>
    </row>
    <row r="299" spans="1:11" x14ac:dyDescent="0.35">
      <c r="A299" s="4"/>
      <c r="B299" t="s">
        <v>114</v>
      </c>
      <c r="K299" s="51">
        <f>K103</f>
        <v>685</v>
      </c>
    </row>
    <row r="300" spans="1:11" x14ac:dyDescent="0.35">
      <c r="A300" s="4"/>
      <c r="B300" s="3" t="s">
        <v>25</v>
      </c>
      <c r="C300" s="3"/>
      <c r="D300" s="3"/>
      <c r="E300" s="3"/>
      <c r="F300" s="3"/>
      <c r="G300" s="3"/>
      <c r="H300" s="3"/>
      <c r="I300" s="3"/>
      <c r="J300" s="3"/>
      <c r="K300" s="110">
        <f>E24</f>
        <v>8.7567148178137728</v>
      </c>
    </row>
    <row r="301" spans="1:11" x14ac:dyDescent="0.35">
      <c r="A301" s="4"/>
      <c r="B301" s="7" t="s">
        <v>20</v>
      </c>
      <c r="C301" s="7"/>
      <c r="D301" s="7"/>
      <c r="E301" s="7"/>
      <c r="F301" s="7"/>
      <c r="G301" s="7"/>
      <c r="H301" s="7"/>
      <c r="I301" s="7"/>
      <c r="J301" s="7"/>
      <c r="K301" s="94">
        <f>K299*K300</f>
        <v>5998.3496502024345</v>
      </c>
    </row>
    <row r="302" spans="1:11" x14ac:dyDescent="0.35">
      <c r="A302" s="4"/>
      <c r="B302" t="s">
        <v>115</v>
      </c>
      <c r="K302" s="21">
        <f ca="1">K269-K205</f>
        <v>1910.8063299002026</v>
      </c>
    </row>
    <row r="303" spans="1:11" x14ac:dyDescent="0.35">
      <c r="A303" s="4"/>
      <c r="B303" s="111" t="s">
        <v>116</v>
      </c>
      <c r="C303" s="112"/>
      <c r="D303" s="112"/>
      <c r="E303" s="112"/>
      <c r="F303" s="112"/>
      <c r="G303" s="112"/>
      <c r="H303" s="112"/>
      <c r="I303" s="112"/>
      <c r="J303" s="112"/>
      <c r="K303" s="113">
        <f ca="1">K301-K302</f>
        <v>4087.5433203022321</v>
      </c>
    </row>
    <row r="304" spans="1:11" x14ac:dyDescent="0.35">
      <c r="A304" s="4"/>
    </row>
    <row r="305" spans="1:11" x14ac:dyDescent="0.35">
      <c r="A305" s="4"/>
      <c r="B305" t="s">
        <v>117</v>
      </c>
      <c r="K305" s="51">
        <f>D48</f>
        <v>1560.0000000000005</v>
      </c>
    </row>
    <row r="306" spans="1:11" x14ac:dyDescent="0.35">
      <c r="A306" s="4"/>
    </row>
    <row r="307" spans="1:11" x14ac:dyDescent="0.35">
      <c r="A307" s="4"/>
      <c r="B307" s="68" t="s">
        <v>118</v>
      </c>
      <c r="C307" s="69"/>
      <c r="D307" s="69"/>
      <c r="E307" s="69"/>
      <c r="F307" s="69"/>
      <c r="G307" s="69"/>
      <c r="H307" s="69"/>
      <c r="I307" s="69"/>
      <c r="J307" s="69"/>
      <c r="K307" s="107">
        <f ca="1">K303/K305</f>
        <v>2.6202200771168149</v>
      </c>
    </row>
    <row r="308" spans="1:11" x14ac:dyDescent="0.35">
      <c r="A308" s="4" t="s">
        <v>0</v>
      </c>
      <c r="B308" s="108" t="s">
        <v>119</v>
      </c>
      <c r="C308" s="74"/>
      <c r="D308" s="74"/>
      <c r="E308" s="74"/>
      <c r="F308" s="74"/>
      <c r="G308" s="74"/>
      <c r="H308" s="74"/>
      <c r="I308" s="74"/>
      <c r="J308" s="74"/>
      <c r="K308" s="109">
        <f ca="1">K307^(1/5)-1</f>
        <v>0.21246037469185919</v>
      </c>
    </row>
    <row r="309" spans="1:11" x14ac:dyDescent="0.35">
      <c r="A309" s="4"/>
    </row>
    <row r="310" spans="1:11" x14ac:dyDescent="0.35">
      <c r="A310" s="4" t="s">
        <v>0</v>
      </c>
      <c r="B310" s="6" t="s">
        <v>178</v>
      </c>
      <c r="C310" s="6"/>
      <c r="D310" s="53"/>
      <c r="E310" s="53"/>
      <c r="F310" s="53"/>
      <c r="G310" s="138" t="s">
        <v>179</v>
      </c>
      <c r="H310" s="139" t="s">
        <v>180</v>
      </c>
      <c r="I310" s="139" t="s">
        <v>181</v>
      </c>
      <c r="J310" s="139" t="s">
        <v>182</v>
      </c>
      <c r="K310" s="139" t="s">
        <v>183</v>
      </c>
    </row>
    <row r="311" spans="1:11" x14ac:dyDescent="0.35">
      <c r="A311" s="4"/>
      <c r="B311" t="s">
        <v>19</v>
      </c>
      <c r="G311" s="51">
        <f>F205</f>
        <v>187.6</v>
      </c>
      <c r="H311" s="21">
        <f>H327+H322-H315</f>
        <v>-4273.5999999999995</v>
      </c>
      <c r="I311" s="21">
        <f>I322+I327</f>
        <v>4204.2000000000007</v>
      </c>
      <c r="K311" s="21">
        <f>SUM(G311:J311)</f>
        <v>118.20000000000118</v>
      </c>
    </row>
    <row r="312" spans="1:11" x14ac:dyDescent="0.35">
      <c r="A312" s="4"/>
      <c r="B312" t="str">
        <f>B114</f>
        <v>Accounts Receivable</v>
      </c>
      <c r="G312" s="51">
        <f>F114</f>
        <v>142.9</v>
      </c>
      <c r="K312" s="21">
        <f t="shared" ref="K312:K328" si="148">SUM(G312:J312)</f>
        <v>142.9</v>
      </c>
    </row>
    <row r="313" spans="1:11" x14ac:dyDescent="0.35">
      <c r="A313" s="4"/>
      <c r="B313" t="str">
        <f>B117</f>
        <v>Prepaids and Other Current Assets</v>
      </c>
      <c r="G313" s="51">
        <f>F117</f>
        <v>103.5</v>
      </c>
      <c r="K313" s="21">
        <f t="shared" si="148"/>
        <v>103.5</v>
      </c>
    </row>
    <row r="314" spans="1:11" x14ac:dyDescent="0.35">
      <c r="A314" s="4"/>
      <c r="B314" t="str">
        <f>B144</f>
        <v>PP&amp;E</v>
      </c>
      <c r="G314" s="51">
        <f>F148</f>
        <v>1014.1</v>
      </c>
      <c r="K314" s="21">
        <f t="shared" si="148"/>
        <v>1014.1</v>
      </c>
    </row>
    <row r="315" spans="1:11" x14ac:dyDescent="0.35">
      <c r="A315" s="4"/>
      <c r="B315" t="str">
        <f>B150</f>
        <v>Intangible Assets</v>
      </c>
      <c r="G315" s="51">
        <f>F154</f>
        <v>1025.4000000000001</v>
      </c>
      <c r="H315" s="21">
        <f>I44+I46</f>
        <v>101.56459199999958</v>
      </c>
      <c r="K315" s="21">
        <f t="shared" si="148"/>
        <v>1126.9645919999996</v>
      </c>
    </row>
    <row r="316" spans="1:11" x14ac:dyDescent="0.35">
      <c r="A316" s="4"/>
      <c r="B316" s="3" t="str">
        <f>B156</f>
        <v>Goodwill and Other Assets</v>
      </c>
      <c r="C316" s="3"/>
      <c r="D316" s="3"/>
      <c r="E316" s="3"/>
      <c r="F316" s="3"/>
      <c r="G316" s="119">
        <f>F156</f>
        <v>273.7</v>
      </c>
      <c r="H316" s="3"/>
      <c r="I316" s="3"/>
      <c r="J316" s="140">
        <f>J327</f>
        <v>2197.0354080000002</v>
      </c>
      <c r="K316" s="140">
        <f t="shared" si="148"/>
        <v>2470.735408</v>
      </c>
    </row>
    <row r="317" spans="1:11" x14ac:dyDescent="0.35">
      <c r="A317" s="4"/>
      <c r="B317" s="7" t="s">
        <v>184</v>
      </c>
      <c r="G317" s="49">
        <f>SUM(G311:G316)</f>
        <v>2747.2</v>
      </c>
      <c r="H317" s="49">
        <f>SUM(H311:H316)</f>
        <v>-4172.0354079999997</v>
      </c>
      <c r="I317" s="49">
        <f>SUM(I311:I316)</f>
        <v>4204.2000000000007</v>
      </c>
      <c r="J317" s="49">
        <f>SUM(J311:J316)</f>
        <v>2197.0354080000002</v>
      </c>
      <c r="K317" s="49">
        <f t="shared" si="148"/>
        <v>4976.4000000000015</v>
      </c>
    </row>
    <row r="318" spans="1:11" x14ac:dyDescent="0.35">
      <c r="A318" s="4"/>
    </row>
    <row r="319" spans="1:11" x14ac:dyDescent="0.35">
      <c r="A319" s="4"/>
      <c r="B319" t="str">
        <f>B120</f>
        <v>Accounts Payable</v>
      </c>
      <c r="G319" s="51">
        <f>F120</f>
        <v>106.9</v>
      </c>
      <c r="K319" s="21">
        <f t="shared" si="148"/>
        <v>106.9</v>
      </c>
    </row>
    <row r="320" spans="1:11" x14ac:dyDescent="0.35">
      <c r="A320" s="4"/>
      <c r="B320" t="str">
        <f>B123</f>
        <v>Accrued Advertising</v>
      </c>
      <c r="G320" s="51">
        <f>F123</f>
        <v>71.900000000000006</v>
      </c>
      <c r="K320" s="21">
        <f t="shared" si="148"/>
        <v>71.900000000000006</v>
      </c>
    </row>
    <row r="321" spans="1:19" x14ac:dyDescent="0.35">
      <c r="A321" s="4"/>
      <c r="B321" t="str">
        <f>B126</f>
        <v>Other Accrued Liabilities</v>
      </c>
      <c r="G321" s="51">
        <f>F126</f>
        <v>200.9</v>
      </c>
      <c r="K321" s="21">
        <f t="shared" si="148"/>
        <v>200.9</v>
      </c>
    </row>
    <row r="322" spans="1:19" x14ac:dyDescent="0.35">
      <c r="A322" s="4"/>
      <c r="B322" t="s">
        <v>18</v>
      </c>
      <c r="G322" s="51">
        <f>E21</f>
        <v>755.4</v>
      </c>
      <c r="H322" s="21">
        <f>-G322</f>
        <v>-755.4</v>
      </c>
      <c r="I322" s="21">
        <f>SUM(D41:D45)</f>
        <v>2644.2</v>
      </c>
      <c r="K322" s="21">
        <f t="shared" si="148"/>
        <v>2644.2</v>
      </c>
    </row>
    <row r="323" spans="1:19" x14ac:dyDescent="0.35">
      <c r="A323" s="4"/>
      <c r="B323" s="3" t="str">
        <f>B158</f>
        <v>Other Liabilities</v>
      </c>
      <c r="C323" s="3"/>
      <c r="D323" s="3"/>
      <c r="E323" s="3"/>
      <c r="F323" s="3"/>
      <c r="G323" s="119">
        <f>F158+5.6</f>
        <v>483.70000000000005</v>
      </c>
      <c r="H323" s="3"/>
      <c r="I323" s="3"/>
      <c r="J323" s="3"/>
      <c r="K323" s="140">
        <f t="shared" si="148"/>
        <v>483.70000000000005</v>
      </c>
    </row>
    <row r="324" spans="1:19" x14ac:dyDescent="0.35">
      <c r="A324" s="4"/>
      <c r="B324" s="7" t="s">
        <v>185</v>
      </c>
      <c r="C324" s="7"/>
      <c r="D324" s="7"/>
      <c r="E324" s="7"/>
      <c r="F324" s="7"/>
      <c r="G324" s="49">
        <f>SUM(G319:G323)</f>
        <v>1618.8</v>
      </c>
      <c r="H324" s="49">
        <f>SUM(H319:H323)</f>
        <v>-755.4</v>
      </c>
      <c r="I324" s="49">
        <f>SUM(I319:I323)</f>
        <v>2644.2</v>
      </c>
      <c r="J324" s="49">
        <f>SUM(J319:J323)</f>
        <v>0</v>
      </c>
      <c r="K324" s="49">
        <f t="shared" si="148"/>
        <v>3507.6</v>
      </c>
    </row>
    <row r="325" spans="1:19" x14ac:dyDescent="0.35">
      <c r="A325" s="4"/>
    </row>
    <row r="326" spans="1:19" x14ac:dyDescent="0.35">
      <c r="A326" s="4"/>
      <c r="B326" t="s">
        <v>186</v>
      </c>
      <c r="G326" s="52">
        <v>0</v>
      </c>
      <c r="I326" s="51">
        <f>D46</f>
        <v>0</v>
      </c>
      <c r="K326" s="21">
        <f t="shared" si="148"/>
        <v>0</v>
      </c>
    </row>
    <row r="327" spans="1:19" x14ac:dyDescent="0.35">
      <c r="A327" s="4"/>
      <c r="B327" s="3" t="s">
        <v>187</v>
      </c>
      <c r="C327" s="3"/>
      <c r="D327" s="3"/>
      <c r="E327" s="3"/>
      <c r="F327" s="3"/>
      <c r="G327" s="82">
        <v>1128.4000000000001</v>
      </c>
      <c r="H327" s="140">
        <f>-(K16+I43)</f>
        <v>-3416.6354080000001</v>
      </c>
      <c r="I327" s="119">
        <f>D48</f>
        <v>1560.0000000000005</v>
      </c>
      <c r="J327" s="140">
        <f>K16-G327</f>
        <v>2197.0354080000002</v>
      </c>
      <c r="K327" s="140">
        <f t="shared" si="148"/>
        <v>1468.8000000000006</v>
      </c>
    </row>
    <row r="328" spans="1:19" x14ac:dyDescent="0.35">
      <c r="A328" s="4"/>
      <c r="B328" s="7" t="s">
        <v>188</v>
      </c>
      <c r="C328" s="7"/>
      <c r="D328" s="7"/>
      <c r="E328" s="7"/>
      <c r="F328" s="7"/>
      <c r="G328" s="49">
        <f>SUM(G326:G327)</f>
        <v>1128.4000000000001</v>
      </c>
      <c r="H328" s="49">
        <f>SUM(H326:H327)</f>
        <v>-3416.6354080000001</v>
      </c>
      <c r="I328" s="49">
        <f>SUM(I326:I327)</f>
        <v>1560.0000000000005</v>
      </c>
      <c r="J328" s="49">
        <f>SUM(J326:J327)</f>
        <v>2197.0354080000002</v>
      </c>
      <c r="K328" s="49">
        <f t="shared" si="148"/>
        <v>1468.8000000000006</v>
      </c>
    </row>
    <row r="329" spans="1:19" x14ac:dyDescent="0.35">
      <c r="A329" s="4"/>
    </row>
    <row r="330" spans="1:19" x14ac:dyDescent="0.35">
      <c r="A330" s="4" t="s">
        <v>0</v>
      </c>
      <c r="B330" s="121" t="s">
        <v>107</v>
      </c>
      <c r="C330" s="121"/>
      <c r="D330" s="121"/>
      <c r="E330" s="121"/>
      <c r="F330" s="121"/>
      <c r="G330" s="141">
        <f>G317-G324-G328</f>
        <v>0</v>
      </c>
      <c r="H330" s="141">
        <f>H317-H324-H328</f>
        <v>0</v>
      </c>
      <c r="I330" s="141">
        <f>I317-I324-I328</f>
        <v>0</v>
      </c>
      <c r="J330" s="141">
        <f>J317-J324-J328</f>
        <v>0</v>
      </c>
      <c r="K330" s="141">
        <f>K317-K324-K328</f>
        <v>0</v>
      </c>
    </row>
    <row r="331" spans="1:19" x14ac:dyDescent="0.35">
      <c r="A331" s="4"/>
    </row>
    <row r="332" spans="1:19" x14ac:dyDescent="0.35">
      <c r="A332" s="4" t="s">
        <v>0</v>
      </c>
      <c r="M332" s="6" t="s">
        <v>189</v>
      </c>
      <c r="N332" s="6"/>
      <c r="O332" s="53"/>
      <c r="P332" s="53"/>
      <c r="Q332" s="53"/>
      <c r="R332" s="53"/>
      <c r="S332" s="53"/>
    </row>
    <row r="333" spans="1:19" x14ac:dyDescent="0.35">
      <c r="A333" s="4"/>
      <c r="M333" s="142"/>
      <c r="N333" s="142"/>
      <c r="O333" s="143"/>
      <c r="P333" s="143"/>
      <c r="Q333" s="143"/>
      <c r="R333" s="143"/>
      <c r="S333" s="143"/>
    </row>
    <row r="334" spans="1:19" x14ac:dyDescent="0.35">
      <c r="A334" s="4"/>
      <c r="G334" s="51"/>
      <c r="H334" s="21"/>
      <c r="I334" s="21"/>
      <c r="K334" s="21"/>
      <c r="M334" s="144"/>
      <c r="N334" s="79"/>
      <c r="O334" s="145" t="s">
        <v>190</v>
      </c>
      <c r="P334" s="145"/>
      <c r="Q334" s="145"/>
      <c r="R334" s="145"/>
      <c r="S334" s="146"/>
    </row>
    <row r="335" spans="1:19" x14ac:dyDescent="0.35">
      <c r="A335" s="4"/>
      <c r="M335" s="147"/>
      <c r="N335" s="148">
        <f ca="1">K308</f>
        <v>0.21246037469185919</v>
      </c>
      <c r="O335" s="149">
        <f>P335+0.5%</f>
        <v>7.8200000000000006E-2</v>
      </c>
      <c r="P335" s="150">
        <f>Q335+0.5%</f>
        <v>7.3200000000000001E-2</v>
      </c>
      <c r="Q335" s="149">
        <v>6.8199999999999997E-2</v>
      </c>
      <c r="R335" s="149">
        <f>Q335-0.5%</f>
        <v>6.3199999999999992E-2</v>
      </c>
      <c r="S335" s="151">
        <f>R335-0.5%</f>
        <v>5.8199999999999995E-2</v>
      </c>
    </row>
    <row r="336" spans="1:19" x14ac:dyDescent="0.35">
      <c r="A336" s="4"/>
      <c r="M336" s="163" t="s">
        <v>25</v>
      </c>
      <c r="N336" s="152">
        <f>N337-0.5</f>
        <v>7.7567148178137728</v>
      </c>
      <c r="O336" s="153">
        <v>0.16527522151687202</v>
      </c>
      <c r="P336" s="154">
        <v>0.16705343173196163</v>
      </c>
      <c r="Q336" s="154">
        <v>0.1687882023862366</v>
      </c>
      <c r="R336" s="154">
        <v>0.17048083837117467</v>
      </c>
      <c r="S336" s="155">
        <v>0.17213258922697316</v>
      </c>
    </row>
    <row r="337" spans="1:19" x14ac:dyDescent="0.35">
      <c r="A337" s="4"/>
      <c r="M337" s="163"/>
      <c r="N337" s="152">
        <f>N338-0.5</f>
        <v>8.2567148178137728</v>
      </c>
      <c r="O337" s="156">
        <v>0.1881725533751315</v>
      </c>
      <c r="P337" s="157">
        <v>0.18981809799705163</v>
      </c>
      <c r="Q337" s="157">
        <v>0.19142430421093226</v>
      </c>
      <c r="R337" s="157">
        <v>0.19299233924955805</v>
      </c>
      <c r="S337" s="158">
        <v>0.19452329356983178</v>
      </c>
    </row>
    <row r="338" spans="1:19" x14ac:dyDescent="0.35">
      <c r="A338" s="4"/>
      <c r="M338" s="163"/>
      <c r="N338" s="152">
        <v>8.7567148178137728</v>
      </c>
      <c r="O338" s="156">
        <v>0.2094298967609054</v>
      </c>
      <c r="P338" s="157">
        <v>0.21096312473411638</v>
      </c>
      <c r="Q338" s="157">
        <v>0.21246038922470434</v>
      </c>
      <c r="R338" s="157">
        <v>0.21392272431729609</v>
      </c>
      <c r="S338" s="158">
        <v>0.21535109624198534</v>
      </c>
    </row>
    <row r="339" spans="1:19" x14ac:dyDescent="0.35">
      <c r="A339" s="4"/>
      <c r="M339" s="163"/>
      <c r="N339" s="152">
        <f>N338+0.5</f>
        <v>9.2567148178137728</v>
      </c>
      <c r="O339" s="156">
        <v>0.22928996312333272</v>
      </c>
      <c r="P339" s="157">
        <v>0.23072676904990108</v>
      </c>
      <c r="Q339" s="157">
        <v>0.23213041936032419</v>
      </c>
      <c r="R339" s="157">
        <v>0.23350184174183708</v>
      </c>
      <c r="S339" s="158">
        <v>0.23484190305482056</v>
      </c>
    </row>
    <row r="340" spans="1:19" x14ac:dyDescent="0.35">
      <c r="A340" s="4"/>
      <c r="M340" s="164"/>
      <c r="N340" s="159">
        <f>N339+0.5</f>
        <v>9.7567148178137728</v>
      </c>
      <c r="O340" s="160">
        <v>0.24794382377567969</v>
      </c>
      <c r="P340" s="161">
        <v>0.24929685802819757</v>
      </c>
      <c r="Q340" s="161">
        <v>0.25061911005339699</v>
      </c>
      <c r="R340" s="161">
        <v>0.25191142077392326</v>
      </c>
      <c r="S340" s="162">
        <v>0.25317457595410198</v>
      </c>
    </row>
    <row r="341" spans="1:19" x14ac:dyDescent="0.35">
      <c r="A341" s="4"/>
    </row>
    <row r="342" spans="1:19" x14ac:dyDescent="0.35">
      <c r="A342" s="4"/>
    </row>
    <row r="343" spans="1:19" x14ac:dyDescent="0.35">
      <c r="A343" s="4"/>
    </row>
    <row r="344" spans="1:19" x14ac:dyDescent="0.35">
      <c r="A344" s="4"/>
    </row>
    <row r="345" spans="1:19" x14ac:dyDescent="0.35">
      <c r="A345" s="4"/>
    </row>
    <row r="346" spans="1:19" x14ac:dyDescent="0.35">
      <c r="A346" s="4"/>
    </row>
  </sheetData>
  <mergeCells count="1">
    <mergeCell ref="M336:M340"/>
  </mergeCells>
  <dataValidations count="2">
    <dataValidation type="list" allowBlank="1" showInputMessage="1" showErrorMessage="1" sqref="E7:E8" xr:uid="{2BDEAA02-D45E-4F3F-B4C8-B2A85A7BB6B2}">
      <formula1>"1,2"</formula1>
    </dataValidation>
    <dataValidation type="list" allowBlank="1" showInputMessage="1" showErrorMessage="1" sqref="E6" xr:uid="{4DE0A2E8-1C91-4A85-B5E0-3BB186F1E2B9}">
      <formula1>"ON,OFF"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531F-2658-495D-9460-CA708F56769D}">
  <dimension ref="A2:G32"/>
  <sheetViews>
    <sheetView showGridLines="0" zoomScale="130" zoomScaleNormal="130" workbookViewId="0"/>
  </sheetViews>
  <sheetFormatPr defaultColWidth="8.81640625" defaultRowHeight="14.5" x14ac:dyDescent="0.35"/>
  <cols>
    <col min="1" max="1" width="3.453125" style="4" customWidth="1"/>
    <col min="2" max="2" width="36.453125" bestFit="1" customWidth="1"/>
    <col min="3" max="5" width="15.81640625" customWidth="1"/>
  </cols>
  <sheetData>
    <row r="2" spans="1:5" s="3" customFormat="1" ht="21" x14ac:dyDescent="0.5">
      <c r="A2" s="1"/>
      <c r="B2" s="2" t="s">
        <v>38</v>
      </c>
    </row>
    <row r="3" spans="1:5" x14ac:dyDescent="0.35">
      <c r="B3" s="8"/>
    </row>
    <row r="4" spans="1:5" x14ac:dyDescent="0.35">
      <c r="A4" s="4" t="s">
        <v>0</v>
      </c>
      <c r="B4" s="22" t="s">
        <v>39</v>
      </c>
      <c r="C4" s="23"/>
      <c r="D4" s="23"/>
      <c r="E4" s="23"/>
    </row>
    <row r="5" spans="1:5" ht="5" customHeight="1" x14ac:dyDescent="0.35">
      <c r="B5" s="24"/>
      <c r="C5" s="25"/>
      <c r="D5" s="25"/>
      <c r="E5" s="25"/>
    </row>
    <row r="6" spans="1:5" x14ac:dyDescent="0.35">
      <c r="B6" s="26" t="s">
        <v>40</v>
      </c>
      <c r="E6" s="43" t="e">
        <f>#REF!</f>
        <v>#REF!</v>
      </c>
    </row>
    <row r="7" spans="1:5" x14ac:dyDescent="0.35">
      <c r="B7" s="27" t="s">
        <v>41</v>
      </c>
      <c r="E7" s="13">
        <v>136.55564200000001</v>
      </c>
    </row>
    <row r="8" spans="1:5" x14ac:dyDescent="0.35">
      <c r="B8" s="26" t="s">
        <v>42</v>
      </c>
      <c r="E8" s="28" t="e">
        <f>E32</f>
        <v>#REF!</v>
      </c>
    </row>
    <row r="9" spans="1:5" x14ac:dyDescent="0.35">
      <c r="B9" s="26" t="s">
        <v>43</v>
      </c>
      <c r="E9" s="29" t="e">
        <f>SUMPRODUCT(D21:D30,E21:E30)</f>
        <v>#REF!</v>
      </c>
    </row>
    <row r="10" spans="1:5" x14ac:dyDescent="0.35">
      <c r="B10" s="26" t="s">
        <v>44</v>
      </c>
      <c r="E10" s="29" t="e">
        <f>E9/E6</f>
        <v>#REF!</v>
      </c>
    </row>
    <row r="11" spans="1:5" x14ac:dyDescent="0.35">
      <c r="B11" s="26" t="s">
        <v>45</v>
      </c>
      <c r="E11" s="29" t="e">
        <f>E8-E10</f>
        <v>#REF!</v>
      </c>
    </row>
    <row r="12" spans="1:5" x14ac:dyDescent="0.35">
      <c r="B12" s="26" t="s">
        <v>46</v>
      </c>
      <c r="E12" s="13">
        <v>1.7296</v>
      </c>
    </row>
    <row r="13" spans="1:5" x14ac:dyDescent="0.35">
      <c r="B13" s="26"/>
      <c r="E13" s="30"/>
    </row>
    <row r="14" spans="1:5" x14ac:dyDescent="0.35">
      <c r="B14" s="26" t="s">
        <v>47</v>
      </c>
      <c r="E14" s="13" t="e">
        <f>48.1/E6</f>
        <v>#REF!</v>
      </c>
    </row>
    <row r="15" spans="1:5" x14ac:dyDescent="0.35">
      <c r="B15" s="8"/>
      <c r="E15" s="30"/>
    </row>
    <row r="16" spans="1:5" x14ac:dyDescent="0.35">
      <c r="B16" s="31" t="s">
        <v>48</v>
      </c>
      <c r="D16" s="32"/>
      <c r="E16" s="33" t="e">
        <f>E7+E14</f>
        <v>#REF!</v>
      </c>
    </row>
    <row r="17" spans="1:7" x14ac:dyDescent="0.35">
      <c r="B17" s="31"/>
      <c r="D17" s="32"/>
      <c r="E17" s="29"/>
    </row>
    <row r="18" spans="1:7" x14ac:dyDescent="0.35">
      <c r="A18" s="4" t="s">
        <v>0</v>
      </c>
      <c r="B18" s="22" t="s">
        <v>49</v>
      </c>
      <c r="C18" s="23"/>
      <c r="D18" s="23"/>
      <c r="E18" s="23"/>
    </row>
    <row r="19" spans="1:7" ht="5" customHeight="1" x14ac:dyDescent="0.35">
      <c r="B19" s="24"/>
      <c r="C19" s="25"/>
      <c r="D19" s="25"/>
      <c r="E19" s="25"/>
    </row>
    <row r="20" spans="1:7" x14ac:dyDescent="0.35">
      <c r="C20" s="15" t="s">
        <v>50</v>
      </c>
      <c r="D20" s="15" t="s">
        <v>51</v>
      </c>
      <c r="E20" s="15" t="s">
        <v>52</v>
      </c>
    </row>
    <row r="21" spans="1:7" x14ac:dyDescent="0.35">
      <c r="B21" s="34">
        <v>1</v>
      </c>
      <c r="C21" s="13">
        <v>7.4211999999999998</v>
      </c>
      <c r="D21" s="11">
        <v>17.43</v>
      </c>
      <c r="E21" s="35" t="e">
        <f>IF(D21&lt;$E$6,C21)</f>
        <v>#REF!</v>
      </c>
      <c r="G21" s="44"/>
    </row>
    <row r="22" spans="1:7" x14ac:dyDescent="0.35">
      <c r="B22" s="34">
        <f t="shared" ref="B22:B30" si="0">B21+1</f>
        <v>2</v>
      </c>
      <c r="C22" s="13"/>
      <c r="D22" s="13"/>
      <c r="E22" s="36" t="e">
        <f t="shared" ref="E22:E30" si="1">IF(D22&lt;$E$6,C22)</f>
        <v>#REF!</v>
      </c>
    </row>
    <row r="23" spans="1:7" x14ac:dyDescent="0.35">
      <c r="B23" s="34">
        <f t="shared" si="0"/>
        <v>3</v>
      </c>
      <c r="C23" s="13"/>
      <c r="D23" s="13"/>
      <c r="E23" s="36" t="e">
        <f t="shared" si="1"/>
        <v>#REF!</v>
      </c>
    </row>
    <row r="24" spans="1:7" x14ac:dyDescent="0.35">
      <c r="B24" s="34">
        <f t="shared" si="0"/>
        <v>4</v>
      </c>
      <c r="C24" s="13"/>
      <c r="D24" s="13"/>
      <c r="E24" s="36" t="e">
        <f t="shared" si="1"/>
        <v>#REF!</v>
      </c>
    </row>
    <row r="25" spans="1:7" x14ac:dyDescent="0.35">
      <c r="B25" s="34">
        <f t="shared" si="0"/>
        <v>5</v>
      </c>
      <c r="C25" s="13"/>
      <c r="D25" s="13"/>
      <c r="E25" s="36" t="e">
        <f t="shared" si="1"/>
        <v>#REF!</v>
      </c>
    </row>
    <row r="26" spans="1:7" x14ac:dyDescent="0.35">
      <c r="B26" s="34">
        <f t="shared" si="0"/>
        <v>6</v>
      </c>
      <c r="C26" s="13"/>
      <c r="D26" s="13"/>
      <c r="E26" s="36" t="e">
        <f t="shared" si="1"/>
        <v>#REF!</v>
      </c>
    </row>
    <row r="27" spans="1:7" x14ac:dyDescent="0.35">
      <c r="B27" s="34">
        <f t="shared" si="0"/>
        <v>7</v>
      </c>
      <c r="C27" s="13"/>
      <c r="D27" s="13"/>
      <c r="E27" s="36" t="e">
        <f t="shared" si="1"/>
        <v>#REF!</v>
      </c>
    </row>
    <row r="28" spans="1:7" x14ac:dyDescent="0.35">
      <c r="B28" s="34">
        <f t="shared" si="0"/>
        <v>8</v>
      </c>
      <c r="C28" s="13"/>
      <c r="D28" s="13"/>
      <c r="E28" s="36" t="e">
        <f t="shared" si="1"/>
        <v>#REF!</v>
      </c>
    </row>
    <row r="29" spans="1:7" x14ac:dyDescent="0.35">
      <c r="B29" s="34">
        <f t="shared" si="0"/>
        <v>9</v>
      </c>
      <c r="C29" s="13"/>
      <c r="D29" s="13"/>
      <c r="E29" s="36" t="e">
        <f t="shared" si="1"/>
        <v>#REF!</v>
      </c>
    </row>
    <row r="30" spans="1:7" x14ac:dyDescent="0.35">
      <c r="B30" s="34">
        <f t="shared" si="0"/>
        <v>10</v>
      </c>
      <c r="C30" s="13"/>
      <c r="D30" s="13"/>
      <c r="E30" s="36" t="e">
        <f t="shared" si="1"/>
        <v>#REF!</v>
      </c>
    </row>
    <row r="31" spans="1:7" ht="5" customHeight="1" x14ac:dyDescent="0.35">
      <c r="B31" s="37"/>
      <c r="C31" s="38"/>
      <c r="D31" s="38"/>
      <c r="E31" s="39"/>
    </row>
    <row r="32" spans="1:7" x14ac:dyDescent="0.35">
      <c r="A32" s="4" t="s">
        <v>0</v>
      </c>
      <c r="B32" s="40" t="s">
        <v>37</v>
      </c>
      <c r="C32" s="41"/>
      <c r="D32" s="41"/>
      <c r="E32" s="42" t="e">
        <f>SUM(E21:E30)</f>
        <v>#REF!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LBO</vt:lpstr>
      <vt:lpstr>Shares</vt:lpstr>
      <vt:lpstr>CASE</vt:lpstr>
      <vt:lpstr>CIRC</vt:lpstr>
      <vt:lpstr>PIK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Andrew Wolz</cp:lastModifiedBy>
  <dcterms:created xsi:type="dcterms:W3CDTF">2024-07-17T20:30:35Z</dcterms:created>
  <dcterms:modified xsi:type="dcterms:W3CDTF">2025-06-28T22:22:37Z</dcterms:modified>
</cp:coreProperties>
</file>