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my\Desktop\Excel_fun\Statistics\"/>
    </mc:Choice>
  </mc:AlternateContent>
  <xr:revisionPtr revIDLastSave="0" documentId="13_ncr:1_{6643797A-C46F-4690-84B9-42BA3D93DD06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One_Sample_t_test" sheetId="1" r:id="rId1"/>
    <sheet name="one_sample_proportion_test" sheetId="3" r:id="rId2"/>
    <sheet name="two_sample_proportion_t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G11" i="3" s="1"/>
  <c r="N6" i="3"/>
  <c r="C7" i="3"/>
  <c r="C12" i="3"/>
  <c r="G7" i="3" l="1"/>
  <c r="I18" i="4"/>
  <c r="C12" i="1"/>
  <c r="I14" i="4"/>
  <c r="I13" i="4"/>
  <c r="C23" i="4"/>
  <c r="C22" i="4"/>
  <c r="C21" i="4"/>
  <c r="C20" i="4"/>
  <c r="C19" i="4" s="1"/>
  <c r="N4" i="4"/>
  <c r="I4" i="4"/>
  <c r="E6" i="4"/>
  <c r="D6" i="4"/>
  <c r="C5" i="4"/>
  <c r="C4" i="4"/>
  <c r="C13" i="4"/>
  <c r="C14" i="4"/>
  <c r="C12" i="4"/>
  <c r="I9" i="4"/>
  <c r="I7" i="4"/>
  <c r="O6" i="4"/>
  <c r="N6" i="4"/>
  <c r="O5" i="4"/>
  <c r="N5" i="4"/>
  <c r="O4" i="4"/>
  <c r="I5" i="4"/>
  <c r="R5" i="4"/>
  <c r="P6" i="4"/>
  <c r="P5" i="4"/>
  <c r="R6" i="4"/>
  <c r="P4" i="4"/>
  <c r="I11" i="4"/>
  <c r="G13" i="3"/>
  <c r="C21" i="3"/>
  <c r="C20" i="3" s="1"/>
  <c r="C24" i="3"/>
  <c r="C23" i="3"/>
  <c r="C22" i="3"/>
  <c r="C6" i="3"/>
  <c r="C11" i="3" s="1"/>
  <c r="C17" i="3" s="1"/>
  <c r="O5" i="3" s="1"/>
  <c r="C13" i="3"/>
  <c r="C14" i="3" s="1"/>
  <c r="G9" i="3"/>
  <c r="M6" i="3"/>
  <c r="L6" i="3"/>
  <c r="M5" i="3"/>
  <c r="L5" i="3"/>
  <c r="M4" i="3"/>
  <c r="G5" i="3"/>
  <c r="L4" i="3"/>
  <c r="G4" i="3"/>
  <c r="M6" i="1"/>
  <c r="M5" i="1"/>
  <c r="G5" i="1"/>
  <c r="M4" i="1"/>
  <c r="L6" i="1"/>
  <c r="L5" i="1"/>
  <c r="G4" i="1" s="1"/>
  <c r="L4" i="1"/>
  <c r="G13" i="1"/>
  <c r="G9" i="1"/>
  <c r="G7" i="1"/>
  <c r="C13" i="1"/>
  <c r="N5" i="1" s="1"/>
  <c r="C14" i="1"/>
  <c r="C15" i="1" s="1"/>
  <c r="G15" i="3" l="1"/>
  <c r="C16" i="3"/>
  <c r="O4" i="3" s="1"/>
  <c r="O6" i="3"/>
  <c r="P6" i="3"/>
  <c r="N4" i="3"/>
  <c r="P4" i="3"/>
  <c r="P5" i="3"/>
  <c r="N4" i="1"/>
  <c r="G11" i="1" s="1"/>
  <c r="C6" i="4"/>
  <c r="C11" i="4" s="1"/>
  <c r="Q4" i="1"/>
  <c r="G15" i="1"/>
  <c r="C18" i="1"/>
  <c r="P6" i="1" s="1"/>
  <c r="N6" i="1"/>
  <c r="Q6" i="1"/>
  <c r="Q5" i="1"/>
  <c r="G16" i="3" l="1"/>
  <c r="G18" i="3"/>
  <c r="F19" i="3" s="1"/>
  <c r="R4" i="4"/>
  <c r="I15" i="4"/>
  <c r="C17" i="4"/>
  <c r="P5" i="1"/>
  <c r="C17" i="1"/>
  <c r="P4" i="1" s="1"/>
  <c r="G18" i="1" l="1"/>
  <c r="F19" i="1" s="1"/>
  <c r="G16" i="1"/>
  <c r="Q6" i="4"/>
  <c r="Q5" i="4"/>
  <c r="C16" i="4"/>
  <c r="Q4" i="4" s="1"/>
  <c r="H19" i="4" l="1"/>
  <c r="I16" i="4"/>
</calcChain>
</file>

<file path=xl/sharedStrings.xml><?xml version="1.0" encoding="utf-8"?>
<sst xmlns="http://schemas.openxmlformats.org/spreadsheetml/2006/main" count="164" uniqueCount="74">
  <si>
    <t>One sample test for the mean</t>
  </si>
  <si>
    <t>Sample Size (n)</t>
  </si>
  <si>
    <r>
      <t>Sample Mean (x</t>
    </r>
    <r>
      <rPr>
        <sz val="11"/>
        <color theme="1"/>
        <rFont val="Calibri"/>
        <family val="2"/>
      </rPr>
      <t>̅)</t>
    </r>
  </si>
  <si>
    <t>Sample Standard deviation (s)</t>
  </si>
  <si>
    <r>
      <t>Hypothesized Value (</t>
    </r>
    <r>
      <rPr>
        <sz val="11"/>
        <color theme="1"/>
        <rFont val="Calibri"/>
        <family val="2"/>
      </rPr>
      <t>μ)</t>
    </r>
  </si>
  <si>
    <r>
      <t>Level of Significance (</t>
    </r>
    <r>
      <rPr>
        <sz val="11"/>
        <color theme="1"/>
        <rFont val="Calibri"/>
        <family val="2"/>
      </rPr>
      <t>α)</t>
    </r>
  </si>
  <si>
    <t>t-test (test statistic)</t>
  </si>
  <si>
    <t>Two-tailed critical value</t>
  </si>
  <si>
    <t>Type of test</t>
  </si>
  <si>
    <t>2-sided</t>
  </si>
  <si>
    <t>1-sided Right</t>
  </si>
  <si>
    <t>1-sided Left</t>
  </si>
  <si>
    <t>One-tailed critical value (LEFT)</t>
  </si>
  <si>
    <t>One-tailed critical value (RIGHT)</t>
  </si>
  <si>
    <t>p-value</t>
  </si>
  <si>
    <t>p-value (2-sided)</t>
  </si>
  <si>
    <t>p-value (1-sided)</t>
  </si>
  <si>
    <t>Type of Test</t>
  </si>
  <si>
    <t>=</t>
  </si>
  <si>
    <t>≥</t>
  </si>
  <si>
    <t>≤</t>
  </si>
  <si>
    <t>Null</t>
  </si>
  <si>
    <t>Alternative</t>
  </si>
  <si>
    <t>≠</t>
  </si>
  <si>
    <t>&lt;</t>
  </si>
  <si>
    <t>&gt;</t>
  </si>
  <si>
    <t>μ</t>
  </si>
  <si>
    <t xml:space="preserve">Step 1: </t>
  </si>
  <si>
    <t xml:space="preserve">Step 2: </t>
  </si>
  <si>
    <t>Step 3:</t>
  </si>
  <si>
    <t>Step 4:</t>
  </si>
  <si>
    <t>Decision Rule</t>
  </si>
  <si>
    <t>Decision</t>
  </si>
  <si>
    <t xml:space="preserve">Step 5: </t>
  </si>
  <si>
    <t xml:space="preserve">Step 6: </t>
  </si>
  <si>
    <t>Step 7:</t>
  </si>
  <si>
    <t>Analyze Data:</t>
  </si>
  <si>
    <t xml:space="preserve">Gather Sample Data: </t>
  </si>
  <si>
    <t>Conclusion</t>
  </si>
  <si>
    <t>Type of Test:</t>
  </si>
  <si>
    <t>Level of significance:</t>
  </si>
  <si>
    <t>α</t>
  </si>
  <si>
    <t>Null Hypothesis, H0:</t>
  </si>
  <si>
    <t>Alternative Hypothesis, Ha:</t>
  </si>
  <si>
    <t>Make a business decision</t>
  </si>
  <si>
    <t>Step 8:</t>
  </si>
  <si>
    <t>Statistical Conclusion:</t>
  </si>
  <si>
    <t>Lookup Chart to populate</t>
  </si>
  <si>
    <t>Population standard deviation Unknown</t>
  </si>
  <si>
    <t>π</t>
  </si>
  <si>
    <t>Sample number (x)</t>
  </si>
  <si>
    <r>
      <t>Sample proportion (p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>)</t>
    </r>
  </si>
  <si>
    <r>
      <t>Hypothesized Value (</t>
    </r>
    <r>
      <rPr>
        <sz val="11"/>
        <color theme="1"/>
        <rFont val="Calibri"/>
        <family val="2"/>
      </rPr>
      <t>π)</t>
    </r>
  </si>
  <si>
    <t>z-test (test statistic)</t>
  </si>
  <si>
    <t>Is this Valid?</t>
  </si>
  <si>
    <t>8 step Hypothesis Test for Proportions</t>
  </si>
  <si>
    <t>8 step Hypothesis Test for the Mean</t>
  </si>
  <si>
    <r>
      <t>is n at least 5/</t>
    </r>
    <r>
      <rPr>
        <sz val="11"/>
        <color theme="1"/>
        <rFont val="Calibri"/>
        <family val="2"/>
      </rPr>
      <t>π?</t>
    </r>
  </si>
  <si>
    <t>is n(1-p) at least 5?</t>
  </si>
  <si>
    <t>Is np at least 5?</t>
  </si>
  <si>
    <r>
      <t>is n at least 5/(1-</t>
    </r>
    <r>
      <rPr>
        <sz val="11"/>
        <color theme="1"/>
        <rFont val="Calibri"/>
        <family val="2"/>
      </rPr>
      <t>π)?</t>
    </r>
  </si>
  <si>
    <t>One Sample Test for the Proportion</t>
  </si>
  <si>
    <t>Type of test (select one)</t>
  </si>
  <si>
    <t>Lookup Chart to Populate our test</t>
  </si>
  <si>
    <t>Two Sample Test for the Proportion</t>
  </si>
  <si>
    <t>Sample 1</t>
  </si>
  <si>
    <t>Sample 2</t>
  </si>
  <si>
    <t>Totals</t>
  </si>
  <si>
    <t>p1- p2</t>
  </si>
  <si>
    <t>Is n1p1 at least 5?</t>
  </si>
  <si>
    <t>is n1(1-p1) at least 5?</t>
  </si>
  <si>
    <t>Is n2p2 at least 5?</t>
  </si>
  <si>
    <t>is n2(1-p2) at least 5?</t>
  </si>
  <si>
    <t>Hypothesized Difference (p1-p2)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</si>
</sst>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5" xfId="0" applyFill="1" applyBorder="1"/>
    <xf numFmtId="0" fontId="2" fillId="4" borderId="1" xfId="0" applyFont="1" applyFill="1" applyBorder="1"/>
    <xf numFmtId="0" fontId="0" fillId="4" borderId="7" xfId="0" applyFill="1" applyBorder="1"/>
    <xf numFmtId="0" fontId="2" fillId="4" borderId="3" xfId="0" applyFont="1" applyFill="1" applyBorder="1"/>
    <xf numFmtId="0" fontId="0" fillId="4" borderId="0" xfId="0" applyFill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2" fillId="3" borderId="0" xfId="0" applyFont="1" applyFill="1"/>
    <xf numFmtId="0" fontId="0" fillId="3" borderId="1" xfId="0" applyFill="1" applyBorder="1"/>
    <xf numFmtId="0" fontId="0" fillId="4" borderId="0" xfId="0" quotePrefix="1" applyFill="1"/>
    <xf numFmtId="0" fontId="1" fillId="4" borderId="0" xfId="0" applyFont="1" applyFill="1"/>
    <xf numFmtId="0" fontId="1" fillId="3" borderId="1" xfId="0" applyFont="1" applyFill="1" applyBorder="1"/>
    <xf numFmtId="0" fontId="1" fillId="3" borderId="5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0" fillId="2" borderId="6" xfId="0" applyFill="1" applyBorder="1" applyAlignment="1">
      <alignment horizontal="right"/>
    </xf>
    <xf numFmtId="0" fontId="2" fillId="6" borderId="1" xfId="0" applyFont="1" applyFill="1" applyBorder="1"/>
    <xf numFmtId="0" fontId="0" fillId="6" borderId="3" xfId="0" applyFill="1" applyBorder="1"/>
    <xf numFmtId="0" fontId="0" fillId="6" borderId="5" xfId="0" applyFill="1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64" fontId="0" fillId="4" borderId="2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0" fontId="0" fillId="2" borderId="2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4" borderId="0" xfId="0" applyFill="1" applyProtection="1">
      <protection locked="0"/>
    </xf>
    <xf numFmtId="0" fontId="0" fillId="2" borderId="3" xfId="0" applyFill="1" applyBorder="1"/>
    <xf numFmtId="0" fontId="2" fillId="6" borderId="9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4" fillId="3" borderId="1" xfId="0" applyFont="1" applyFill="1" applyBorder="1"/>
    <xf numFmtId="3" fontId="0" fillId="2" borderId="4" xfId="0" applyNumberFormat="1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9</xdr:row>
      <xdr:rowOff>68580</xdr:rowOff>
    </xdr:from>
    <xdr:to>
      <xdr:col>12</xdr:col>
      <xdr:colOff>129540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601200" y="1752600"/>
          <a:ext cx="2468880" cy="8534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68580</xdr:rowOff>
    </xdr:from>
    <xdr:to>
      <xdr:col>12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66216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833437</xdr:colOff>
      <xdr:row>18</xdr:row>
      <xdr:rowOff>105808</xdr:rowOff>
    </xdr:from>
    <xdr:to>
      <xdr:col>14</xdr:col>
      <xdr:colOff>316133</xdr:colOff>
      <xdr:row>24</xdr:row>
      <xdr:rowOff>128588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3057" y="3450988"/>
          <a:ext cx="2896456" cy="1142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68580</xdr:rowOff>
    </xdr:from>
    <xdr:to>
      <xdr:col>14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0B662B-C8D2-463E-B696-4D718B63DE8D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10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357FA3-E276-46F0-A660-1D449FEA1FE1}"/>
            </a:ext>
          </a:extLst>
        </xdr:cNvPr>
        <xdr:cNvSpPr txBox="1"/>
      </xdr:nvSpPr>
      <xdr:spPr>
        <a:xfrm>
          <a:off x="838962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1040909</xdr:colOff>
      <xdr:row>22</xdr:row>
      <xdr:rowOff>62513</xdr:rowOff>
    </xdr:from>
    <xdr:to>
      <xdr:col>17</xdr:col>
      <xdr:colOff>734507</xdr:colOff>
      <xdr:row>29</xdr:row>
      <xdr:rowOff>57947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0589A3-9FFF-41FD-9D82-753013D81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4045" y="4149604"/>
          <a:ext cx="6858564" cy="127221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2"/>
  <sheetViews>
    <sheetView zoomScale="130" zoomScaleNormal="130" workbookViewId="0">
      <selection activeCell="C10" sqref="C10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53125" customWidth="1"/>
    <col min="5" max="5" width="8" customWidth="1"/>
    <col min="6" max="6" width="22.6640625" customWidth="1"/>
    <col min="7" max="7" width="47.6640625" customWidth="1"/>
    <col min="8" max="8" width="6.53125" customWidth="1"/>
    <col min="9" max="9" width="12.33203125" customWidth="1"/>
    <col min="10" max="10" width="4.796875" customWidth="1"/>
    <col min="11" max="11" width="7.19921875" customWidth="1"/>
    <col min="13" max="13" width="7.6640625" customWidth="1"/>
  </cols>
  <sheetData>
    <row r="1" spans="2:17" ht="14.65" thickBot="1" x14ac:dyDescent="0.5">
      <c r="F1" s="1"/>
    </row>
    <row r="2" spans="2:17" x14ac:dyDescent="0.45">
      <c r="B2" s="45" t="s">
        <v>0</v>
      </c>
      <c r="C2" s="44"/>
      <c r="E2" s="50" t="s">
        <v>56</v>
      </c>
      <c r="F2" s="51"/>
      <c r="G2" s="52"/>
      <c r="I2" s="20" t="s">
        <v>26</v>
      </c>
      <c r="J2" s="43" t="s">
        <v>63</v>
      </c>
      <c r="K2" s="43"/>
      <c r="L2" s="43"/>
      <c r="M2" s="43"/>
      <c r="N2" s="43"/>
      <c r="O2" s="43"/>
      <c r="P2" s="43"/>
      <c r="Q2" s="44"/>
    </row>
    <row r="3" spans="2:17" ht="14.65" thickBot="1" x14ac:dyDescent="0.5">
      <c r="B3" s="46" t="s">
        <v>48</v>
      </c>
      <c r="C3" s="47"/>
      <c r="E3" s="53"/>
      <c r="F3" s="54"/>
      <c r="G3" s="55"/>
      <c r="I3" s="7" t="s">
        <v>17</v>
      </c>
      <c r="J3" s="16" t="s">
        <v>21</v>
      </c>
      <c r="K3" s="16" t="s">
        <v>22</v>
      </c>
      <c r="L3" s="16"/>
      <c r="M3" s="16"/>
      <c r="N3" s="16" t="s">
        <v>32</v>
      </c>
      <c r="O3" s="16"/>
      <c r="P3" s="16" t="s">
        <v>14</v>
      </c>
      <c r="Q3" s="22" t="s">
        <v>38</v>
      </c>
    </row>
    <row r="4" spans="2:17" ht="14.65" thickBot="1" x14ac:dyDescent="0.5">
      <c r="E4" s="9" t="s">
        <v>27</v>
      </c>
      <c r="F4" s="10" t="s">
        <v>42</v>
      </c>
      <c r="G4" s="4" t="str">
        <f>CONCATENATE("H0: ",VLOOKUP($C$10,$I$4:$M$6,4,0))</f>
        <v>H0: μ = 50000</v>
      </c>
      <c r="I4" s="7" t="s">
        <v>9</v>
      </c>
      <c r="J4" s="18" t="s">
        <v>18</v>
      </c>
      <c r="K4" s="19" t="s">
        <v>23</v>
      </c>
      <c r="L4" s="12" t="str">
        <f>CONCATENATE($I$2, " ", J4, " ", $C$8)</f>
        <v>μ = 50000</v>
      </c>
      <c r="M4" s="12" t="str">
        <f>CONCATENATE($I$2, " ", K4, " ", $C$8)</f>
        <v>μ ≠ 50000</v>
      </c>
      <c r="N4" s="12" t="str">
        <f>"t-test &lt; -" &amp;TEXT($C$13, "0.00")&amp; " or t-test &gt; "&amp;TEXT($C$13, "0.00")</f>
        <v>t-test &lt; -2.41 or t-test &gt; 2.41</v>
      </c>
      <c r="O4" s="12"/>
      <c r="P4" s="12">
        <f>C17</f>
        <v>6.8062982119496948E-2</v>
      </c>
      <c r="Q4" s="5" t="str">
        <f>IF(OR(C12&lt;-C13, C12&gt;C14), "REJECT", "FAIL TO REJECT")</f>
        <v>FAIL TO REJECT</v>
      </c>
    </row>
    <row r="5" spans="2:17" x14ac:dyDescent="0.45">
      <c r="B5" s="17" t="s">
        <v>1</v>
      </c>
      <c r="C5" s="2">
        <v>49</v>
      </c>
      <c r="E5" s="11"/>
      <c r="F5" s="12" t="s">
        <v>43</v>
      </c>
      <c r="G5" s="5" t="str">
        <f>CONCATENATE("Ha: ",VLOOKUP($C$10,$I$4:$M$6,5,0))</f>
        <v>Ha: μ ≠ 50000</v>
      </c>
      <c r="I5" s="7" t="s">
        <v>11</v>
      </c>
      <c r="J5" s="19" t="s">
        <v>19</v>
      </c>
      <c r="K5" s="12" t="s">
        <v>24</v>
      </c>
      <c r="L5" s="12" t="str">
        <f>CONCATENATE($I$2, " ", J5, " ", $C$8)</f>
        <v>μ ≥ 50000</v>
      </c>
      <c r="M5" s="12" t="str">
        <f>CONCATENATE(,$I$2, " ", K5, " ", $C$8)</f>
        <v>μ &lt; 50000</v>
      </c>
      <c r="N5" s="12" t="str">
        <f>CONCATENATE("t-test &gt; ",TEXT($C$13, "0.00"))</f>
        <v>t-test &gt; 2.41</v>
      </c>
      <c r="O5" s="12"/>
      <c r="P5" s="12">
        <f>C18</f>
        <v>3.4031491059748474E-2</v>
      </c>
      <c r="Q5" s="5" t="str">
        <f t="shared" ref="Q5:Q6" si="0">IF(OR(C13&lt;-C14, C13&gt;C15), "REJECT", "FAIL TO REJECT")</f>
        <v>REJECT</v>
      </c>
    </row>
    <row r="6" spans="2:17" x14ac:dyDescent="0.45">
      <c r="B6" s="7" t="s">
        <v>2</v>
      </c>
      <c r="C6" s="42">
        <v>50800</v>
      </c>
      <c r="E6" s="11"/>
      <c r="F6" s="12"/>
      <c r="G6" s="5"/>
      <c r="I6" s="7" t="s">
        <v>10</v>
      </c>
      <c r="J6" s="19" t="s">
        <v>20</v>
      </c>
      <c r="K6" s="12" t="s">
        <v>25</v>
      </c>
      <c r="L6" s="12" t="str">
        <f>CONCATENATE($I$2, " ", J6, " ", $C$8)</f>
        <v>μ ≤ 50000</v>
      </c>
      <c r="M6" s="12" t="str">
        <f>CONCATENATE($I$2, " ", K6, " ", $C$8)</f>
        <v>μ &gt; 50000</v>
      </c>
      <c r="N6" s="12" t="str">
        <f>CONCATENATE("t-test &gt; ",TEXT($C$13, "0.00"))</f>
        <v>t-test &gt; 2.41</v>
      </c>
      <c r="O6" s="12"/>
      <c r="P6" s="12">
        <f>C18</f>
        <v>3.4031491059748474E-2</v>
      </c>
      <c r="Q6" s="5" t="str">
        <f t="shared" si="0"/>
        <v>REJECT</v>
      </c>
    </row>
    <row r="7" spans="2:17" ht="14.65" thickBot="1" x14ac:dyDescent="0.5">
      <c r="B7" s="7" t="s">
        <v>3</v>
      </c>
      <c r="C7" s="3">
        <v>3000</v>
      </c>
      <c r="E7" s="11" t="s">
        <v>28</v>
      </c>
      <c r="F7" s="12" t="s">
        <v>39</v>
      </c>
      <c r="G7" s="5" t="str">
        <f>CONCATENATE(C10, " t-test of the mean")</f>
        <v>2-sided t-test of the mean</v>
      </c>
      <c r="I7" s="21" t="s">
        <v>41</v>
      </c>
      <c r="J7" s="15"/>
      <c r="K7" s="15"/>
      <c r="L7" s="15"/>
      <c r="M7" s="15"/>
      <c r="N7" s="15"/>
      <c r="O7" s="15"/>
      <c r="P7" s="15"/>
      <c r="Q7" s="6"/>
    </row>
    <row r="8" spans="2:17" x14ac:dyDescent="0.45">
      <c r="B8" s="7" t="s">
        <v>4</v>
      </c>
      <c r="C8" s="42">
        <v>50000</v>
      </c>
      <c r="E8" s="11"/>
      <c r="F8" s="12"/>
      <c r="G8" s="5"/>
    </row>
    <row r="9" spans="2:17" x14ac:dyDescent="0.45">
      <c r="B9" s="7" t="s">
        <v>5</v>
      </c>
      <c r="C9" s="3">
        <v>0.02</v>
      </c>
      <c r="E9" s="11" t="s">
        <v>29</v>
      </c>
      <c r="F9" s="12" t="s">
        <v>40</v>
      </c>
      <c r="G9" s="5" t="str">
        <f>CONCATENATE("α = ",C9)</f>
        <v>α = 0.02</v>
      </c>
    </row>
    <row r="10" spans="2:17" ht="14.65" thickBot="1" x14ac:dyDescent="0.5">
      <c r="B10" s="8" t="s">
        <v>8</v>
      </c>
      <c r="C10" s="24" t="s">
        <v>9</v>
      </c>
      <c r="E10" s="11"/>
      <c r="F10" s="12"/>
      <c r="G10" s="5"/>
    </row>
    <row r="11" spans="2:17" ht="14.65" thickBot="1" x14ac:dyDescent="0.5">
      <c r="E11" s="11" t="s">
        <v>30</v>
      </c>
      <c r="F11" s="12" t="s">
        <v>31</v>
      </c>
      <c r="G11" s="5" t="str">
        <f>CONCATENATE("Reject H0 if p &lt; ",C9," or if ",VLOOKUP($C$10,I4:N6,6,0),"")</f>
        <v>Reject H0 if p &lt; 0.02 or if t-test &lt; -2.41 or t-test &gt; 2.41</v>
      </c>
    </row>
    <row r="12" spans="2:17" x14ac:dyDescent="0.45">
      <c r="B12" s="17" t="s">
        <v>6</v>
      </c>
      <c r="C12" s="4">
        <f>(C6-C8)/(C7/SQRT(C5))</f>
        <v>1.8666666666666667</v>
      </c>
      <c r="E12" s="11"/>
      <c r="F12" s="12"/>
      <c r="G12" s="5"/>
    </row>
    <row r="13" spans="2:17" x14ac:dyDescent="0.45">
      <c r="B13" s="7" t="s">
        <v>7</v>
      </c>
      <c r="C13" s="5">
        <f>_xlfn.T.INV.2T(C9,C5-1)</f>
        <v>2.406581273275608</v>
      </c>
      <c r="E13" s="11" t="s">
        <v>33</v>
      </c>
      <c r="F13" s="12" t="s">
        <v>37</v>
      </c>
      <c r="G13" s="5" t="str">
        <f>CONCATENATE("n = ",C5,", x̅ = ",TEXT(C6,"0.00"),", and s = ",TEXT(C7,"0.00"))</f>
        <v>n = 49, x̅ = 50800.00, and s = 3000.00</v>
      </c>
    </row>
    <row r="14" spans="2:17" x14ac:dyDescent="0.45">
      <c r="B14" s="7" t="s">
        <v>13</v>
      </c>
      <c r="C14" s="5">
        <f>_xlfn.T.INV(1-C9,C5-1)</f>
        <v>2.1110734139993976</v>
      </c>
      <c r="E14" s="11"/>
      <c r="F14" s="12"/>
      <c r="G14" s="5"/>
    </row>
    <row r="15" spans="2:17" x14ac:dyDescent="0.45">
      <c r="B15" s="7" t="s">
        <v>12</v>
      </c>
      <c r="C15" s="5">
        <f>-C14</f>
        <v>-2.1110734139993976</v>
      </c>
      <c r="E15" s="11" t="s">
        <v>34</v>
      </c>
      <c r="F15" s="12" t="s">
        <v>36</v>
      </c>
      <c r="G15" s="5" t="str">
        <f>CONCATENATE("The test statistic is ",TEXT($C$12,"0.00"))</f>
        <v>The test statistic is 1.87</v>
      </c>
    </row>
    <row r="16" spans="2:17" x14ac:dyDescent="0.45">
      <c r="B16" s="7"/>
      <c r="C16" s="5"/>
      <c r="E16" s="11"/>
      <c r="F16" s="12"/>
      <c r="G16" s="5" t="str">
        <f>CONCATENATE("The p-value is ",TEXT(VLOOKUP($C$10,$I$4:$P$6,8,0),"0.0000"))</f>
        <v>The p-value is 0.0681</v>
      </c>
    </row>
    <row r="17" spans="2:7" x14ac:dyDescent="0.45">
      <c r="B17" s="7" t="s">
        <v>15</v>
      </c>
      <c r="C17" s="5">
        <f>2*C18</f>
        <v>6.8062982119496948E-2</v>
      </c>
      <c r="E17" s="11"/>
      <c r="F17" s="12"/>
      <c r="G17" s="5"/>
    </row>
    <row r="18" spans="2:7" ht="14.65" thickBot="1" x14ac:dyDescent="0.5">
      <c r="B18" s="8" t="s">
        <v>16</v>
      </c>
      <c r="C18" s="6">
        <f>_xlfn.T.DIST.RT(ABS(C12),C5-1)</f>
        <v>3.4031491059748474E-2</v>
      </c>
      <c r="E18" s="11" t="s">
        <v>35</v>
      </c>
      <c r="F18" s="12" t="s">
        <v>46</v>
      </c>
      <c r="G18" s="23" t="str">
        <f>IF(VLOOKUP($C$10,$I$4:$P$6,8,0)&lt;C9, "REJECT", "FAIL TO REJECT")</f>
        <v>FAIL TO REJECT</v>
      </c>
    </row>
    <row r="19" spans="2:7" x14ac:dyDescent="0.45">
      <c r="E19" s="13"/>
      <c r="F19" s="48" t="str">
        <f>CONCATENATE("At the ",C9, " level of significance, there is ",IF(G18="REJECT"," ","not "), "enough evidence to show that ",VLOOKUP($C$10,$I$4:$M$6,5,0))</f>
        <v>At the 0.02 level of significance, there is not enough evidence to show that μ ≠ 50000</v>
      </c>
      <c r="G19" s="49"/>
    </row>
    <row r="20" spans="2:7" x14ac:dyDescent="0.45">
      <c r="E20" s="13"/>
      <c r="F20" s="48"/>
      <c r="G20" s="49"/>
    </row>
    <row r="21" spans="2:7" x14ac:dyDescent="0.45">
      <c r="E21" s="11" t="s">
        <v>45</v>
      </c>
      <c r="F21" s="12" t="s">
        <v>44</v>
      </c>
      <c r="G21" s="5"/>
    </row>
    <row r="22" spans="2:7" ht="14.65" thickBot="1" x14ac:dyDescent="0.5">
      <c r="E22" s="14"/>
      <c r="F22" s="15"/>
      <c r="G22" s="6"/>
    </row>
  </sheetData>
  <mergeCells count="5">
    <mergeCell ref="J2:Q2"/>
    <mergeCell ref="B2:C2"/>
    <mergeCell ref="B3:C3"/>
    <mergeCell ref="F19:G20"/>
    <mergeCell ref="E2:G3"/>
  </mergeCells>
  <dataValidations count="3">
    <dataValidation type="list" allowBlank="1" showInputMessage="1" showErrorMessage="1" promptTitle="Select from the menu" sqref="C10" xr:uid="{00000000-0002-0000-0000-000000000000}">
      <formula1>$I$4:$I$6</formula1>
    </dataValidation>
    <dataValidation type="whole" errorStyle="warning" operator="greaterThan" allowBlank="1" showInputMessage="1" showErrorMessage="1" errorTitle="Enter a whole number!" error="This is not a sample size!_x000a_" sqref="C5" xr:uid="{00000000-0002-0000-0000-000001000000}">
      <formula1>0</formula1>
    </dataValidation>
    <dataValidation type="decimal" allowBlank="1" showInputMessage="1" showErrorMessage="1" errorTitle="Not a probabiltiy!" error="This needs to be between 0 and 1" promptTitle="Alpha" prompt="Please enter a number between 0 and 1_x000a_" sqref="C9" xr:uid="{00000000-0002-0000-00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tabSelected="1" zoomScale="140" zoomScaleNormal="140" workbookViewId="0">
      <selection activeCell="N6" sqref="N6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1328125" customWidth="1"/>
    <col min="5" max="5" width="8" customWidth="1"/>
    <col min="6" max="6" width="22.6640625" customWidth="1"/>
    <col min="7" max="7" width="35.6640625" customWidth="1"/>
    <col min="8" max="8" width="5.1328125" customWidth="1"/>
    <col min="9" max="9" width="12.33203125" customWidth="1"/>
    <col min="10" max="10" width="4.796875" customWidth="1"/>
    <col min="11" max="11" width="7.19921875" customWidth="1"/>
    <col min="13" max="13" width="7.6640625" customWidth="1"/>
    <col min="16" max="16" width="10.53125" customWidth="1"/>
  </cols>
  <sheetData>
    <row r="1" spans="2:16" ht="14.65" thickBot="1" x14ac:dyDescent="0.5">
      <c r="B1" s="29"/>
      <c r="C1" s="29"/>
      <c r="F1" s="1"/>
    </row>
    <row r="2" spans="2:16" ht="14.65" thickBot="1" x14ac:dyDescent="0.5">
      <c r="B2" s="56" t="s">
        <v>61</v>
      </c>
      <c r="C2" s="57"/>
      <c r="E2" s="50" t="s">
        <v>55</v>
      </c>
      <c r="F2" s="51"/>
      <c r="G2" s="52"/>
      <c r="I2" s="20" t="s">
        <v>49</v>
      </c>
      <c r="J2" s="43" t="s">
        <v>47</v>
      </c>
      <c r="K2" s="43"/>
      <c r="L2" s="43"/>
      <c r="M2" s="43"/>
      <c r="N2" s="43"/>
      <c r="O2" s="43"/>
      <c r="P2" s="44"/>
    </row>
    <row r="3" spans="2:16" ht="14.65" thickBot="1" x14ac:dyDescent="0.5">
      <c r="E3" s="53"/>
      <c r="F3" s="54"/>
      <c r="G3" s="55"/>
      <c r="I3" s="7" t="s">
        <v>17</v>
      </c>
      <c r="J3" s="16" t="s">
        <v>21</v>
      </c>
      <c r="K3" s="16" t="s">
        <v>22</v>
      </c>
      <c r="L3" s="16"/>
      <c r="M3" s="16"/>
      <c r="N3" s="16" t="s">
        <v>32</v>
      </c>
      <c r="O3" s="16" t="s">
        <v>14</v>
      </c>
      <c r="P3" s="22" t="s">
        <v>38</v>
      </c>
    </row>
    <row r="4" spans="2:16" x14ac:dyDescent="0.45">
      <c r="B4" s="17" t="s">
        <v>1</v>
      </c>
      <c r="C4" s="33">
        <v>100</v>
      </c>
      <c r="E4" s="9" t="s">
        <v>27</v>
      </c>
      <c r="F4" s="10" t="s">
        <v>42</v>
      </c>
      <c r="G4" s="4" t="str">
        <f>CONCATENATE("H0: ",VLOOKUP($C$9,$I$4:$M$6,4,0))</f>
        <v>H0: π ≥ 0.166666666666667</v>
      </c>
      <c r="I4" s="7" t="s">
        <v>9</v>
      </c>
      <c r="J4" s="18" t="s">
        <v>18</v>
      </c>
      <c r="K4" s="19" t="s">
        <v>23</v>
      </c>
      <c r="L4" s="12" t="str">
        <f>CONCATENATE($I$2, " ", J4, " ", $C$7)</f>
        <v>π = 0.166666666666667</v>
      </c>
      <c r="M4" s="12" t="str">
        <f>CONCATENATE($I$2, " ", K4, " ", $C$7)</f>
        <v>π ≠ 0.166666666666667</v>
      </c>
      <c r="N4" s="12" t="str">
        <f>CONCATENATE("z-test &lt; -", TEXT($C$12, "0.00"), " or z-test &gt; ",TEXT($C$12, "0.00"))</f>
        <v>z-test &lt; -2.05 or z-test &gt; 2.05</v>
      </c>
      <c r="O4" s="12">
        <f>C16</f>
        <v>7.3638270120302662E-2</v>
      </c>
      <c r="P4" s="5" t="str">
        <f>IF(OR(C11&lt;-C12, C11&gt;C13), "REJECT", "FAIL TO REJECT")</f>
        <v>FAIL TO REJECT</v>
      </c>
    </row>
    <row r="5" spans="2:16" x14ac:dyDescent="0.45">
      <c r="B5" s="7" t="s">
        <v>50</v>
      </c>
      <c r="C5" s="34">
        <v>10</v>
      </c>
      <c r="E5" s="11"/>
      <c r="F5" s="12" t="s">
        <v>43</v>
      </c>
      <c r="G5" s="5" t="str">
        <f>CONCATENATE("Ha: ",VLOOKUP($C$9,$I$4:$M$6,5,0))</f>
        <v>Ha: π &lt; 0.166666666666667</v>
      </c>
      <c r="I5" s="7" t="s">
        <v>11</v>
      </c>
      <c r="J5" s="19" t="s">
        <v>19</v>
      </c>
      <c r="K5" s="12" t="s">
        <v>24</v>
      </c>
      <c r="L5" s="12" t="str">
        <f>CONCATENATE($I$2, " ", J5, " ", $C$7)</f>
        <v>π ≥ 0.166666666666667</v>
      </c>
      <c r="M5" s="12" t="str">
        <f>CONCATENATE(,$I$2, " ", K5, " ", $C$7)</f>
        <v>π &lt; 0.166666666666667</v>
      </c>
      <c r="N5" s="12" t="str">
        <f>CONCATENATE("z-test &lt; ", TEXT($C$14, "0.00"))</f>
        <v>z-test &lt; -1.75</v>
      </c>
      <c r="O5" s="12">
        <f>C17</f>
        <v>3.6819135060151331E-2</v>
      </c>
      <c r="P5" s="5" t="str">
        <f t="shared" ref="P5:P6" si="0">IF(OR(C12&lt;-C13, C12&gt;C14), "REJECT", "FAIL TO REJECT")</f>
        <v>REJECT</v>
      </c>
    </row>
    <row r="6" spans="2:16" x14ac:dyDescent="0.45">
      <c r="B6" s="7" t="s">
        <v>51</v>
      </c>
      <c r="C6" s="5">
        <f>C5/C4</f>
        <v>0.1</v>
      </c>
      <c r="E6" s="11"/>
      <c r="F6" s="12"/>
      <c r="G6" s="5"/>
      <c r="I6" s="7" t="s">
        <v>10</v>
      </c>
      <c r="J6" s="19" t="s">
        <v>20</v>
      </c>
      <c r="K6" s="12" t="s">
        <v>25</v>
      </c>
      <c r="L6" s="12" t="str">
        <f>CONCATENATE($I$2, " ", J6, " ", $C$7)</f>
        <v>π ≤ 0.166666666666667</v>
      </c>
      <c r="M6" s="12" t="str">
        <f>CONCATENATE($I$2, " ", K6, " ", $C$7)</f>
        <v>π &gt; 0.166666666666667</v>
      </c>
      <c r="N6" s="12" t="str">
        <f>CONCATENATE("z-test &gt; ",TEXT($C$13, "0.00"))</f>
        <v>z-test &gt; 1.75</v>
      </c>
      <c r="O6" s="12">
        <f>C17</f>
        <v>3.6819135060151331E-2</v>
      </c>
      <c r="P6" s="5" t="str">
        <f t="shared" si="0"/>
        <v>REJECT</v>
      </c>
    </row>
    <row r="7" spans="2:16" ht="14.65" thickBot="1" x14ac:dyDescent="0.5">
      <c r="B7" s="7" t="s">
        <v>52</v>
      </c>
      <c r="C7" s="34">
        <f>1/6</f>
        <v>0.16666666666666666</v>
      </c>
      <c r="E7" s="11" t="s">
        <v>28</v>
      </c>
      <c r="F7" s="12" t="s">
        <v>39</v>
      </c>
      <c r="G7" s="5" t="str">
        <f>CONCATENATE(C9, " Z-test of the proportion")</f>
        <v>1-sided Left Z-test of the proportion</v>
      </c>
      <c r="I7" s="21" t="s">
        <v>41</v>
      </c>
      <c r="J7" s="15"/>
      <c r="K7" s="15"/>
      <c r="L7" s="15"/>
      <c r="M7" s="15"/>
      <c r="N7" s="15"/>
      <c r="O7" s="15"/>
      <c r="P7" s="6"/>
    </row>
    <row r="8" spans="2:16" x14ac:dyDescent="0.45">
      <c r="B8" s="7" t="s">
        <v>5</v>
      </c>
      <c r="C8" s="34">
        <v>0.04</v>
      </c>
      <c r="E8" s="11"/>
      <c r="F8" s="12"/>
      <c r="G8" s="5"/>
    </row>
    <row r="9" spans="2:16" ht="14.65" thickBot="1" x14ac:dyDescent="0.5">
      <c r="B9" s="8" t="s">
        <v>62</v>
      </c>
      <c r="C9" s="35" t="s">
        <v>11</v>
      </c>
      <c r="E9" s="11" t="s">
        <v>29</v>
      </c>
      <c r="F9" s="12" t="s">
        <v>40</v>
      </c>
      <c r="G9" s="5" t="str">
        <f>CONCATENATE("α = ",C8)</f>
        <v>α = 0.04</v>
      </c>
    </row>
    <row r="10" spans="2:16" ht="14.65" thickBot="1" x14ac:dyDescent="0.5">
      <c r="E10" s="11"/>
      <c r="F10" s="12"/>
      <c r="G10" s="5"/>
    </row>
    <row r="11" spans="2:16" x14ac:dyDescent="0.45">
      <c r="B11" s="17" t="s">
        <v>53</v>
      </c>
      <c r="C11" s="30">
        <f>(C6-C7)/SQRT(C7*(1-C7)/C4)</f>
        <v>-1.7888543819998313</v>
      </c>
      <c r="E11" s="11" t="s">
        <v>30</v>
      </c>
      <c r="F11" s="12" t="s">
        <v>31</v>
      </c>
      <c r="G11" s="5" t="str">
        <f>CONCATENATE("Reject H0 if ",VLOOKUP($C$9,I4:N6,6,0))</f>
        <v>Reject H0 if z-test &lt; -1.75</v>
      </c>
    </row>
    <row r="12" spans="2:16" x14ac:dyDescent="0.45">
      <c r="B12" s="7" t="s">
        <v>7</v>
      </c>
      <c r="C12" s="31">
        <f>_xlfn.NORM.S.INV(1-C8/2)</f>
        <v>2.0537489106318221</v>
      </c>
      <c r="E12" s="11"/>
      <c r="F12" s="12"/>
      <c r="G12" s="5"/>
    </row>
    <row r="13" spans="2:16" x14ac:dyDescent="0.45">
      <c r="B13" s="7" t="s">
        <v>13</v>
      </c>
      <c r="C13" s="31">
        <f>_xlfn.NORM.S.INV(1-C8)</f>
        <v>1.7506860712521695</v>
      </c>
      <c r="E13" s="11" t="s">
        <v>33</v>
      </c>
      <c r="F13" s="12" t="s">
        <v>37</v>
      </c>
      <c r="G13" s="5" t="str">
        <f>CONCATENATE("We have ", C5, " successes in ",C4, " trials")</f>
        <v>We have 10 successes in 100 trials</v>
      </c>
    </row>
    <row r="14" spans="2:16" x14ac:dyDescent="0.45">
      <c r="B14" s="7" t="s">
        <v>12</v>
      </c>
      <c r="C14" s="31">
        <f>-C13</f>
        <v>-1.7506860712521695</v>
      </c>
      <c r="E14" s="11"/>
      <c r="F14" s="12"/>
      <c r="G14" s="5"/>
    </row>
    <row r="15" spans="2:16" x14ac:dyDescent="0.45">
      <c r="B15" s="7"/>
      <c r="C15" s="31"/>
      <c r="E15" s="11" t="s">
        <v>34</v>
      </c>
      <c r="F15" s="12" t="s">
        <v>36</v>
      </c>
      <c r="G15" s="5" t="str">
        <f>CONCATENATE("The test statistic is z-test = ",TEXT($C$11,"0.00"))</f>
        <v>The test statistic is z-test = -1.79</v>
      </c>
    </row>
    <row r="16" spans="2:16" x14ac:dyDescent="0.45">
      <c r="B16" s="7" t="s">
        <v>15</v>
      </c>
      <c r="C16" s="31">
        <f>2*C17</f>
        <v>7.3638270120302662E-2</v>
      </c>
      <c r="E16" s="11"/>
      <c r="F16" s="12"/>
      <c r="G16" s="5" t="str">
        <f>CONCATENATE("The p-value is ",TEXT(VLOOKUP($C$9,$I$4:$O$6,7,0),"0.0000"))</f>
        <v>The p-value is 0.0368</v>
      </c>
    </row>
    <row r="17" spans="2:7" ht="14.65" thickBot="1" x14ac:dyDescent="0.5">
      <c r="B17" s="8" t="s">
        <v>16</v>
      </c>
      <c r="C17" s="32">
        <f>1-_xlfn.NORM.S.DIST(ABS(C11),1)</f>
        <v>3.6819135060151331E-2</v>
      </c>
      <c r="E17" s="11"/>
      <c r="F17" s="12"/>
      <c r="G17" s="5"/>
    </row>
    <row r="18" spans="2:7" x14ac:dyDescent="0.45">
      <c r="E18" s="11" t="s">
        <v>35</v>
      </c>
      <c r="F18" s="12" t="s">
        <v>46</v>
      </c>
      <c r="G18" s="23" t="str">
        <f>IF(VLOOKUP($C$9,$I$4:$O$6,7,0)&lt;C8, "REJECT", "FAIL TO REJECT")</f>
        <v>REJECT</v>
      </c>
    </row>
    <row r="19" spans="2:7" ht="14.65" thickBot="1" x14ac:dyDescent="0.5">
      <c r="E19" s="13"/>
      <c r="F19" s="48" t="str">
        <f>CONCATENATE("At the ",C8, " level of significance, there is ",IF(G18="REJECT"," ","not "), "enough evidence to show that ",VLOOKUP($C$9,$I$4:$M$6,5,0))</f>
        <v>At the 0.04 level of significance, there is  enough evidence to show that π &lt; 0.166666666666667</v>
      </c>
      <c r="G19" s="49"/>
    </row>
    <row r="20" spans="2:7" x14ac:dyDescent="0.45">
      <c r="B20" s="25" t="s">
        <v>54</v>
      </c>
      <c r="C20" s="28" t="str">
        <f>IF(COUNTIF(C21:C24, FALSE)=0,"VALID","NOT VALID!!")</f>
        <v>VALID</v>
      </c>
      <c r="E20" s="13"/>
      <c r="F20" s="48"/>
      <c r="G20" s="49"/>
    </row>
    <row r="21" spans="2:7" x14ac:dyDescent="0.45">
      <c r="B21" s="26" t="s">
        <v>59</v>
      </c>
      <c r="C21" s="5" t="b">
        <f>IF(C5 &lt; 5, FALSE,TRUE)</f>
        <v>1</v>
      </c>
      <c r="E21" s="11" t="s">
        <v>45</v>
      </c>
      <c r="F21" s="12" t="s">
        <v>44</v>
      </c>
      <c r="G21" s="5"/>
    </row>
    <row r="22" spans="2:7" ht="14.65" thickBot="1" x14ac:dyDescent="0.5">
      <c r="B22" s="26" t="s">
        <v>58</v>
      </c>
      <c r="C22" s="5" t="b">
        <f>IF((C4-C5) &lt; 5, FALSE,TRUE)</f>
        <v>1</v>
      </c>
      <c r="E22" s="14"/>
      <c r="F22" s="15"/>
      <c r="G22" s="6"/>
    </row>
    <row r="23" spans="2:7" x14ac:dyDescent="0.45">
      <c r="B23" s="26" t="s">
        <v>57</v>
      </c>
      <c r="C23" s="5" t="b">
        <f>IF($C$4&lt;(5/$C$7),FALSE,TRUE)</f>
        <v>1</v>
      </c>
    </row>
    <row r="24" spans="2:7" ht="14.65" thickBot="1" x14ac:dyDescent="0.5">
      <c r="B24" s="27" t="s">
        <v>60</v>
      </c>
      <c r="C24" s="6" t="b">
        <f>IF($C$4&lt;(5/(1-$C$7)),FALSE,TRUE)</f>
        <v>1</v>
      </c>
    </row>
  </sheetData>
  <mergeCells count="4">
    <mergeCell ref="J2:P2"/>
    <mergeCell ref="F19:G20"/>
    <mergeCell ref="E2:G3"/>
    <mergeCell ref="B2:C2"/>
  </mergeCells>
  <dataValidations count="3">
    <dataValidation type="list" allowBlank="1" showInputMessage="1" showErrorMessage="1" sqref="C9" xr:uid="{00000000-0002-0000-0100-000000000000}">
      <formula1>$I$4:$I$6</formula1>
    </dataValidation>
    <dataValidation type="whole" allowBlank="1" showInputMessage="1" showErrorMessage="1" sqref="C5" xr:uid="{00000000-0002-0000-0100-000001000000}">
      <formula1>0</formula1>
      <formula2>C4</formula2>
    </dataValidation>
    <dataValidation type="decimal" allowBlank="1" showInputMessage="1" showErrorMessage="1" errorTitle="Error!" error="This needs to be between 0 and 1" promptTitle="Probability" prompt="This must be between 0 and 1" sqref="C7" xr:uid="{00000000-0002-0000-01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BDB2-1477-4985-B172-30A65AC0D866}">
  <dimension ref="B1:R23"/>
  <sheetViews>
    <sheetView zoomScale="110" zoomScaleNormal="110" workbookViewId="0">
      <selection activeCell="H25" sqref="H24:H25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9.1328125" customWidth="1"/>
    <col min="5" max="5" width="9.46484375" customWidth="1"/>
    <col min="6" max="6" width="4.86328125" customWidth="1"/>
    <col min="7" max="7" width="8" customWidth="1"/>
    <col min="8" max="8" width="22.6640625" customWidth="1"/>
    <col min="9" max="9" width="35.6640625" customWidth="1"/>
    <col min="10" max="10" width="5.1328125" customWidth="1"/>
    <col min="11" max="11" width="12.33203125" customWidth="1"/>
    <col min="12" max="12" width="4.796875" customWidth="1"/>
    <col min="13" max="13" width="7.19921875" customWidth="1"/>
    <col min="15" max="15" width="7.6640625" customWidth="1"/>
    <col min="18" max="18" width="10.53125" customWidth="1"/>
  </cols>
  <sheetData>
    <row r="1" spans="2:18" ht="14.65" thickBot="1" x14ac:dyDescent="0.5">
      <c r="B1" s="29"/>
      <c r="C1" s="29"/>
      <c r="H1" s="1"/>
    </row>
    <row r="2" spans="2:18" ht="14.65" thickBot="1" x14ac:dyDescent="0.5">
      <c r="B2" s="56" t="s">
        <v>64</v>
      </c>
      <c r="C2" s="57"/>
      <c r="G2" s="50" t="s">
        <v>55</v>
      </c>
      <c r="H2" s="51"/>
      <c r="I2" s="52"/>
      <c r="K2" s="41" t="s">
        <v>68</v>
      </c>
      <c r="L2" s="43" t="s">
        <v>47</v>
      </c>
      <c r="M2" s="43"/>
      <c r="N2" s="43"/>
      <c r="O2" s="43"/>
      <c r="P2" s="43"/>
      <c r="Q2" s="43"/>
      <c r="R2" s="44"/>
    </row>
    <row r="3" spans="2:18" ht="14.65" thickBot="1" x14ac:dyDescent="0.5">
      <c r="C3" s="40" t="s">
        <v>67</v>
      </c>
      <c r="D3" s="38" t="s">
        <v>65</v>
      </c>
      <c r="E3" s="39" t="s">
        <v>66</v>
      </c>
      <c r="G3" s="53"/>
      <c r="H3" s="54"/>
      <c r="I3" s="55"/>
      <c r="K3" s="7" t="s">
        <v>17</v>
      </c>
      <c r="L3" s="16" t="s">
        <v>21</v>
      </c>
      <c r="M3" s="16" t="s">
        <v>22</v>
      </c>
      <c r="N3" s="16"/>
      <c r="O3" s="16"/>
      <c r="P3" s="16" t="s">
        <v>32</v>
      </c>
      <c r="Q3" s="16" t="s">
        <v>14</v>
      </c>
      <c r="R3" s="22" t="s">
        <v>38</v>
      </c>
    </row>
    <row r="4" spans="2:18" x14ac:dyDescent="0.45">
      <c r="B4" s="17" t="s">
        <v>1</v>
      </c>
      <c r="C4" s="36">
        <f>SUM(D4:E4)</f>
        <v>198</v>
      </c>
      <c r="D4" s="37">
        <v>103</v>
      </c>
      <c r="E4" s="3">
        <v>95</v>
      </c>
      <c r="G4" s="9" t="s">
        <v>27</v>
      </c>
      <c r="H4" s="10" t="s">
        <v>42</v>
      </c>
      <c r="I4" s="4" t="str">
        <f>CONCATENATE("H0: ",VLOOKUP($C$9,$K$4:$O$6,4,0))</f>
        <v>H0: p1- p2 ≤ 0</v>
      </c>
      <c r="K4" s="7" t="s">
        <v>9</v>
      </c>
      <c r="L4" s="18" t="s">
        <v>18</v>
      </c>
      <c r="M4" s="19" t="s">
        <v>23</v>
      </c>
      <c r="N4" s="12" t="str">
        <f>CONCATENATE($K$2, " ", L4, " ", $C$7)</f>
        <v>p1- p2 = 0</v>
      </c>
      <c r="O4" s="12" t="str">
        <f>CONCATENATE($K$2, " ", M4, " ", $C$7)</f>
        <v>p1- p2 ≠ 0</v>
      </c>
      <c r="P4" s="12" t="str">
        <f>CONCATENATE("z-test &lt; -", TEXT($C$12, "0.00"), " or z-test &gt; ",TEXT($C$12, "0.00"))</f>
        <v>z-test &lt; -1.96 or z-test &gt; 1.96</v>
      </c>
      <c r="Q4" s="12">
        <f>C16</f>
        <v>3.9131660055249817E-2</v>
      </c>
      <c r="R4" s="5" t="str">
        <f>IF(OR(C11&lt;-C12, C11&gt;C13), "REJECT", "FAIL TO REJECT")</f>
        <v>REJECT</v>
      </c>
    </row>
    <row r="5" spans="2:18" x14ac:dyDescent="0.45">
      <c r="B5" s="7" t="s">
        <v>50</v>
      </c>
      <c r="C5" s="36">
        <f>D5+E5</f>
        <v>14</v>
      </c>
      <c r="D5" s="37">
        <v>11</v>
      </c>
      <c r="E5" s="3">
        <v>3</v>
      </c>
      <c r="G5" s="11"/>
      <c r="H5" s="12" t="s">
        <v>43</v>
      </c>
      <c r="I5" s="5" t="str">
        <f>CONCATENATE("Ha: ",VLOOKUP($C$9,$K$4:$O$6,5,0))</f>
        <v>Ha: p1- p2 &gt; 0</v>
      </c>
      <c r="K5" s="7" t="s">
        <v>11</v>
      </c>
      <c r="L5" s="19" t="s">
        <v>19</v>
      </c>
      <c r="M5" s="12" t="s">
        <v>24</v>
      </c>
      <c r="N5" s="12" t="str">
        <f>CONCATENATE($K$2, " ", L5, " ", $C$7)</f>
        <v>p1- p2 ≥ 0</v>
      </c>
      <c r="O5" s="12" t="str">
        <f>CONCATENATE(,$K$2, " ", M5, " ", $C$7)</f>
        <v>p1- p2 &lt; 0</v>
      </c>
      <c r="P5" s="12" t="str">
        <f>CONCATENATE("z-test &lt; -", TEXT($C$12, "0.00"))</f>
        <v>z-test &lt; -1.96</v>
      </c>
      <c r="Q5" s="12">
        <f>C17</f>
        <v>1.9565830027624909E-2</v>
      </c>
      <c r="R5" s="5" t="str">
        <f t="shared" ref="R5:R6" si="0">IF(OR(C12&lt;-C13, C12&gt;C14), "REJECT", "FAIL TO REJECT")</f>
        <v>REJECT</v>
      </c>
    </row>
    <row r="6" spans="2:18" ht="14.65" thickBot="1" x14ac:dyDescent="0.5">
      <c r="B6" s="7" t="s">
        <v>51</v>
      </c>
      <c r="C6" s="12">
        <f>C5/C4</f>
        <v>7.0707070707070704E-2</v>
      </c>
      <c r="D6" s="14">
        <f>D5/D4</f>
        <v>0.10679611650485436</v>
      </c>
      <c r="E6" s="6">
        <f>E5/E4</f>
        <v>3.1578947368421054E-2</v>
      </c>
      <c r="G6" s="11"/>
      <c r="H6" s="12"/>
      <c r="I6" s="5"/>
      <c r="K6" s="7" t="s">
        <v>10</v>
      </c>
      <c r="L6" s="19" t="s">
        <v>20</v>
      </c>
      <c r="M6" s="12" t="s">
        <v>25</v>
      </c>
      <c r="N6" s="12" t="str">
        <f>CONCATENATE($K$2, " ", L6, " ", $C$7)</f>
        <v>p1- p2 ≤ 0</v>
      </c>
      <c r="O6" s="12" t="str">
        <f>CONCATENATE($K$2, " ", M6, " ", $C$7)</f>
        <v>p1- p2 &gt; 0</v>
      </c>
      <c r="P6" s="12" t="str">
        <f>CONCATENATE("z-test &gt; ",TEXT($C$12, "0.00"))</f>
        <v>z-test &gt; 1.96</v>
      </c>
      <c r="Q6" s="12">
        <f>C17</f>
        <v>1.9565830027624909E-2</v>
      </c>
      <c r="R6" s="5" t="str">
        <f t="shared" si="0"/>
        <v>REJECT</v>
      </c>
    </row>
    <row r="7" spans="2:18" ht="14.65" thickBot="1" x14ac:dyDescent="0.5">
      <c r="B7" s="7" t="s">
        <v>73</v>
      </c>
      <c r="C7" s="34">
        <v>0</v>
      </c>
      <c r="G7" s="11" t="s">
        <v>28</v>
      </c>
      <c r="H7" s="12" t="s">
        <v>39</v>
      </c>
      <c r="I7" s="5" t="str">
        <f>CONCATENATE(C9, " t-test of the proportion")</f>
        <v>1-sided Right t-test of the proportion</v>
      </c>
      <c r="K7" s="21" t="s">
        <v>41</v>
      </c>
      <c r="L7" s="15"/>
      <c r="M7" s="15"/>
      <c r="N7" s="15"/>
      <c r="O7" s="15"/>
      <c r="P7" s="15"/>
      <c r="Q7" s="15"/>
      <c r="R7" s="6"/>
    </row>
    <row r="8" spans="2:18" x14ac:dyDescent="0.45">
      <c r="B8" s="7" t="s">
        <v>5</v>
      </c>
      <c r="C8" s="34">
        <v>0.05</v>
      </c>
      <c r="G8" s="11"/>
      <c r="H8" s="12"/>
      <c r="I8" s="5"/>
    </row>
    <row r="9" spans="2:18" ht="14.65" thickBot="1" x14ac:dyDescent="0.5">
      <c r="B9" s="8" t="s">
        <v>62</v>
      </c>
      <c r="C9" s="35" t="s">
        <v>10</v>
      </c>
      <c r="G9" s="11" t="s">
        <v>29</v>
      </c>
      <c r="H9" s="12" t="s">
        <v>40</v>
      </c>
      <c r="I9" s="5" t="str">
        <f>CONCATENATE("α = ",C8)</f>
        <v>α = 0.05</v>
      </c>
    </row>
    <row r="10" spans="2:18" ht="14.65" thickBot="1" x14ac:dyDescent="0.5">
      <c r="G10" s="11"/>
      <c r="H10" s="12"/>
      <c r="I10" s="5"/>
    </row>
    <row r="11" spans="2:18" x14ac:dyDescent="0.45">
      <c r="B11" s="17" t="s">
        <v>53</v>
      </c>
      <c r="C11" s="30">
        <f>(D6-E6-C7)/SQRT(C6*(1-C6)*(1/D4+1/E4))</f>
        <v>2.0627997263783993</v>
      </c>
      <c r="G11" s="11" t="s">
        <v>30</v>
      </c>
      <c r="H11" s="12" t="s">
        <v>31</v>
      </c>
      <c r="I11" s="5" t="str">
        <f>CONCATENATE("Reject H0 if ",VLOOKUP($C$9,K4:P6,6,0))</f>
        <v>Reject H0 if z-test &gt; 1.96</v>
      </c>
    </row>
    <row r="12" spans="2:18" x14ac:dyDescent="0.45">
      <c r="B12" s="7" t="s">
        <v>7</v>
      </c>
      <c r="C12" s="31">
        <f>_xlfn.NORM.S.INV(1-C8/2)</f>
        <v>1.9599639845400536</v>
      </c>
      <c r="G12" s="11"/>
      <c r="H12" s="12"/>
      <c r="I12" s="5"/>
    </row>
    <row r="13" spans="2:18" x14ac:dyDescent="0.45">
      <c r="B13" s="7" t="s">
        <v>13</v>
      </c>
      <c r="C13" s="31">
        <f>_xlfn.NORM.S.INV(1-C8)</f>
        <v>1.6448536269514715</v>
      </c>
      <c r="G13" s="11" t="s">
        <v>33</v>
      </c>
      <c r="H13" s="12" t="s">
        <v>37</v>
      </c>
      <c r="I13" s="5" t="str">
        <f>CONCATENATE("1: We have ", D5, " successes in ",D4, " trials")</f>
        <v>1: We have 11 successes in 103 trials</v>
      </c>
    </row>
    <row r="14" spans="2:18" x14ac:dyDescent="0.45">
      <c r="B14" s="7" t="s">
        <v>12</v>
      </c>
      <c r="C14" s="31">
        <f>-C13</f>
        <v>-1.6448536269514715</v>
      </c>
      <c r="G14" s="11"/>
      <c r="H14" s="12"/>
      <c r="I14" s="5" t="str">
        <f>CONCATENATE("2: We have ", E5, " successes in ",E4, " trials")</f>
        <v>2: We have 3 successes in 95 trials</v>
      </c>
    </row>
    <row r="15" spans="2:18" x14ac:dyDescent="0.45">
      <c r="B15" s="7"/>
      <c r="C15" s="31"/>
      <c r="G15" s="11" t="s">
        <v>34</v>
      </c>
      <c r="H15" s="12" t="s">
        <v>36</v>
      </c>
      <c r="I15" s="5" t="str">
        <f>CONCATENATE("The test statistic is z-test = ",TEXT($C$11,"0.00"))</f>
        <v>The test statistic is z-test = 2.06</v>
      </c>
    </row>
    <row r="16" spans="2:18" x14ac:dyDescent="0.45">
      <c r="B16" s="7" t="s">
        <v>15</v>
      </c>
      <c r="C16" s="31">
        <f>2*C17</f>
        <v>3.9131660055249817E-2</v>
      </c>
      <c r="G16" s="11"/>
      <c r="H16" s="12"/>
      <c r="I16" s="5" t="str">
        <f>CONCATENATE("The p-value is ",TEXT(VLOOKUP($C$9,$K$4:$Q$6,7,0),"0.0000"))</f>
        <v>The p-value is 0.0196</v>
      </c>
    </row>
    <row r="17" spans="2:9" ht="14.65" thickBot="1" x14ac:dyDescent="0.5">
      <c r="B17" s="8" t="s">
        <v>16</v>
      </c>
      <c r="C17" s="32">
        <f>1-_xlfn.NORM.S.DIST(ABS(C11),1)</f>
        <v>1.9565830027624909E-2</v>
      </c>
      <c r="G17" s="11"/>
      <c r="H17" s="12"/>
      <c r="I17" s="5"/>
    </row>
    <row r="18" spans="2:9" ht="14.65" thickBot="1" x14ac:dyDescent="0.5">
      <c r="G18" s="11" t="s">
        <v>35</v>
      </c>
      <c r="H18" s="12" t="s">
        <v>46</v>
      </c>
      <c r="I18" s="23" t="str">
        <f>IF(VLOOKUP($C$9,$K$4:$Q$6,7,0)&lt;C8, "REJECT", "FAIL TO REJECT")</f>
        <v>REJECT</v>
      </c>
    </row>
    <row r="19" spans="2:9" ht="14.45" customHeight="1" x14ac:dyDescent="0.45">
      <c r="B19" s="25" t="s">
        <v>54</v>
      </c>
      <c r="C19" s="28" t="str">
        <f>IF(COUNTIF(C20:C23, FALSE)=0,"VALID","NOT VALID!!")</f>
        <v>NOT VALID!!</v>
      </c>
      <c r="G19" s="13"/>
      <c r="H19" s="48" t="str">
        <f>CONCATENATE("At the ",C8, " level of significance, there is ",IF(I18="REJECT"," ","not "), "enough evidence to show that ",VLOOKUP($C$9,$K$4:$O$6,5,0))</f>
        <v>At the 0.05 level of significance, there is  enough evidence to show that p1- p2 &gt; 0</v>
      </c>
      <c r="I19" s="49"/>
    </row>
    <row r="20" spans="2:9" x14ac:dyDescent="0.45">
      <c r="B20" s="26" t="s">
        <v>69</v>
      </c>
      <c r="C20" s="5" t="b">
        <f>IF(D5 &lt; 5, FALSE,TRUE)</f>
        <v>1</v>
      </c>
      <c r="G20" s="13"/>
      <c r="H20" s="48"/>
      <c r="I20" s="49"/>
    </row>
    <row r="21" spans="2:9" x14ac:dyDescent="0.45">
      <c r="B21" s="26" t="s">
        <v>70</v>
      </c>
      <c r="C21" s="5" t="b">
        <f>IF((D4-D5) &lt; 5, FALSE,TRUE)</f>
        <v>1</v>
      </c>
      <c r="G21" s="11" t="s">
        <v>45</v>
      </c>
      <c r="H21" s="12" t="s">
        <v>44</v>
      </c>
      <c r="I21" s="5"/>
    </row>
    <row r="22" spans="2:9" ht="14.65" thickBot="1" x14ac:dyDescent="0.5">
      <c r="B22" s="26" t="s">
        <v>71</v>
      </c>
      <c r="C22" s="5" t="b">
        <f>IF(E5 &lt; 5, FALSE,TRUE)</f>
        <v>0</v>
      </c>
      <c r="G22" s="14"/>
      <c r="H22" s="15"/>
      <c r="I22" s="6"/>
    </row>
    <row r="23" spans="2:9" ht="14.65" thickBot="1" x14ac:dyDescent="0.5">
      <c r="B23" s="27" t="s">
        <v>72</v>
      </c>
      <c r="C23" s="6" t="b">
        <f>IF((E4-E5) &lt; 5, FALSE,TRUE)</f>
        <v>1</v>
      </c>
    </row>
  </sheetData>
  <mergeCells count="4">
    <mergeCell ref="B2:C2"/>
    <mergeCell ref="G2:I3"/>
    <mergeCell ref="L2:R2"/>
    <mergeCell ref="H19:I20"/>
  </mergeCells>
  <dataValidations count="3">
    <dataValidation type="decimal" allowBlank="1" showInputMessage="1" showErrorMessage="1" errorTitle="Error!" error="This needs to be between 0 and 1" promptTitle="Probability" prompt="This must be between 0 and 1" sqref="C7" xr:uid="{E7009662-68D7-42B1-B196-47E1B115F8D7}">
      <formula1>0</formula1>
      <formula2>1</formula2>
    </dataValidation>
    <dataValidation type="whole" allowBlank="1" showInputMessage="1" showErrorMessage="1" sqref="C5" xr:uid="{B7E86B2E-1C11-4B49-A0F4-71A84E397E5A}">
      <formula1>0</formula1>
      <formula2>C4</formula2>
    </dataValidation>
    <dataValidation type="list" allowBlank="1" showInputMessage="1" showErrorMessage="1" sqref="C9" xr:uid="{37AA8FF4-73D6-447E-8C94-1406C51E7973}">
      <formula1>$K$4:$K$6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One_Sample_t_test</vt:lpstr>
      <vt:lpstr>one_sample_proportion_test</vt:lpstr>
      <vt:lpstr>two_sample_proportion_test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Amy</cp:lastModifiedBy>
  <dcterms:created xsi:type="dcterms:W3CDTF">2019-10-01T03:36:59Z</dcterms:created>
  <dcterms:modified xsi:type="dcterms:W3CDTF">2023-03-07T19:02:01Z</dcterms:modified>
</cp:coreProperties>
</file>