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593025E4-B9A3-4883-AB28-E3F82A1D5BB2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One_Sample_t_test" sheetId="1" r:id="rId1"/>
    <sheet name="one_sample_proportion_test" sheetId="3" r:id="rId2"/>
    <sheet name="two_sample_proportion_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8" i="3"/>
  <c r="F19" i="3" s="1"/>
  <c r="I18" i="4"/>
  <c r="C12" i="1"/>
  <c r="I14" i="4"/>
  <c r="I13" i="4"/>
  <c r="C23" i="4"/>
  <c r="C22" i="4"/>
  <c r="C21" i="4"/>
  <c r="C20" i="4"/>
  <c r="C19" i="4" s="1"/>
  <c r="N4" i="4"/>
  <c r="I4" i="4"/>
  <c r="E6" i="4"/>
  <c r="D6" i="4"/>
  <c r="C5" i="4"/>
  <c r="C4" i="4"/>
  <c r="C13" i="4"/>
  <c r="C14" i="4"/>
  <c r="C12" i="4"/>
  <c r="I9" i="4"/>
  <c r="I7" i="4"/>
  <c r="O6" i="4"/>
  <c r="N6" i="4"/>
  <c r="O5" i="4"/>
  <c r="N5" i="4"/>
  <c r="O4" i="4"/>
  <c r="I5" i="4"/>
  <c r="R5" i="4"/>
  <c r="P6" i="4"/>
  <c r="P5" i="4"/>
  <c r="R6" i="4"/>
  <c r="P4" i="4"/>
  <c r="I11" i="4"/>
  <c r="G13" i="3"/>
  <c r="C21" i="3"/>
  <c r="C24" i="3"/>
  <c r="C23" i="3"/>
  <c r="C22" i="3"/>
  <c r="C20" i="3"/>
  <c r="C6" i="3"/>
  <c r="C11" i="3"/>
  <c r="G7" i="3"/>
  <c r="C13" i="3"/>
  <c r="C14" i="3"/>
  <c r="C12" i="3"/>
  <c r="N6" i="3"/>
  <c r="G9" i="3"/>
  <c r="M6" i="3"/>
  <c r="L6" i="3"/>
  <c r="M5" i="3"/>
  <c r="L5" i="3"/>
  <c r="M4" i="3"/>
  <c r="G5" i="3"/>
  <c r="L4" i="3"/>
  <c r="G4" i="3"/>
  <c r="M6" i="1"/>
  <c r="M5" i="1"/>
  <c r="G5" i="1"/>
  <c r="M4" i="1"/>
  <c r="L6" i="1"/>
  <c r="L5" i="1"/>
  <c r="L4" i="1"/>
  <c r="N4" i="3"/>
  <c r="G11" i="3"/>
  <c r="N5" i="3"/>
  <c r="C17" i="3"/>
  <c r="C16" i="3"/>
  <c r="O4" i="3"/>
  <c r="G15" i="3"/>
  <c r="P4" i="3"/>
  <c r="P6" i="3"/>
  <c r="P5" i="3"/>
  <c r="O6" i="3"/>
  <c r="O5" i="3"/>
  <c r="G16" i="3"/>
  <c r="G4" i="1"/>
  <c r="G13" i="1"/>
  <c r="G9" i="1"/>
  <c r="G7" i="1"/>
  <c r="C13" i="1"/>
  <c r="N5" i="1" s="1"/>
  <c r="G11" i="1" s="1"/>
  <c r="C14" i="1"/>
  <c r="C15" i="1" s="1"/>
  <c r="N4" i="1" l="1"/>
  <c r="C6" i="4"/>
  <c r="C11" i="4" s="1"/>
  <c r="Q4" i="1"/>
  <c r="G15" i="1"/>
  <c r="C18" i="1"/>
  <c r="P6" i="1" s="1"/>
  <c r="N6" i="1"/>
  <c r="Q6" i="1"/>
  <c r="Q5" i="1"/>
  <c r="R4" i="4" l="1"/>
  <c r="I15" i="4"/>
  <c r="C17" i="4"/>
  <c r="P5" i="1"/>
  <c r="G18" i="1" s="1"/>
  <c r="F19" i="1" s="1"/>
  <c r="C17" i="1"/>
  <c r="P4" i="1" s="1"/>
  <c r="Q6" i="4" l="1"/>
  <c r="Q5" i="4"/>
  <c r="C16" i="4"/>
  <c r="Q4" i="4" s="1"/>
  <c r="H19" i="4" l="1"/>
  <c r="I16" i="4"/>
</calcChain>
</file>

<file path=xl/sharedStrings.xml><?xml version="1.0" encoding="utf-8"?>
<sst xmlns="http://schemas.openxmlformats.org/spreadsheetml/2006/main" count="164" uniqueCount="74">
  <si>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</si>
  <si>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</si>
  <si>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</si>
  <si>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</si>
  <si>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</si>
  <si>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</si>
  <si>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</si>
  <si>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</si>
  <si>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</si>
  <si>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</si>
  <si>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</si>
  <si>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</si>
  <si>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</si>
  <si>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</si>
  <si>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</si>
  <si>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</si>
  <si>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</si>
  <si>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</si>
  <si>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</si>
  <si>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</si>
  <si>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</si>
  <si>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</si>
  <si>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</si>
  <si>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</si>
  <si>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</si>
  <si>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</si>
  <si>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</si>
  <si>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</si>
  <si>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</si>
  <si>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</si>
  <si>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</si>
  <si>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</si>
  <si>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</si>
  <si>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</si>
  <si>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</si>
  <si>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</si>
  <si>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</si>
  <si>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</si>
  <si>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</si>
  <si>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</si>
  <si>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</si>
  <si>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</si>
  <si>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</si>
  <si>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</si>
  <si>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</si>
  <si>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</si>
  <si>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</si>
  <si>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</si>
  <si>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</si>
  <si>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</si>
  <si>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</si>
  <si>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</si>
  <si>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</si>
  <si>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</si>
  <si>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</si>
  <si>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</si>
  <si>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</si>
  <si>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</si>
  <si>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</si>
  <si>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</si>
  <si>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</si>
  <si>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</si>
  <si>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</si>
  <si>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</si>
  <si>
    <t>Two Sample Test for the Proportion</t>
  </si>
  <si>
    <t>Sample 1</t>
  </si>
  <si>
    <t>Sample 2</t>
  </si>
  <si>
    <t>Totals</t>
  </si>
  <si>
    <t>p1- p2</t>
  </si>
  <si>
    <t>Is n1p1 at least 5?</t>
  </si>
  <si>
    <t>is n1(1-p1) at least 5?</t>
  </si>
  <si>
    <t>Is n2p2 at least 5?</t>
  </si>
  <si>
    <t>is n2(1-p2) at least 5?</t>
  </si>
  <si>
    <t>Hypothesized Difference (p1-p2)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</si>
</sst>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NumberFormat="1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 applyBorder="1"/>
    <xf numFmtId="0" fontId="0" fillId="3" borderId="1" xfId="0" applyFill="1" applyBorder="1"/>
    <xf numFmtId="0" fontId="0" fillId="4" borderId="0" xfId="0" quotePrefix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4" borderId="0" xfId="0" applyNumberFormat="1" applyFill="1" applyBorder="1" applyProtection="1">
      <protection locked="0"/>
    </xf>
    <xf numFmtId="0" fontId="0" fillId="2" borderId="3" xfId="0" applyFill="1" applyBorder="1"/>
    <xf numFmtId="0" fontId="0" fillId="4" borderId="0" xfId="0" applyFill="1" applyBorder="1" applyProtection="1">
      <protection locked="0"/>
    </xf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4" fillId="3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68580</xdr:rowOff>
    </xdr:from>
    <xdr:to>
      <xdr:col>14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B662B-C8D2-463E-B696-4D718B63DE8D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10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357FA3-E276-46F0-A660-1D449FEA1FE1}"/>
            </a:ext>
          </a:extLst>
        </xdr:cNvPr>
        <xdr:cNvSpPr txBox="1"/>
      </xdr:nvSpPr>
      <xdr:spPr>
        <a:xfrm>
          <a:off x="838962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1040909</xdr:colOff>
      <xdr:row>22</xdr:row>
      <xdr:rowOff>62513</xdr:rowOff>
    </xdr:from>
    <xdr:to>
      <xdr:col>17</xdr:col>
      <xdr:colOff>734507</xdr:colOff>
      <xdr:row>29</xdr:row>
      <xdr:rowOff>57947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589A3-9FFF-41FD-9D82-753013D8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045" y="4149604"/>
          <a:ext cx="6858564" cy="127221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2"/>
  <sheetViews>
    <sheetView workbookViewId="0">
      <selection activeCell="C25" sqref="C25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53125" customWidth="1"/>
    <col min="5" max="5" width="8" customWidth="1"/>
    <col min="6" max="6" width="22.6640625" customWidth="1"/>
    <col min="7" max="7" width="47.6640625" customWidth="1"/>
    <col min="8" max="8" width="6.53125" customWidth="1"/>
    <col min="9" max="9" width="12.33203125" customWidth="1"/>
    <col min="10" max="10" width="4.796875" customWidth="1"/>
    <col min="11" max="11" width="7.19921875" customWidth="1"/>
    <col min="13" max="13" width="7.6640625" customWidth="1"/>
  </cols>
  <sheetData>
    <row r="1" spans="2:17" ht="14.65" thickBot="1" x14ac:dyDescent="0.5">
      <c r="F1" s="1"/>
    </row>
    <row r="2" spans="2:17" x14ac:dyDescent="0.45">
      <c r="B2" s="49" t="s">
        <v>0</v>
      </c>
      <c r="C2" s="48"/>
      <c r="E2" s="54" t="s">
        <v>56</v>
      </c>
      <c r="F2" s="55"/>
      <c r="G2" s="56"/>
      <c r="I2" s="21" t="s">
        <v>26</v>
      </c>
      <c r="J2" s="47" t="s">
        <v>63</v>
      </c>
      <c r="K2" s="47"/>
      <c r="L2" s="47"/>
      <c r="M2" s="47"/>
      <c r="N2" s="47"/>
      <c r="O2" s="47"/>
      <c r="P2" s="47"/>
      <c r="Q2" s="48"/>
    </row>
    <row r="3" spans="2:17" ht="14.65" thickBot="1" x14ac:dyDescent="0.5">
      <c r="B3" s="50" t="s">
        <v>48</v>
      </c>
      <c r="C3" s="51"/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/>
      <c r="P3" s="17" t="s">
        <v>14</v>
      </c>
      <c r="Q3" s="23" t="s">
        <v>38</v>
      </c>
    </row>
    <row r="4" spans="2:17" ht="14.65" thickBot="1" x14ac:dyDescent="0.5">
      <c r="E4" s="10" t="s">
        <v>27</v>
      </c>
      <c r="F4" s="11" t="s">
        <v>42</v>
      </c>
      <c r="G4" s="5" t="str">
        <f>CONCATENATE("H0: ",VLOOKUP($C$10,$I$4:$M$6,4,0))</f>
        <v>H0: μ ≥ 17</v>
      </c>
      <c r="I4" s="8" t="s">
        <v>9</v>
      </c>
      <c r="J4" s="19" t="s">
        <v>18</v>
      </c>
      <c r="K4" s="20" t="s">
        <v>23</v>
      </c>
      <c r="L4" s="13" t="str">
        <f>CONCATENATE($I$2, " ", J4, " ", $C$8)</f>
        <v>μ = 17</v>
      </c>
      <c r="M4" s="13" t="str">
        <f>CONCATENATE($I$2, " ", K4, " ", $C$8)</f>
        <v>μ ≠ 17</v>
      </c>
      <c r="N4" s="13" t="str">
        <f>"t-test &lt; -" &amp;TEXT($C$13, "0.00")&amp; " or t-test &gt; "&amp;TEXT($C$13, "0.00")</f>
        <v>t-test &lt; -3.89 or t-test &gt; 3.89</v>
      </c>
      <c r="O4" s="13"/>
      <c r="P4" s="13">
        <f>C17</f>
        <v>0</v>
      </c>
      <c r="Q4" s="6" t="str">
        <f>IF(OR(C12&lt;-C13, C12&gt;C14), "REJECT", "FAIL TO REJECT")</f>
        <v>REJECT</v>
      </c>
    </row>
    <row r="5" spans="2:17" x14ac:dyDescent="0.45">
      <c r="B5" s="18" t="s">
        <v>1</v>
      </c>
      <c r="C5" s="2">
        <v>20000</v>
      </c>
      <c r="E5" s="12"/>
      <c r="F5" s="13" t="s">
        <v>43</v>
      </c>
      <c r="G5" s="6" t="str">
        <f>CONCATENATE("Ha: ",VLOOKUP($C$10,$I$4:$M$6,5,0))</f>
        <v>Ha: μ &lt; 17</v>
      </c>
      <c r="I5" s="8" t="s">
        <v>11</v>
      </c>
      <c r="J5" s="20" t="s">
        <v>19</v>
      </c>
      <c r="K5" s="13" t="s">
        <v>24</v>
      </c>
      <c r="L5" s="13" t="str">
        <f>CONCATENATE($I$2, " ", J5, " ", $C$8)</f>
        <v>μ ≥ 17</v>
      </c>
      <c r="M5" s="13" t="str">
        <f>CONCATENATE(,$I$2, " ", K5, " ", $C$8)</f>
        <v>μ &lt; 17</v>
      </c>
      <c r="N5" s="13" t="str">
        <f>CONCATENATE("t-test &gt; ",TEXT($C$13, "0.00"))</f>
        <v>t-test &gt; 3.89</v>
      </c>
      <c r="O5" s="13"/>
      <c r="P5" s="13">
        <f>C18</f>
        <v>0</v>
      </c>
      <c r="Q5" s="6" t="str">
        <f t="shared" ref="Q5:Q6" si="0">IF(OR(C13&lt;-C14, C13&gt;C15), "REJECT", "FAIL TO REJECT")</f>
        <v>REJECT</v>
      </c>
    </row>
    <row r="6" spans="2:17" x14ac:dyDescent="0.45">
      <c r="B6" s="8" t="s">
        <v>2</v>
      </c>
      <c r="C6" s="3">
        <v>13.5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$C$8)</f>
        <v>μ ≤ 17</v>
      </c>
      <c r="M6" s="13" t="str">
        <f>CONCATENATE($I$2, " ", K6, " ", $C$8)</f>
        <v>μ &gt; 17</v>
      </c>
      <c r="N6" s="13" t="str">
        <f>CONCATENATE("t-test &gt; ",TEXT($C$13, "0.00"))</f>
        <v>t-test &gt; 3.89</v>
      </c>
      <c r="O6" s="13"/>
      <c r="P6" s="13">
        <f>C18</f>
        <v>0</v>
      </c>
      <c r="Q6" s="6" t="str">
        <f t="shared" si="0"/>
        <v>REJECT</v>
      </c>
    </row>
    <row r="7" spans="2:17" ht="14.65" thickBot="1" x14ac:dyDescent="0.5">
      <c r="B7" s="8" t="s">
        <v>3</v>
      </c>
      <c r="C7" s="4">
        <v>0.95</v>
      </c>
      <c r="E7" s="12" t="s">
        <v>28</v>
      </c>
      <c r="F7" s="13" t="s">
        <v>39</v>
      </c>
      <c r="G7" s="6" t="str">
        <f>CONCATENATE(C10, " t-test of the mean")</f>
        <v>1-sided Left t-test of the mean</v>
      </c>
      <c r="I7" s="22" t="s">
        <v>41</v>
      </c>
      <c r="J7" s="16"/>
      <c r="K7" s="16"/>
      <c r="L7" s="16"/>
      <c r="M7" s="16"/>
      <c r="N7" s="16"/>
      <c r="O7" s="16"/>
      <c r="P7" s="16"/>
      <c r="Q7" s="7"/>
    </row>
    <row r="8" spans="2:17" x14ac:dyDescent="0.45">
      <c r="B8" s="8" t="s">
        <v>4</v>
      </c>
      <c r="C8" s="3">
        <v>17</v>
      </c>
      <c r="E8" s="12"/>
      <c r="F8" s="13"/>
      <c r="G8" s="6"/>
    </row>
    <row r="9" spans="2:17" x14ac:dyDescent="0.45">
      <c r="B9" s="8" t="s">
        <v>5</v>
      </c>
      <c r="C9" s="4">
        <v>1E-4</v>
      </c>
      <c r="E9" s="12" t="s">
        <v>29</v>
      </c>
      <c r="F9" s="13" t="s">
        <v>40</v>
      </c>
      <c r="G9" s="6" t="str">
        <f>CONCATENATE("α = ",C9)</f>
        <v>α = 0.0001</v>
      </c>
    </row>
    <row r="10" spans="2:17" ht="14.65" thickBot="1" x14ac:dyDescent="0.5">
      <c r="B10" s="9" t="s">
        <v>8</v>
      </c>
      <c r="C10" s="25" t="s">
        <v>11</v>
      </c>
      <c r="E10" s="12"/>
      <c r="F10" s="13"/>
      <c r="G10" s="6"/>
    </row>
    <row r="11" spans="2:17" ht="14.65" thickBot="1" x14ac:dyDescent="0.5">
      <c r="E11" s="12" t="s">
        <v>30</v>
      </c>
      <c r="F11" s="13" t="s">
        <v>31</v>
      </c>
      <c r="G11" s="6" t="str">
        <f>CONCATENATE("Reject H0 if p &lt; ",C9," or if ",VLOOKUP($C$10,I4:N6,6,0),"")</f>
        <v>Reject H0 if p &lt; 0.0001 or if t-test &gt; 3.89</v>
      </c>
    </row>
    <row r="12" spans="2:17" x14ac:dyDescent="0.45">
      <c r="B12" s="18" t="s">
        <v>6</v>
      </c>
      <c r="C12" s="5">
        <f>(C6-C8)/(C7/SQRT(C5))</f>
        <v>-521.02604929535084</v>
      </c>
      <c r="E12" s="12"/>
      <c r="F12" s="13"/>
      <c r="G12" s="6"/>
    </row>
    <row r="13" spans="2:17" x14ac:dyDescent="0.45">
      <c r="B13" s="8" t="s">
        <v>7</v>
      </c>
      <c r="C13" s="6">
        <f>_xlfn.T.INV.2T(C9,C5-1)</f>
        <v>3.8913768332777749</v>
      </c>
      <c r="E13" s="12" t="s">
        <v>33</v>
      </c>
      <c r="F13" s="13" t="s">
        <v>37</v>
      </c>
      <c r="G13" s="6" t="str">
        <f>CONCATENATE("n = ",C5,", x̅ = ",TEXT(C6,"0.00"),", and s = ",TEXT(C7,"0.00"))</f>
        <v>n = 20000, x̅ = 13.50, and s = 0.95</v>
      </c>
    </row>
    <row r="14" spans="2:17" x14ac:dyDescent="0.45">
      <c r="B14" s="8" t="s">
        <v>13</v>
      </c>
      <c r="C14" s="6">
        <f>_xlfn.T.INV(1-C9,C5-1)</f>
        <v>3.7197060973714824</v>
      </c>
      <c r="E14" s="12"/>
      <c r="F14" s="13"/>
      <c r="G14" s="6"/>
    </row>
    <row r="15" spans="2:17" x14ac:dyDescent="0.45">
      <c r="B15" s="8" t="s">
        <v>12</v>
      </c>
      <c r="C15" s="6">
        <f>-C14</f>
        <v>-3.7197060973714824</v>
      </c>
      <c r="E15" s="12" t="s">
        <v>34</v>
      </c>
      <c r="F15" s="13" t="s">
        <v>36</v>
      </c>
      <c r="G15" s="6" t="str">
        <f>CONCATENATE("The test statistic is ",TEXT($C$12,"0.00"))</f>
        <v>The test statistic is -521.03</v>
      </c>
    </row>
    <row r="16" spans="2:17" x14ac:dyDescent="0.45">
      <c r="B16" s="8"/>
      <c r="C16" s="6"/>
      <c r="E16" s="12"/>
      <c r="F16" s="13"/>
      <c r="G16" s="6" t="str">
        <f>CONCATENATE("The p-value is ",TEXT(VLOOKUP($C$10,$I$4:$P$6,8,0),"0.0000"))</f>
        <v>The p-value is 0.0000</v>
      </c>
    </row>
    <row r="17" spans="2:7" x14ac:dyDescent="0.45">
      <c r="B17" s="8" t="s">
        <v>15</v>
      </c>
      <c r="C17" s="6">
        <f>2*C18</f>
        <v>0</v>
      </c>
      <c r="E17" s="12"/>
      <c r="F17" s="13"/>
      <c r="G17" s="6"/>
    </row>
    <row r="18" spans="2:7" ht="14.65" thickBot="1" x14ac:dyDescent="0.5">
      <c r="B18" s="9" t="s">
        <v>16</v>
      </c>
      <c r="C18" s="7">
        <f>_xlfn.T.DIST.RT(ABS(C12),C5-1)</f>
        <v>0</v>
      </c>
      <c r="E18" s="12" t="s">
        <v>35</v>
      </c>
      <c r="F18" s="13" t="s">
        <v>46</v>
      </c>
      <c r="G18" s="24" t="str">
        <f>IF(VLOOKUP($C$10,$I$4:$P$6,8,0)&lt;C9, "REJECT", "FAIL TO REJECT")</f>
        <v>REJECT</v>
      </c>
    </row>
    <row r="19" spans="2:7" x14ac:dyDescent="0.45">
      <c r="E19" s="14"/>
      <c r="F19" s="52" t="str">
        <f>CONCATENATE("At the ",C9, " level of significance, there is ",IF(G18="REJECT"," ","not "), "enough evidence to show that ",VLOOKUP($C$10,$I$4:$M$6,5,0))</f>
        <v>At the 0.0001 level of significance, there is  enough evidence to show that μ &lt; 17</v>
      </c>
      <c r="G19" s="53"/>
    </row>
    <row r="20" spans="2:7" x14ac:dyDescent="0.45">
      <c r="E20" s="14"/>
      <c r="F20" s="52"/>
      <c r="G20" s="53"/>
    </row>
    <row r="21" spans="2:7" x14ac:dyDescent="0.45">
      <c r="E21" s="12" t="s">
        <v>45</v>
      </c>
      <c r="F21" s="13" t="s">
        <v>44</v>
      </c>
      <c r="G21" s="6"/>
    </row>
    <row r="22" spans="2:7" ht="14.65" thickBot="1" x14ac:dyDescent="0.5">
      <c r="E22" s="15"/>
      <c r="F22" s="16"/>
      <c r="G22" s="7"/>
    </row>
  </sheetData>
  <mergeCells count="5">
    <mergeCell ref="J2:Q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 xr:uid="{00000000-0002-0000-0000-000000000000}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 xr:uid="{00000000-0002-0000-0000-000001000000}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 xr:uid="{00000000-0002-0000-00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topLeftCell="B1" workbookViewId="0">
      <selection activeCell="G16" sqref="G16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1328125" customWidth="1"/>
    <col min="5" max="5" width="8" customWidth="1"/>
    <col min="6" max="6" width="22.6640625" customWidth="1"/>
    <col min="7" max="7" width="35.6640625" customWidth="1"/>
    <col min="8" max="8" width="5.1328125" customWidth="1"/>
    <col min="9" max="9" width="12.33203125" customWidth="1"/>
    <col min="10" max="10" width="4.796875" customWidth="1"/>
    <col min="11" max="11" width="7.19921875" customWidth="1"/>
    <col min="13" max="13" width="7.6640625" customWidth="1"/>
    <col min="16" max="16" width="10.53125" customWidth="1"/>
  </cols>
  <sheetData>
    <row r="1" spans="2:16" s="31" customFormat="1" ht="14.65" thickBot="1" x14ac:dyDescent="0.5">
      <c r="B1" s="30"/>
      <c r="C1" s="30"/>
      <c r="F1" s="32"/>
    </row>
    <row r="2" spans="2:16" ht="14.65" thickBot="1" x14ac:dyDescent="0.5">
      <c r="B2" s="60" t="s">
        <v>61</v>
      </c>
      <c r="C2" s="61"/>
      <c r="E2" s="54" t="s">
        <v>55</v>
      </c>
      <c r="F2" s="55"/>
      <c r="G2" s="56"/>
      <c r="I2" s="21" t="s">
        <v>49</v>
      </c>
      <c r="J2" s="47" t="s">
        <v>47</v>
      </c>
      <c r="K2" s="47"/>
      <c r="L2" s="47"/>
      <c r="M2" s="47"/>
      <c r="N2" s="47"/>
      <c r="O2" s="47"/>
      <c r="P2" s="48"/>
    </row>
    <row r="3" spans="2:16" ht="14.65" thickBot="1" x14ac:dyDescent="0.5"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x14ac:dyDescent="0.45">
      <c r="B4" s="18" t="s">
        <v>1</v>
      </c>
      <c r="C4" s="36">
        <v>300</v>
      </c>
      <c r="E4" s="10" t="s">
        <v>27</v>
      </c>
      <c r="F4" s="11" t="s">
        <v>42</v>
      </c>
      <c r="G4" s="5" t="str">
        <f>CONCATENATE("H0: ",VLOOKUP($C$9,$I$4:$M$6,4,0))</f>
        <v>H0: π = 0.52</v>
      </c>
      <c r="I4" s="8" t="s">
        <v>9</v>
      </c>
      <c r="J4" s="19" t="s">
        <v>18</v>
      </c>
      <c r="K4" s="20" t="s">
        <v>23</v>
      </c>
      <c r="L4" s="13" t="str">
        <f>CONCATENATE($I$2, " ", J4, " ", $C$7)</f>
        <v>π = 0.52</v>
      </c>
      <c r="M4" s="13" t="str">
        <f>CONCATENATE($I$2, " ", K4, " ", $C$7)</f>
        <v>π ≠ 0.52</v>
      </c>
      <c r="N4" s="13" t="str">
        <f>CONCATENATE("z-test &lt; -", TEXT($C$12, "0.00"), " or z-test &gt; ",TEXT($C$12, "0.00"))</f>
        <v>z-test &lt; -1.88 or z-test &gt; 1.88</v>
      </c>
      <c r="O4" s="13">
        <f>C16</f>
        <v>0.10568941562900291</v>
      </c>
      <c r="P4" s="6" t="str">
        <f>IF(OR(C11&lt;-C12, C11&gt;C13), "REJECT", "FAIL TO REJECT")</f>
        <v>REJECT</v>
      </c>
    </row>
    <row r="5" spans="2:16" x14ac:dyDescent="0.45">
      <c r="B5" s="8" t="s">
        <v>50</v>
      </c>
      <c r="C5" s="37">
        <v>170</v>
      </c>
      <c r="E5" s="12"/>
      <c r="F5" s="13" t="s">
        <v>43</v>
      </c>
      <c r="G5" s="6" t="str">
        <f>CONCATENATE("Ha: ",VLOOKUP($C$9,$I$4:$M$6,5,0))</f>
        <v>Ha: π ≠ 0.52</v>
      </c>
      <c r="I5" s="8" t="s">
        <v>11</v>
      </c>
      <c r="J5" s="20" t="s">
        <v>19</v>
      </c>
      <c r="K5" s="13" t="s">
        <v>24</v>
      </c>
      <c r="L5" s="13" t="str">
        <f>CONCATENATE($I$2, " ", J5, " ", $C$7)</f>
        <v>π ≥ 0.52</v>
      </c>
      <c r="M5" s="13" t="str">
        <f>CONCATENATE(,$I$2, " ", K5, " ", $C$7)</f>
        <v>π &lt; 0.52</v>
      </c>
      <c r="N5" s="13" t="str">
        <f>CONCATENATE("z-test &lt; -", TEXT($C$12, "0.00"))</f>
        <v>z-test &lt; -1.88</v>
      </c>
      <c r="O5" s="13">
        <f>C17</f>
        <v>5.2844707814501457E-2</v>
      </c>
      <c r="P5" s="6" t="str">
        <f t="shared" ref="P5:P6" si="0">IF(OR(C12&lt;-C13, C12&gt;C14), "REJECT", "FAIL TO REJECT")</f>
        <v>REJECT</v>
      </c>
    </row>
    <row r="6" spans="2:16" x14ac:dyDescent="0.45">
      <c r="B6" s="8" t="s">
        <v>51</v>
      </c>
      <c r="C6" s="6">
        <f>C5/C4</f>
        <v>0.56666666666666665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$C$7)</f>
        <v>π ≤ 0.52</v>
      </c>
      <c r="M6" s="13" t="str">
        <f>CONCATENATE($I$2, " ", K6, " ", $C$7)</f>
        <v>π &gt; 0.52</v>
      </c>
      <c r="N6" s="13" t="str">
        <f>CONCATENATE("z-test &gt; ",TEXT($C$12, "0.00"))</f>
        <v>z-test &gt; 1.88</v>
      </c>
      <c r="O6" s="13">
        <f>C17</f>
        <v>5.2844707814501457E-2</v>
      </c>
      <c r="P6" s="6" t="str">
        <f t="shared" si="0"/>
        <v>REJECT</v>
      </c>
    </row>
    <row r="7" spans="2:16" ht="14.65" thickBot="1" x14ac:dyDescent="0.5">
      <c r="B7" s="8" t="s">
        <v>52</v>
      </c>
      <c r="C7" s="37">
        <v>0.52</v>
      </c>
      <c r="E7" s="12" t="s">
        <v>28</v>
      </c>
      <c r="F7" s="13" t="s">
        <v>39</v>
      </c>
      <c r="G7" s="6" t="str">
        <f>CONCATENATE(C9, " t-test of the proportion")</f>
        <v>2-sided t-test of the proportion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45">
      <c r="B8" s="8" t="s">
        <v>5</v>
      </c>
      <c r="C8" s="38">
        <v>0.06</v>
      </c>
      <c r="E8" s="12"/>
      <c r="F8" s="13"/>
      <c r="G8" s="6"/>
    </row>
    <row r="9" spans="2:16" ht="14.65" thickBot="1" x14ac:dyDescent="0.5">
      <c r="B9" s="9" t="s">
        <v>62</v>
      </c>
      <c r="C9" s="39" t="s">
        <v>9</v>
      </c>
      <c r="E9" s="12" t="s">
        <v>29</v>
      </c>
      <c r="F9" s="13" t="s">
        <v>40</v>
      </c>
      <c r="G9" s="6" t="str">
        <f>CONCATENATE("α = ",C8)</f>
        <v>α = 0.06</v>
      </c>
    </row>
    <row r="10" spans="2:16" ht="14.65" thickBot="1" x14ac:dyDescent="0.5">
      <c r="E10" s="12"/>
      <c r="F10" s="13"/>
      <c r="G10" s="6"/>
    </row>
    <row r="11" spans="2:16" x14ac:dyDescent="0.45">
      <c r="B11" s="18" t="s">
        <v>53</v>
      </c>
      <c r="C11" s="33">
        <f>(C6-C7)/SQRT(C7*(1-C7)/C4)</f>
        <v>1.6178755723235838</v>
      </c>
      <c r="E11" s="12" t="s">
        <v>30</v>
      </c>
      <c r="F11" s="13" t="s">
        <v>31</v>
      </c>
      <c r="G11" s="6" t="str">
        <f>CONCATENATE("Reject H0 if ",VLOOKUP($C$9,I4:N6,6,0))</f>
        <v>Reject H0 if z-test &lt; -1.88 or z-test &gt; 1.88</v>
      </c>
    </row>
    <row r="12" spans="2:16" x14ac:dyDescent="0.45">
      <c r="B12" s="8" t="s">
        <v>7</v>
      </c>
      <c r="C12" s="34">
        <f>_xlfn.NORM.S.INV(1-C8/2)</f>
        <v>1.8807936081512504</v>
      </c>
      <c r="E12" s="12"/>
      <c r="F12" s="13"/>
      <c r="G12" s="6"/>
    </row>
    <row r="13" spans="2:16" x14ac:dyDescent="0.45">
      <c r="B13" s="8" t="s">
        <v>13</v>
      </c>
      <c r="C13" s="34">
        <f>_xlfn.NORM.S.INV(1-C8)</f>
        <v>1.5547735945968528</v>
      </c>
      <c r="E13" s="12" t="s">
        <v>33</v>
      </c>
      <c r="F13" s="13" t="s">
        <v>37</v>
      </c>
      <c r="G13" s="6" t="str">
        <f>CONCATENATE("We have ", C5, " successes in ",C4, " trials")</f>
        <v>We have 170 successes in 300 trials</v>
      </c>
    </row>
    <row r="14" spans="2:16" x14ac:dyDescent="0.45">
      <c r="B14" s="8" t="s">
        <v>12</v>
      </c>
      <c r="C14" s="34">
        <f>-C13</f>
        <v>-1.5547735945968528</v>
      </c>
      <c r="E14" s="12"/>
      <c r="F14" s="13"/>
      <c r="G14" s="6"/>
    </row>
    <row r="15" spans="2:16" x14ac:dyDescent="0.45">
      <c r="B15" s="8"/>
      <c r="C15" s="34"/>
      <c r="E15" s="12" t="s">
        <v>34</v>
      </c>
      <c r="F15" s="13" t="s">
        <v>36</v>
      </c>
      <c r="G15" s="6" t="str">
        <f>CONCATENATE("The test statistic is z-test = ",TEXT($C$11,"0.00"))</f>
        <v>The test statistic is z-test = 1.62</v>
      </c>
    </row>
    <row r="16" spans="2:16" x14ac:dyDescent="0.45">
      <c r="B16" s="8" t="s">
        <v>15</v>
      </c>
      <c r="C16" s="34">
        <f>2*C17</f>
        <v>0.10568941562900291</v>
      </c>
      <c r="E16" s="12"/>
      <c r="F16" s="13"/>
      <c r="G16" s="6" t="str">
        <f>CONCATENATE("The p-value is ",TEXT(VLOOKUP($C$9,$I$4:$O$6,7,0),"0.0000"))</f>
        <v>The p-value is 0.1057</v>
      </c>
    </row>
    <row r="17" spans="2:7" ht="14.65" thickBot="1" x14ac:dyDescent="0.5">
      <c r="B17" s="9" t="s">
        <v>16</v>
      </c>
      <c r="C17" s="35">
        <f>1-_xlfn.NORM.S.DIST(ABS(C11),1)</f>
        <v>5.2844707814501457E-2</v>
      </c>
      <c r="E17" s="12"/>
      <c r="F17" s="13"/>
      <c r="G17" s="6"/>
    </row>
    <row r="18" spans="2:7" x14ac:dyDescent="0.45">
      <c r="E18" s="12" t="s">
        <v>35</v>
      </c>
      <c r="F18" s="13" t="s">
        <v>46</v>
      </c>
      <c r="G18" s="24" t="str">
        <f>IF(VLOOKUP($C$9,$I$4:$O$6,7,0)&lt;C8, "REJECT", "FAIL TO REJECT")</f>
        <v>FAIL TO REJECT</v>
      </c>
    </row>
    <row r="19" spans="2:7" ht="14.65" thickBot="1" x14ac:dyDescent="0.5">
      <c r="E19" s="14"/>
      <c r="F19" s="52" t="str">
        <f>CONCATENATE("At the ",C8, " level of significance, there is ",IF(G18="REJECT"," ","not "), "enough evidence to show that ",VLOOKUP($C$9,$I$4:$M$6,5,0))</f>
        <v>At the 0.06 level of significance, there is not enough evidence to show that π ≠ 0.52</v>
      </c>
      <c r="G19" s="53"/>
    </row>
    <row r="20" spans="2:7" x14ac:dyDescent="0.45">
      <c r="B20" s="26" t="s">
        <v>54</v>
      </c>
      <c r="C20" s="29" t="str">
        <f>IF(COUNTIF(C21:C24, FALSE)=0,"VALID","NOT VALID!!")</f>
        <v>VALID</v>
      </c>
      <c r="E20" s="14"/>
      <c r="F20" s="52"/>
      <c r="G20" s="53"/>
    </row>
    <row r="21" spans="2:7" x14ac:dyDescent="0.45">
      <c r="B21" s="27" t="s">
        <v>59</v>
      </c>
      <c r="C21" s="6" t="b">
        <f>IF(C5 &lt; 5, FALSE,TRUE)</f>
        <v>1</v>
      </c>
      <c r="E21" s="12" t="s">
        <v>45</v>
      </c>
      <c r="F21" s="13" t="s">
        <v>44</v>
      </c>
      <c r="G21" s="6"/>
    </row>
    <row r="22" spans="2:7" ht="14.65" thickBot="1" x14ac:dyDescent="0.5">
      <c r="B22" s="27" t="s">
        <v>58</v>
      </c>
      <c r="C22" s="6" t="b">
        <f>IF((C4-C5) &lt; 5, FALSE,TRUE)</f>
        <v>1</v>
      </c>
      <c r="E22" s="15"/>
      <c r="F22" s="16"/>
      <c r="G22" s="7"/>
    </row>
    <row r="23" spans="2:7" x14ac:dyDescent="0.45">
      <c r="B23" s="27" t="s">
        <v>57</v>
      </c>
      <c r="C23" s="6" t="b">
        <f>IF($C$4&lt;(5/$C$7),FALSE,TRUE)</f>
        <v>1</v>
      </c>
    </row>
    <row r="24" spans="2:7" ht="14.65" thickBot="1" x14ac:dyDescent="0.5">
      <c r="B24" s="28" t="s">
        <v>60</v>
      </c>
      <c r="C24" s="7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 xr:uid="{00000000-0002-0000-0100-000000000000}">
      <formula1>$I$4:$I$6</formula1>
    </dataValidation>
    <dataValidation type="whole" allowBlank="1" showInputMessage="1" showErrorMessage="1" sqref="C5" xr:uid="{00000000-0002-0000-0100-000001000000}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DB2-1477-4985-B172-30A65AC0D866}">
  <dimension ref="B1:R23"/>
  <sheetViews>
    <sheetView tabSelected="1" zoomScale="110" zoomScaleNormal="110" workbookViewId="0">
      <selection activeCell="E24" sqref="A1:XFD1048576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9.1328125" customWidth="1"/>
    <col min="5" max="5" width="9.46484375" customWidth="1"/>
    <col min="6" max="6" width="4.86328125" customWidth="1"/>
    <col min="7" max="7" width="8" customWidth="1"/>
    <col min="8" max="8" width="22.6640625" customWidth="1"/>
    <col min="9" max="9" width="35.6640625" customWidth="1"/>
    <col min="10" max="10" width="5.1328125" customWidth="1"/>
    <col min="11" max="11" width="12.33203125" customWidth="1"/>
    <col min="12" max="12" width="4.796875" customWidth="1"/>
    <col min="13" max="13" width="7.19921875" customWidth="1"/>
    <col min="15" max="15" width="7.6640625" customWidth="1"/>
    <col min="18" max="18" width="10.53125" customWidth="1"/>
  </cols>
  <sheetData>
    <row r="1" spans="2:18" s="31" customFormat="1" ht="14.65" thickBot="1" x14ac:dyDescent="0.5">
      <c r="B1" s="30"/>
      <c r="C1" s="30"/>
      <c r="H1" s="32"/>
    </row>
    <row r="2" spans="2:18" ht="14.65" thickBot="1" x14ac:dyDescent="0.5">
      <c r="B2" s="60" t="s">
        <v>64</v>
      </c>
      <c r="C2" s="61"/>
      <c r="G2" s="54" t="s">
        <v>55</v>
      </c>
      <c r="H2" s="55"/>
      <c r="I2" s="56"/>
      <c r="K2" s="46" t="s">
        <v>68</v>
      </c>
      <c r="L2" s="47" t="s">
        <v>47</v>
      </c>
      <c r="M2" s="47"/>
      <c r="N2" s="47"/>
      <c r="O2" s="47"/>
      <c r="P2" s="47"/>
      <c r="Q2" s="47"/>
      <c r="R2" s="48"/>
    </row>
    <row r="3" spans="2:18" ht="14.65" thickBot="1" x14ac:dyDescent="0.5">
      <c r="C3" s="45" t="s">
        <v>67</v>
      </c>
      <c r="D3" s="43" t="s">
        <v>65</v>
      </c>
      <c r="E3" s="44" t="s">
        <v>66</v>
      </c>
      <c r="G3" s="57"/>
      <c r="H3" s="58"/>
      <c r="I3" s="59"/>
      <c r="K3" s="8" t="s">
        <v>17</v>
      </c>
      <c r="L3" s="17" t="s">
        <v>21</v>
      </c>
      <c r="M3" s="17" t="s">
        <v>22</v>
      </c>
      <c r="N3" s="17"/>
      <c r="O3" s="17"/>
      <c r="P3" s="17" t="s">
        <v>32</v>
      </c>
      <c r="Q3" s="17" t="s">
        <v>14</v>
      </c>
      <c r="R3" s="23" t="s">
        <v>38</v>
      </c>
    </row>
    <row r="4" spans="2:18" x14ac:dyDescent="0.45">
      <c r="B4" s="18" t="s">
        <v>1</v>
      </c>
      <c r="C4" s="42">
        <f>SUM(D4:E4)</f>
        <v>198</v>
      </c>
      <c r="D4" s="41">
        <v>103</v>
      </c>
      <c r="E4" s="4">
        <v>95</v>
      </c>
      <c r="G4" s="10" t="s">
        <v>27</v>
      </c>
      <c r="H4" s="11" t="s">
        <v>42</v>
      </c>
      <c r="I4" s="5" t="str">
        <f>CONCATENATE("H0: ",VLOOKUP($C$9,$K$4:$O$6,4,0))</f>
        <v>H0: p1- p2 ≤ 0</v>
      </c>
      <c r="K4" s="8" t="s">
        <v>9</v>
      </c>
      <c r="L4" s="19" t="s">
        <v>18</v>
      </c>
      <c r="M4" s="20" t="s">
        <v>23</v>
      </c>
      <c r="N4" s="13" t="str">
        <f>CONCATENATE($K$2, " ", L4, " ", $C$7)</f>
        <v>p1- p2 = 0</v>
      </c>
      <c r="O4" s="13" t="str">
        <f>CONCATENATE($K$2, " ", M4, " ", $C$7)</f>
        <v>p1- p2 ≠ 0</v>
      </c>
      <c r="P4" s="13" t="str">
        <f>CONCATENATE("z-test &lt; -", TEXT($C$12, "0.00"), " or z-test &gt; ",TEXT($C$12, "0.00"))</f>
        <v>z-test &lt; -1.96 or z-test &gt; 1.96</v>
      </c>
      <c r="Q4" s="13">
        <f>C16</f>
        <v>3.9131660055249817E-2</v>
      </c>
      <c r="R4" s="6" t="str">
        <f>IF(OR(C11&lt;-C12, C11&gt;C13), "REJECT", "FAIL TO REJECT")</f>
        <v>REJECT</v>
      </c>
    </row>
    <row r="5" spans="2:18" x14ac:dyDescent="0.45">
      <c r="B5" s="8" t="s">
        <v>50</v>
      </c>
      <c r="C5" s="40">
        <f>D5+E5</f>
        <v>14</v>
      </c>
      <c r="D5" s="41">
        <v>11</v>
      </c>
      <c r="E5" s="4">
        <v>3</v>
      </c>
      <c r="G5" s="12"/>
      <c r="H5" s="13" t="s">
        <v>43</v>
      </c>
      <c r="I5" s="6" t="str">
        <f>CONCATENATE("Ha: ",VLOOKUP($C$9,$K$4:$O$6,5,0))</f>
        <v>Ha: p1- p2 &gt; 0</v>
      </c>
      <c r="K5" s="8" t="s">
        <v>11</v>
      </c>
      <c r="L5" s="20" t="s">
        <v>19</v>
      </c>
      <c r="M5" s="13" t="s">
        <v>24</v>
      </c>
      <c r="N5" s="13" t="str">
        <f>CONCATENATE($K$2, " ", L5, " ", $C$7)</f>
        <v>p1- p2 ≥ 0</v>
      </c>
      <c r="O5" s="13" t="str">
        <f>CONCATENATE(,$K$2, " ", M5, " ", $C$7)</f>
        <v>p1- p2 &lt; 0</v>
      </c>
      <c r="P5" s="13" t="str">
        <f>CONCATENATE("z-test &lt; -", TEXT($C$12, "0.00"))</f>
        <v>z-test &lt; -1.96</v>
      </c>
      <c r="Q5" s="13">
        <f>C17</f>
        <v>1.9565830027624909E-2</v>
      </c>
      <c r="R5" s="6" t="str">
        <f t="shared" ref="R5:R6" si="0">IF(OR(C12&lt;-C13, C12&gt;C14), "REJECT", "FAIL TO REJECT")</f>
        <v>REJECT</v>
      </c>
    </row>
    <row r="6" spans="2:18" ht="14.65" thickBot="1" x14ac:dyDescent="0.5">
      <c r="B6" s="8" t="s">
        <v>51</v>
      </c>
      <c r="C6" s="13">
        <f>C5/C4</f>
        <v>7.0707070707070704E-2</v>
      </c>
      <c r="D6" s="15">
        <f>D5/D4</f>
        <v>0.10679611650485436</v>
      </c>
      <c r="E6" s="7">
        <f>E5/E4</f>
        <v>3.1578947368421054E-2</v>
      </c>
      <c r="G6" s="12"/>
      <c r="H6" s="13"/>
      <c r="I6" s="6"/>
      <c r="K6" s="8" t="s">
        <v>10</v>
      </c>
      <c r="L6" s="20" t="s">
        <v>20</v>
      </c>
      <c r="M6" s="13" t="s">
        <v>25</v>
      </c>
      <c r="N6" s="13" t="str">
        <f>CONCATENATE($K$2, " ", L6, " ", $C$7)</f>
        <v>p1- p2 ≤ 0</v>
      </c>
      <c r="O6" s="13" t="str">
        <f>CONCATENATE($K$2, " ", M6, " ", $C$7)</f>
        <v>p1- p2 &gt; 0</v>
      </c>
      <c r="P6" s="13" t="str">
        <f>CONCATENATE("z-test &gt; ",TEXT($C$12, "0.00"))</f>
        <v>z-test &gt; 1.96</v>
      </c>
      <c r="Q6" s="13">
        <f>C17</f>
        <v>1.9565830027624909E-2</v>
      </c>
      <c r="R6" s="6" t="str">
        <f t="shared" si="0"/>
        <v>REJECT</v>
      </c>
    </row>
    <row r="7" spans="2:18" ht="14.65" thickBot="1" x14ac:dyDescent="0.5">
      <c r="B7" s="8" t="s">
        <v>73</v>
      </c>
      <c r="C7" s="37">
        <v>0</v>
      </c>
      <c r="G7" s="12" t="s">
        <v>28</v>
      </c>
      <c r="H7" s="13" t="s">
        <v>39</v>
      </c>
      <c r="I7" s="6" t="str">
        <f>CONCATENATE(C9, " t-test of the proportion")</f>
        <v>1-sided Right t-test of the proportion</v>
      </c>
      <c r="K7" s="22" t="s">
        <v>41</v>
      </c>
      <c r="L7" s="16"/>
      <c r="M7" s="16"/>
      <c r="N7" s="16"/>
      <c r="O7" s="16"/>
      <c r="P7" s="16"/>
      <c r="Q7" s="16"/>
      <c r="R7" s="7"/>
    </row>
    <row r="8" spans="2:18" x14ac:dyDescent="0.45">
      <c r="B8" s="8" t="s">
        <v>5</v>
      </c>
      <c r="C8" s="38">
        <v>0.05</v>
      </c>
      <c r="G8" s="12"/>
      <c r="H8" s="13"/>
      <c r="I8" s="6"/>
    </row>
    <row r="9" spans="2:18" ht="14.65" thickBot="1" x14ac:dyDescent="0.5">
      <c r="B9" s="9" t="s">
        <v>62</v>
      </c>
      <c r="C9" s="39" t="s">
        <v>10</v>
      </c>
      <c r="G9" s="12" t="s">
        <v>29</v>
      </c>
      <c r="H9" s="13" t="s">
        <v>40</v>
      </c>
      <c r="I9" s="6" t="str">
        <f>CONCATENATE("α = ",C8)</f>
        <v>α = 0.05</v>
      </c>
    </row>
    <row r="10" spans="2:18" ht="14.65" thickBot="1" x14ac:dyDescent="0.5">
      <c r="G10" s="12"/>
      <c r="H10" s="13"/>
      <c r="I10" s="6"/>
    </row>
    <row r="11" spans="2:18" x14ac:dyDescent="0.45">
      <c r="B11" s="18" t="s">
        <v>53</v>
      </c>
      <c r="C11" s="33">
        <f>(D6-E6-C7)/SQRT(C6*(1-C6)*(1/D4+1/E4))</f>
        <v>2.0627997263783993</v>
      </c>
      <c r="G11" s="12" t="s">
        <v>30</v>
      </c>
      <c r="H11" s="13" t="s">
        <v>31</v>
      </c>
      <c r="I11" s="6" t="str">
        <f>CONCATENATE("Reject H0 if ",VLOOKUP($C$9,K4:P6,6,0))</f>
        <v>Reject H0 if z-test &gt; 1.96</v>
      </c>
    </row>
    <row r="12" spans="2:18" x14ac:dyDescent="0.45">
      <c r="B12" s="8" t="s">
        <v>7</v>
      </c>
      <c r="C12" s="34">
        <f>_xlfn.NORM.S.INV(1-C8/2)</f>
        <v>1.9599639845400536</v>
      </c>
      <c r="G12" s="12"/>
      <c r="H12" s="13"/>
      <c r="I12" s="6"/>
    </row>
    <row r="13" spans="2:18" x14ac:dyDescent="0.45">
      <c r="B13" s="8" t="s">
        <v>13</v>
      </c>
      <c r="C13" s="34">
        <f>_xlfn.NORM.S.INV(1-C8)</f>
        <v>1.6448536269514715</v>
      </c>
      <c r="G13" s="12" t="s">
        <v>33</v>
      </c>
      <c r="H13" s="13" t="s">
        <v>37</v>
      </c>
      <c r="I13" s="6" t="str">
        <f>CONCATENATE("1: We have ", D5, " successes in ",D4, " trials")</f>
        <v>1: We have 11 successes in 103 trials</v>
      </c>
    </row>
    <row r="14" spans="2:18" x14ac:dyDescent="0.45">
      <c r="B14" s="8" t="s">
        <v>12</v>
      </c>
      <c r="C14" s="34">
        <f>-C13</f>
        <v>-1.6448536269514715</v>
      </c>
      <c r="G14" s="12"/>
      <c r="H14" s="13"/>
      <c r="I14" s="6" t="str">
        <f>CONCATENATE("2: We have ", E5, " successes in ",E4, " trials")</f>
        <v>2: We have 3 successes in 95 trials</v>
      </c>
    </row>
    <row r="15" spans="2:18" x14ac:dyDescent="0.45">
      <c r="B15" s="8"/>
      <c r="C15" s="34"/>
      <c r="G15" s="12" t="s">
        <v>34</v>
      </c>
      <c r="H15" s="13" t="s">
        <v>36</v>
      </c>
      <c r="I15" s="6" t="str">
        <f>CONCATENATE("The test statistic is z-test = ",TEXT($C$11,"0.00"))</f>
        <v>The test statistic is z-test = 2.06</v>
      </c>
    </row>
    <row r="16" spans="2:18" x14ac:dyDescent="0.45">
      <c r="B16" s="8" t="s">
        <v>15</v>
      </c>
      <c r="C16" s="34">
        <f>2*C17</f>
        <v>3.9131660055249817E-2</v>
      </c>
      <c r="G16" s="12"/>
      <c r="H16" s="13"/>
      <c r="I16" s="6" t="str">
        <f>CONCATENATE("The p-value is ",TEXT(VLOOKUP($C$9,$K$4:$Q$6,7,0),"0.0000"))</f>
        <v>The p-value is 0.0196</v>
      </c>
    </row>
    <row r="17" spans="2:9" ht="14.65" thickBot="1" x14ac:dyDescent="0.5">
      <c r="B17" s="9" t="s">
        <v>16</v>
      </c>
      <c r="C17" s="35">
        <f>1-_xlfn.NORM.S.DIST(ABS(C11),1)</f>
        <v>1.9565830027624909E-2</v>
      </c>
      <c r="G17" s="12"/>
      <c r="H17" s="13"/>
      <c r="I17" s="6"/>
    </row>
    <row r="18" spans="2:9" ht="14.65" thickBot="1" x14ac:dyDescent="0.5">
      <c r="G18" s="12" t="s">
        <v>35</v>
      </c>
      <c r="H18" s="13" t="s">
        <v>46</v>
      </c>
      <c r="I18" s="24" t="str">
        <f>IF(VLOOKUP($C$9,$K$4:$Q$6,7,0)&lt;C8, "REJECT", "FAIL TO REJECT")</f>
        <v>REJECT</v>
      </c>
    </row>
    <row r="19" spans="2:9" ht="14.45" customHeight="1" x14ac:dyDescent="0.45">
      <c r="B19" s="26" t="s">
        <v>54</v>
      </c>
      <c r="C19" s="29" t="str">
        <f>IF(COUNTIF(C20:C23, FALSE)=0,"VALID","NOT VALID!!")</f>
        <v>NOT VALID!!</v>
      </c>
      <c r="G19" s="14"/>
      <c r="H19" s="52" t="str">
        <f>CONCATENATE("At the ",C8, " level of significance, there is ",IF(I18="REJECT"," ","not "), "enough evidence to show that ",VLOOKUP($C$9,$K$4:$O$6,5,0))</f>
        <v>At the 0.05 level of significance, there is  enough evidence to show that p1- p2 &gt; 0</v>
      </c>
      <c r="I19" s="53"/>
    </row>
    <row r="20" spans="2:9" x14ac:dyDescent="0.45">
      <c r="B20" s="27" t="s">
        <v>69</v>
      </c>
      <c r="C20" s="6" t="b">
        <f>IF(D5 &lt; 5, FALSE,TRUE)</f>
        <v>1</v>
      </c>
      <c r="G20" s="14"/>
      <c r="H20" s="52"/>
      <c r="I20" s="53"/>
    </row>
    <row r="21" spans="2:9" x14ac:dyDescent="0.45">
      <c r="B21" s="27" t="s">
        <v>70</v>
      </c>
      <c r="C21" s="6" t="b">
        <f>IF((D4-D5) &lt; 5, FALSE,TRUE)</f>
        <v>1</v>
      </c>
      <c r="G21" s="12" t="s">
        <v>45</v>
      </c>
      <c r="H21" s="13" t="s">
        <v>44</v>
      </c>
      <c r="I21" s="6"/>
    </row>
    <row r="22" spans="2:9" ht="14.65" thickBot="1" x14ac:dyDescent="0.5">
      <c r="B22" s="27" t="s">
        <v>71</v>
      </c>
      <c r="C22" s="6" t="b">
        <f>IF(E5 &lt; 5, FALSE,TRUE)</f>
        <v>0</v>
      </c>
      <c r="G22" s="15"/>
      <c r="H22" s="16"/>
      <c r="I22" s="7"/>
    </row>
    <row r="23" spans="2:9" ht="14.65" thickBot="1" x14ac:dyDescent="0.5">
      <c r="B23" s="28" t="s">
        <v>72</v>
      </c>
      <c r="C23" s="7" t="b">
        <f>IF((E4-E5) &lt; 5, FALSE,TRUE)</f>
        <v>1</v>
      </c>
    </row>
  </sheetData>
  <mergeCells count="4">
    <mergeCell ref="B2:C2"/>
    <mergeCell ref="G2:I3"/>
    <mergeCell ref="L2:R2"/>
    <mergeCell ref="H19:I20"/>
  </mergeCells>
  <dataValidations count="3">
    <dataValidation type="decimal" allowBlank="1" showInputMessage="1" showErrorMessage="1" errorTitle="Error!" error="This needs to be between 0 and 1" promptTitle="Probability" prompt="This must be between 0 and 1" sqref="C7" xr:uid="{E7009662-68D7-42B1-B196-47E1B115F8D7}">
      <formula1>0</formula1>
      <formula2>1</formula2>
    </dataValidation>
    <dataValidation type="whole" allowBlank="1" showInputMessage="1" showErrorMessage="1" sqref="C5" xr:uid="{B7E86B2E-1C11-4B49-A0F4-71A84E397E5A}">
      <formula1>0</formula1>
      <formula2>C4</formula2>
    </dataValidation>
    <dataValidation type="list" allowBlank="1" showInputMessage="1" showErrorMessage="1" sqref="C9" xr:uid="{37AA8FF4-73D6-447E-8C94-1406C51E7973}">
      <formula1>$K$4:$K$6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One_Sample_t_test</vt:lpstr>
      <vt:lpstr>one_sample_proportion_test</vt:lpstr>
      <vt:lpstr>two_sample_proportion_test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</cp:lastModifiedBy>
  <dcterms:created xsi:type="dcterms:W3CDTF">2019-10-01T03:36:59Z</dcterms:created>
  <dcterms:modified xsi:type="dcterms:W3CDTF">2022-10-07T02:07:46Z</dcterms:modified>
</cp:coreProperties>
</file>