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ggler\Desktop\project214\"/>
    </mc:Choice>
  </mc:AlternateContent>
  <bookViews>
    <workbookView xWindow="1410" yWindow="75" windowWidth="19155" windowHeight="77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62" i="1" l="1"/>
  <c r="B61" i="1"/>
  <c r="B60" i="1"/>
  <c r="B59" i="1"/>
  <c r="B58" i="1"/>
  <c r="C32" i="1"/>
  <c r="D32" i="1"/>
  <c r="E32" i="1"/>
  <c r="F32" i="1"/>
  <c r="C33" i="1"/>
  <c r="D33" i="1"/>
  <c r="E33" i="1"/>
  <c r="F33" i="1"/>
  <c r="C28" i="1"/>
  <c r="D28" i="1"/>
  <c r="E28" i="1"/>
  <c r="F28" i="1"/>
  <c r="C29" i="1"/>
  <c r="D29" i="1"/>
  <c r="E29" i="1"/>
  <c r="F29" i="1"/>
  <c r="G23" i="1"/>
  <c r="F23" i="1"/>
  <c r="G21" i="1"/>
  <c r="B55" i="1"/>
  <c r="B56" i="1"/>
  <c r="B57" i="1"/>
  <c r="B54" i="1"/>
  <c r="B28" i="1"/>
  <c r="B33" i="1"/>
  <c r="B32" i="1"/>
  <c r="C23" i="1"/>
  <c r="B23" i="1"/>
  <c r="B22" i="1"/>
  <c r="B64" i="1" l="1"/>
  <c r="B67" i="1"/>
  <c r="B66" i="1"/>
  <c r="B29" i="1"/>
  <c r="B65" i="1"/>
  <c r="B63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<sst xmlns="http://schemas.openxmlformats.org/spreadsheetml/2006/main" count="86" uniqueCount="85">
  <si>
    <t>node</t>
  </si>
  <si>
    <t>in</t>
  </si>
  <si>
    <t>x</t>
  </si>
  <si>
    <t>y</t>
  </si>
  <si>
    <t>z</t>
  </si>
  <si>
    <t>out</t>
  </si>
  <si>
    <t>%</t>
  </si>
  <si>
    <t>stage</t>
  </si>
  <si>
    <t>CG</t>
  </si>
  <si>
    <t>cascode</t>
  </si>
  <si>
    <t>CS</t>
  </si>
  <si>
    <t>CD</t>
  </si>
  <si>
    <t>gain</t>
  </si>
  <si>
    <t>t in (us)</t>
  </si>
  <si>
    <t>t equation</t>
  </si>
  <si>
    <t>1/gm2 * (Cin + Cgs2)</t>
  </si>
  <si>
    <t>(R1 || R2) * Cgs4</t>
  </si>
  <si>
    <t>(R3 || R4) * Cgs7</t>
  </si>
  <si>
    <t>1/gm8 * (Cgs8 + Cgs10(1-CD_gain)</t>
  </si>
  <si>
    <t>(RL || 1/gm10) * CL</t>
  </si>
  <si>
    <t>input buffer (fast)</t>
  </si>
  <si>
    <t>output buffer (fast)</t>
  </si>
  <si>
    <t>low impedance; fast node</t>
  </si>
  <si>
    <t>% allocation reason</t>
  </si>
  <si>
    <t>R1 || R2</t>
  </si>
  <si>
    <t xml:space="preserve"> -gmp4(R3 || R4)</t>
  </si>
  <si>
    <t xml:space="preserve"> - gmn7/gmp8</t>
  </si>
  <si>
    <t>(gmn10*RL)/(gmn10*RL + 1)</t>
  </si>
  <si>
    <t>notes</t>
  </si>
  <si>
    <t>size assignment</t>
  </si>
  <si>
    <t>L2=2, W2=10, Vov = 0.8?</t>
  </si>
  <si>
    <t>dominant pole
 (our gain stage)</t>
  </si>
  <si>
    <t>2nd large pole
(our gain stage)</t>
  </si>
  <si>
    <r>
      <t>bigger W to L ratio gives smaller t
to make 0.001 us, need a huge ratio
another way to shrink t is to increase Vov</t>
    </r>
    <r>
      <rPr>
        <sz val="11"/>
        <color rgb="FFFF0000"/>
        <rFont val="Calibri"/>
        <family val="2"/>
        <scheme val="minor"/>
      </rPr>
      <t>, but can we tweak Vov? In case of Mn2, Vg = 0, Vs = input</t>
    </r>
    <r>
      <rPr>
        <sz val="11"/>
        <color theme="1"/>
        <rFont val="Calibri"/>
        <family val="2"/>
        <scheme val="minor"/>
      </rPr>
      <t xml:space="preserve">
</t>
    </r>
  </si>
  <si>
    <t>R2 = 4R1 to keep Mp3 in saturation</t>
  </si>
  <si>
    <t>gain equation</t>
  </si>
  <si>
    <t>gain equaiton shows mostly unity gain</t>
  </si>
  <si>
    <t>gain equaiton shows mostly unity gain
chosen to be smaller than CS b/c CD gain equation shows &lt; 1</t>
  </si>
  <si>
    <t>gm in scale of 0.001; from CG vs cascode equation
CG gain ~ 1000 bigger than cascode</t>
  </si>
  <si>
    <t>Vov</t>
  </si>
  <si>
    <t>W/L</t>
  </si>
  <si>
    <t>gm</t>
  </si>
  <si>
    <t>R1 = 6250, R2 = 25000</t>
  </si>
  <si>
    <t>Property</t>
  </si>
  <si>
    <t>Gain</t>
  </si>
  <si>
    <t>Bandwidth</t>
  </si>
  <si>
    <t>R1</t>
  </si>
  <si>
    <t>R2</t>
  </si>
  <si>
    <t>R3</t>
  </si>
  <si>
    <t>R4</t>
  </si>
  <si>
    <t>gm2</t>
  </si>
  <si>
    <t>gm4</t>
  </si>
  <si>
    <t>gm7</t>
  </si>
  <si>
    <t>gm8</t>
  </si>
  <si>
    <t>gm10</t>
  </si>
  <si>
    <t>Looking at reasonable ranges for any gm</t>
  </si>
  <si>
    <t>Spreadsheet for calculating outputs given inputs</t>
  </si>
  <si>
    <t>Cgs2</t>
  </si>
  <si>
    <t>Cgs4</t>
  </si>
  <si>
    <t>Cgs7</t>
  </si>
  <si>
    <t>Cgs8</t>
  </si>
  <si>
    <t>Cgs10</t>
  </si>
  <si>
    <t>Power</t>
  </si>
  <si>
    <t>Rules</t>
  </si>
  <si>
    <t>R2/R1 &lt; 4</t>
  </si>
  <si>
    <t>R3/R4 &lt; 4</t>
  </si>
  <si>
    <t>Values</t>
  </si>
  <si>
    <t>Dependent Variables</t>
  </si>
  <si>
    <t>WL2</t>
  </si>
  <si>
    <t>WL4</t>
  </si>
  <si>
    <t>WL7</t>
  </si>
  <si>
    <t>WL8</t>
  </si>
  <si>
    <t>Looking at reasonable ranges for any Cgs</t>
  </si>
  <si>
    <t>W</t>
  </si>
  <si>
    <t>L</t>
  </si>
  <si>
    <t>TC1</t>
  </si>
  <si>
    <t>TC2</t>
  </si>
  <si>
    <t>TC3</t>
  </si>
  <si>
    <t>TC4</t>
  </si>
  <si>
    <t>TC1 %</t>
  </si>
  <si>
    <t>TC2 %</t>
  </si>
  <si>
    <t>TC3 %</t>
  </si>
  <si>
    <t>TC4 %</t>
  </si>
  <si>
    <t>TC5</t>
  </si>
  <si>
    <t>TC5 %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</si>
</sst>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4" fontId="0" fillId="0" borderId="7" xfId="0" applyNumberFormat="1" applyBorder="1"/>
    <xf numFmtId="0" fontId="0" fillId="0" borderId="10" xfId="0" applyBorder="1"/>
    <xf numFmtId="0" fontId="0" fillId="0" borderId="11" xfId="0" applyBorder="1"/>
    <xf numFmtId="4" fontId="0" fillId="0" borderId="0" xfId="0" applyNumberFormat="1" applyBorder="1"/>
    <xf numFmtId="0" fontId="0" fillId="0" borderId="12" xfId="0" applyBorder="1"/>
    <xf numFmtId="11" fontId="0" fillId="0" borderId="0" xfId="0" applyNumberFormat="1" applyBorder="1"/>
    <xf numFmtId="11" fontId="0" fillId="0" borderId="12" xfId="0" applyNumberFormat="1" applyBorder="1"/>
    <xf numFmtId="0" fontId="2" fillId="0" borderId="14" xfId="0" applyFont="1" applyBorder="1"/>
    <xf numFmtId="0" fontId="2" fillId="0" borderId="13" xfId="0" applyFont="1" applyBorder="1"/>
    <xf numFmtId="0" fontId="0" fillId="0" borderId="14" xfId="0" applyFont="1" applyFill="1" applyBorder="1"/>
    <xf numFmtId="0" fontId="0" fillId="0" borderId="13" xfId="0" applyFont="1" applyFill="1" applyBorder="1"/>
    <xf numFmtId="0" fontId="0" fillId="0" borderId="14" xfId="0" applyBorder="1"/>
    <xf numFmtId="0" fontId="0" fillId="0" borderId="13" xfId="0" applyBorder="1"/>
    <xf numFmtId="0" fontId="0" fillId="0" borderId="14" xfId="0" applyFill="1" applyBorder="1"/>
    <xf numFmtId="0" fontId="0" fillId="0" borderId="0" xfId="0" applyFill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Border="1"/>
    <xf numFmtId="0" fontId="2" fillId="0" borderId="5" xfId="0" applyFont="1" applyBorder="1" applyAlignment="1">
      <alignment horizontal="center"/>
    </xf>
    <xf numFmtId="10" fontId="0" fillId="0" borderId="0" xfId="0" applyNumberFormat="1" applyBorder="1"/>
    <xf numFmtId="0" fontId="0" fillId="0" borderId="13" xfId="0" applyFill="1" applyBorder="1"/>
    <xf numFmtId="10" fontId="0" fillId="0" borderId="12" xfId="0" applyNumberFormat="1" applyBorder="1"/>
  </cellXfs>
  <cellStyles count="1">
    <cellStyle name="Normal" xfId="0" builtinId="0"/>
  </cellStyles>
  <dxfs count="42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D18" sqref="D18"/>
    </sheetView>
  </sheetViews>
  <sheetFormatPr defaultRowHeight="15" x14ac:dyDescent="0.25"/>
  <cols>
    <col min="1" max="1" width="26.85546875" customWidth="1"/>
    <col min="2" max="2" width="17.85546875" customWidth="1"/>
    <col min="3" max="3" width="14.85546875" customWidth="1"/>
    <col min="4" max="4" width="31.42578125" customWidth="1"/>
    <col min="5" max="5" width="30.5703125" customWidth="1"/>
    <col min="6" max="6" width="39.5703125" customWidth="1"/>
    <col min="7" max="7" width="42" customWidth="1"/>
    <col min="8" max="8" width="36" customWidth="1"/>
  </cols>
  <sheetData>
    <row r="1" spans="1:7" x14ac:dyDescent="0.25">
      <c r="A1" t="s">
        <v>0</v>
      </c>
      <c r="B1" t="s">
        <v>6</v>
      </c>
      <c r="C1" t="s">
        <v>13</v>
      </c>
      <c r="D1" t="s">
        <v>14</v>
      </c>
      <c r="E1" t="s">
        <v>23</v>
      </c>
      <c r="F1" t="s">
        <v>29</v>
      </c>
      <c r="G1" t="s">
        <v>28</v>
      </c>
    </row>
    <row r="2" spans="1:7" ht="90" x14ac:dyDescent="0.25">
      <c r="A2" t="s">
        <v>1</v>
      </c>
      <c r="B2">
        <v>10</v>
      </c>
      <c r="C2">
        <f>(1/90)*(B2/100)</f>
        <v>1.1111111111111111E-3</v>
      </c>
      <c r="D2" t="s">
        <v>15</v>
      </c>
      <c r="E2" t="s">
        <v>20</v>
      </c>
      <c r="F2" t="s">
        <v>30</v>
      </c>
      <c r="G2" s="1" t="s">
        <v>33</v>
      </c>
    </row>
    <row r="3" spans="1:7" ht="30" x14ac:dyDescent="0.25">
      <c r="A3" t="s">
        <v>2</v>
      </c>
      <c r="B3">
        <v>40</v>
      </c>
      <c r="C3">
        <f t="shared" ref="C3:C6" si="0">(1/90)*(B3/100)</f>
        <v>4.4444444444444444E-3</v>
      </c>
      <c r="D3" t="s">
        <v>16</v>
      </c>
      <c r="E3" s="1" t="s">
        <v>31</v>
      </c>
    </row>
    <row r="4" spans="1:7" ht="30" x14ac:dyDescent="0.25">
      <c r="A4" t="s">
        <v>3</v>
      </c>
      <c r="B4">
        <v>30</v>
      </c>
      <c r="C4">
        <f t="shared" si="0"/>
        <v>3.3333333333333335E-3</v>
      </c>
      <c r="D4" t="s">
        <v>17</v>
      </c>
      <c r="E4" s="1" t="s">
        <v>32</v>
      </c>
    </row>
    <row r="5" spans="1:7" x14ac:dyDescent="0.25">
      <c r="A5" t="s">
        <v>4</v>
      </c>
      <c r="B5">
        <v>10</v>
      </c>
      <c r="C5">
        <f t="shared" si="0"/>
        <v>1.1111111111111111E-3</v>
      </c>
      <c r="D5" t="s">
        <v>18</v>
      </c>
      <c r="E5" t="s">
        <v>22</v>
      </c>
    </row>
    <row r="6" spans="1:7" x14ac:dyDescent="0.25">
      <c r="A6" t="s">
        <v>5</v>
      </c>
      <c r="B6">
        <v>10</v>
      </c>
      <c r="C6">
        <f t="shared" si="0"/>
        <v>1.1111111111111111E-3</v>
      </c>
      <c r="D6" t="s">
        <v>19</v>
      </c>
      <c r="E6" t="s">
        <v>21</v>
      </c>
    </row>
    <row r="10" spans="1:7" x14ac:dyDescent="0.25">
      <c r="A10" t="s">
        <v>7</v>
      </c>
      <c r="C10" t="s">
        <v>12</v>
      </c>
      <c r="D10" t="s">
        <v>35</v>
      </c>
    </row>
    <row r="11" spans="1:7" x14ac:dyDescent="0.25">
      <c r="A11" t="s">
        <v>8</v>
      </c>
      <c r="C11">
        <v>5000</v>
      </c>
      <c r="D11" t="s">
        <v>24</v>
      </c>
      <c r="E11" t="s">
        <v>34</v>
      </c>
      <c r="F11" t="s">
        <v>42</v>
      </c>
    </row>
    <row r="12" spans="1:7" ht="60" x14ac:dyDescent="0.25">
      <c r="A12" t="s">
        <v>9</v>
      </c>
      <c r="C12">
        <v>5</v>
      </c>
      <c r="D12" t="s">
        <v>25</v>
      </c>
      <c r="E12" s="1" t="s">
        <v>38</v>
      </c>
    </row>
    <row r="13" spans="1:7" x14ac:dyDescent="0.25">
      <c r="A13" t="s">
        <v>10</v>
      </c>
      <c r="C13">
        <v>1.2</v>
      </c>
      <c r="D13" t="s">
        <v>26</v>
      </c>
      <c r="E13" t="s">
        <v>36</v>
      </c>
    </row>
    <row r="14" spans="1:7" ht="60" x14ac:dyDescent="0.25">
      <c r="A14" t="s">
        <v>11</v>
      </c>
      <c r="C14">
        <v>1</v>
      </c>
      <c r="D14" t="s">
        <v>27</v>
      </c>
      <c r="E14" s="1" t="s">
        <v>37</v>
      </c>
    </row>
    <row r="20" spans="1:7" x14ac:dyDescent="0.25">
      <c r="A20" s="3" t="s">
        <v>55</v>
      </c>
      <c r="B20" s="4"/>
      <c r="C20" s="5"/>
      <c r="E20" s="3" t="s">
        <v>72</v>
      </c>
      <c r="F20" s="4"/>
      <c r="G20" s="5"/>
    </row>
    <row r="21" spans="1:7" x14ac:dyDescent="0.25">
      <c r="A21" s="2" t="s">
        <v>39</v>
      </c>
      <c r="B21" s="2">
        <v>0.15</v>
      </c>
      <c r="C21" s="2">
        <v>4</v>
      </c>
      <c r="E21" s="2" t="s">
        <v>73</v>
      </c>
      <c r="F21" s="2">
        <v>2</v>
      </c>
      <c r="G21" s="2">
        <f>15*G22</f>
        <v>150</v>
      </c>
    </row>
    <row r="22" spans="1:7" x14ac:dyDescent="0.25">
      <c r="A22" s="2" t="s">
        <v>40</v>
      </c>
      <c r="B22" s="2">
        <f>1/15</f>
        <v>6.6666666666666666E-2</v>
      </c>
      <c r="C22" s="2">
        <v>15</v>
      </c>
      <c r="E22" s="2" t="s">
        <v>74</v>
      </c>
      <c r="F22" s="2">
        <v>2</v>
      </c>
      <c r="G22" s="2">
        <v>10</v>
      </c>
    </row>
    <row r="23" spans="1:7" x14ac:dyDescent="0.25">
      <c r="A23" s="12" t="s">
        <v>41</v>
      </c>
      <c r="B23" s="12">
        <f>B21*B22*0.00005</f>
        <v>5.0000000000000008E-7</v>
      </c>
      <c r="C23" s="12">
        <f>C21*C22*0.00005</f>
        <v>3.0000000000000001E-3</v>
      </c>
      <c r="E23" s="2" t="s">
        <v>41</v>
      </c>
      <c r="F23" s="2">
        <f>F21*F22*2/3*0.0000000000000023</f>
        <v>6.1333333333333325E-15</v>
      </c>
      <c r="G23" s="2">
        <f>G21*G22*2/3*0.0000000000000023</f>
        <v>2.2999999999999999E-12</v>
      </c>
    </row>
    <row r="24" spans="1:7" x14ac:dyDescent="0.25">
      <c r="A24" s="13"/>
      <c r="B24" s="13"/>
      <c r="C24" s="13"/>
    </row>
    <row r="26" spans="1:7" ht="15.75" thickBot="1" x14ac:dyDescent="0.3">
      <c r="A26" s="6" t="s">
        <v>56</v>
      </c>
      <c r="B26" s="6"/>
      <c r="C26" s="6"/>
    </row>
    <row r="27" spans="1:7" x14ac:dyDescent="0.25">
      <c r="A27" s="26" t="s">
        <v>43</v>
      </c>
      <c r="B27" s="27"/>
      <c r="C27" s="30"/>
      <c r="D27" s="30"/>
      <c r="E27" s="30"/>
      <c r="F27" s="7"/>
    </row>
    <row r="28" spans="1:7" x14ac:dyDescent="0.25">
      <c r="A28" s="18" t="s">
        <v>44</v>
      </c>
      <c r="B28" s="10">
        <f>(B39*B40/(B39+B40))   *   (-B44*B41*B42/(B41+B42))   *   (-B45/B46)   *   (B47*20000/(B47*20000 + 1))</f>
        <v>45878.816642936239</v>
      </c>
      <c r="C28" s="10">
        <f t="shared" ref="C28:F28" si="1">(C39*C40/(C39+C40))   *   (-C44*C41*C42/(C41+C42))   *   (-C45/C46)   *   (C47*20000/(C47*20000 + 1))</f>
        <v>33134.700908787287</v>
      </c>
      <c r="D28" s="10" t="e">
        <f t="shared" si="1"/>
        <v>#DIV/0!</v>
      </c>
      <c r="E28" s="10" t="e">
        <f t="shared" si="1"/>
        <v>#DIV/0!</v>
      </c>
      <c r="F28" s="8" t="e">
        <f t="shared" si="1"/>
        <v>#DIV/0!</v>
      </c>
    </row>
    <row r="29" spans="1:7" x14ac:dyDescent="0.25">
      <c r="A29" s="18" t="s">
        <v>45</v>
      </c>
      <c r="B29" s="14">
        <f>1/(SUM(B58:B62) * 2 * 3.14159)</f>
        <v>17855332.42198291</v>
      </c>
      <c r="C29" s="14">
        <f t="shared" ref="C29:F29" si="2">1/(2*3.14159)*1/(   (0.00000000000022 + C48)/C43   +   (C39*C40*C49/(C39+C40))   +   (C41*C42*C50)/(C41+C42)   +   (C51+C52*(1+C47*20000))/C46   +   20000*(0.00000000000025+C52*(1+1/(20000*C47)))/(1+20000*C47))</f>
        <v>111088058.04342037</v>
      </c>
      <c r="D29" s="14" t="e">
        <f t="shared" si="2"/>
        <v>#DIV/0!</v>
      </c>
      <c r="E29" s="14" t="e">
        <f t="shared" si="2"/>
        <v>#DIV/0!</v>
      </c>
      <c r="F29" s="11" t="e">
        <f t="shared" si="2"/>
        <v>#DIV/0!</v>
      </c>
    </row>
    <row r="30" spans="1:7" ht="15.75" thickBot="1" x14ac:dyDescent="0.3">
      <c r="A30" s="19" t="s">
        <v>62</v>
      </c>
      <c r="B30" s="15"/>
      <c r="C30" s="15"/>
      <c r="D30" s="15"/>
      <c r="E30" s="15"/>
      <c r="F30" s="9"/>
    </row>
    <row r="31" spans="1:7" x14ac:dyDescent="0.25">
      <c r="A31" s="28" t="s">
        <v>63</v>
      </c>
      <c r="B31" s="27"/>
      <c r="C31" s="30"/>
      <c r="D31" s="30"/>
      <c r="E31" s="30"/>
      <c r="F31" s="7"/>
    </row>
    <row r="32" spans="1:7" x14ac:dyDescent="0.25">
      <c r="A32" s="20" t="s">
        <v>64</v>
      </c>
      <c r="B32" s="10">
        <f>IF(B40/B39&lt;=4, 1, 0)</f>
        <v>1</v>
      </c>
      <c r="C32" s="10">
        <f t="shared" ref="C32:F32" si="3">IF(C40/C39&lt;=4, 1, 0)</f>
        <v>1</v>
      </c>
      <c r="D32" s="10" t="e">
        <f t="shared" si="3"/>
        <v>#DIV/0!</v>
      </c>
      <c r="E32" s="10" t="e">
        <f t="shared" si="3"/>
        <v>#DIV/0!</v>
      </c>
      <c r="F32" s="8" t="e">
        <f t="shared" si="3"/>
        <v>#DIV/0!</v>
      </c>
    </row>
    <row r="33" spans="1:6" x14ac:dyDescent="0.25">
      <c r="A33" s="20" t="s">
        <v>65</v>
      </c>
      <c r="B33" s="10">
        <f>IF(B41/B42&lt;=4, 1, 0)</f>
        <v>1</v>
      </c>
      <c r="C33" s="10">
        <f t="shared" ref="C33:F33" si="4">IF(C41/C42&lt;=4, 1, 0)</f>
        <v>1</v>
      </c>
      <c r="D33" s="10" t="e">
        <f t="shared" si="4"/>
        <v>#DIV/0!</v>
      </c>
      <c r="E33" s="10" t="e">
        <f t="shared" si="4"/>
        <v>#DIV/0!</v>
      </c>
      <c r="F33" s="8" t="e">
        <f t="shared" si="4"/>
        <v>#DIV/0!</v>
      </c>
    </row>
    <row r="34" spans="1:6" x14ac:dyDescent="0.25">
      <c r="A34" s="20"/>
      <c r="B34" s="10"/>
      <c r="C34" s="10"/>
      <c r="D34" s="10"/>
      <c r="E34" s="10"/>
      <c r="F34" s="8"/>
    </row>
    <row r="35" spans="1:6" x14ac:dyDescent="0.25">
      <c r="A35" s="20"/>
      <c r="B35" s="10"/>
      <c r="C35" s="10"/>
      <c r="D35" s="10"/>
      <c r="E35" s="10"/>
      <c r="F35" s="8"/>
    </row>
    <row r="36" spans="1:6" x14ac:dyDescent="0.25">
      <c r="A36" s="20"/>
      <c r="B36" s="10"/>
      <c r="C36" s="10"/>
      <c r="D36" s="10"/>
      <c r="E36" s="10"/>
      <c r="F36" s="8"/>
    </row>
    <row r="37" spans="1:6" ht="15.75" thickBot="1" x14ac:dyDescent="0.3">
      <c r="A37" s="21"/>
      <c r="B37" s="15"/>
      <c r="C37" s="15"/>
      <c r="D37" s="15"/>
      <c r="E37" s="15"/>
      <c r="F37" s="9"/>
    </row>
    <row r="38" spans="1:6" x14ac:dyDescent="0.25">
      <c r="A38" s="28" t="s">
        <v>66</v>
      </c>
      <c r="B38" s="29"/>
      <c r="C38" s="30"/>
      <c r="D38" s="30"/>
      <c r="E38" s="30"/>
      <c r="F38" s="7"/>
    </row>
    <row r="39" spans="1:6" x14ac:dyDescent="0.25">
      <c r="A39" s="22" t="s">
        <v>46</v>
      </c>
      <c r="B39" s="10">
        <v>10000</v>
      </c>
      <c r="C39" s="10">
        <v>6500</v>
      </c>
      <c r="D39" s="10"/>
      <c r="E39" s="10"/>
      <c r="F39" s="8"/>
    </row>
    <row r="40" spans="1:6" x14ac:dyDescent="0.25">
      <c r="A40" s="22" t="s">
        <v>47</v>
      </c>
      <c r="B40" s="10">
        <v>25000</v>
      </c>
      <c r="C40" s="10">
        <v>25000</v>
      </c>
      <c r="D40" s="10"/>
      <c r="E40" s="10"/>
      <c r="F40" s="8"/>
    </row>
    <row r="41" spans="1:6" x14ac:dyDescent="0.25">
      <c r="A41" s="22" t="s">
        <v>48</v>
      </c>
      <c r="B41" s="10">
        <v>25000</v>
      </c>
      <c r="C41" s="10">
        <v>25000</v>
      </c>
      <c r="D41" s="10"/>
      <c r="E41" s="10"/>
      <c r="F41" s="8"/>
    </row>
    <row r="42" spans="1:6" x14ac:dyDescent="0.25">
      <c r="A42" s="22" t="s">
        <v>49</v>
      </c>
      <c r="B42" s="10">
        <v>7250</v>
      </c>
      <c r="C42" s="10">
        <v>7250</v>
      </c>
      <c r="D42" s="10"/>
      <c r="E42" s="10"/>
      <c r="F42" s="8"/>
    </row>
    <row r="43" spans="1:6" x14ac:dyDescent="0.25">
      <c r="A43" s="22" t="s">
        <v>50</v>
      </c>
      <c r="B43" s="10">
        <v>1E-3</v>
      </c>
      <c r="C43" s="10">
        <v>1E-3</v>
      </c>
      <c r="D43" s="10"/>
      <c r="E43" s="10"/>
      <c r="F43" s="8"/>
    </row>
    <row r="44" spans="1:6" x14ac:dyDescent="0.25">
      <c r="A44" s="22" t="s">
        <v>51</v>
      </c>
      <c r="B44" s="10">
        <v>1E-3</v>
      </c>
      <c r="C44" s="10">
        <v>1E-3</v>
      </c>
      <c r="D44" s="10"/>
      <c r="E44" s="10"/>
      <c r="F44" s="8"/>
    </row>
    <row r="45" spans="1:6" x14ac:dyDescent="0.25">
      <c r="A45" s="22" t="s">
        <v>52</v>
      </c>
      <c r="B45" s="10">
        <v>1.1999999999999999E-3</v>
      </c>
      <c r="C45" s="10">
        <v>1.1999999999999999E-3</v>
      </c>
      <c r="D45" s="10"/>
      <c r="E45" s="10"/>
      <c r="F45" s="8"/>
    </row>
    <row r="46" spans="1:6" x14ac:dyDescent="0.25">
      <c r="A46" s="22" t="s">
        <v>53</v>
      </c>
      <c r="B46" s="10">
        <v>1E-3</v>
      </c>
      <c r="C46" s="10">
        <v>1E-3</v>
      </c>
      <c r="D46" s="10"/>
      <c r="E46" s="10"/>
      <c r="F46" s="8"/>
    </row>
    <row r="47" spans="1:6" x14ac:dyDescent="0.25">
      <c r="A47" s="22" t="s">
        <v>54</v>
      </c>
      <c r="B47" s="10">
        <v>1E-3</v>
      </c>
      <c r="C47" s="10">
        <v>1E-3</v>
      </c>
      <c r="D47" s="10"/>
      <c r="E47" s="10"/>
      <c r="F47" s="8"/>
    </row>
    <row r="48" spans="1:6" x14ac:dyDescent="0.25">
      <c r="A48" s="22" t="s">
        <v>57</v>
      </c>
      <c r="B48" s="10">
        <v>2.2999999999999998E-13</v>
      </c>
      <c r="C48" s="10">
        <v>6.0999999999999997E-15</v>
      </c>
      <c r="D48" s="10"/>
      <c r="E48" s="10"/>
      <c r="F48" s="8"/>
    </row>
    <row r="49" spans="1:6" x14ac:dyDescent="0.25">
      <c r="A49" s="22" t="s">
        <v>58</v>
      </c>
      <c r="B49" s="16">
        <v>2.2999999999999998E-13</v>
      </c>
      <c r="C49" s="16">
        <v>6.0999999999999997E-15</v>
      </c>
      <c r="D49" s="10"/>
      <c r="E49" s="10"/>
      <c r="F49" s="8"/>
    </row>
    <row r="50" spans="1:6" x14ac:dyDescent="0.25">
      <c r="A50" s="22" t="s">
        <v>59</v>
      </c>
      <c r="B50" s="16">
        <v>2.2999999999999998E-13</v>
      </c>
      <c r="C50" s="16">
        <v>6.1000000000000005E-14</v>
      </c>
      <c r="D50" s="10"/>
      <c r="E50" s="10"/>
      <c r="F50" s="8"/>
    </row>
    <row r="51" spans="1:6" x14ac:dyDescent="0.25">
      <c r="A51" s="22" t="s">
        <v>60</v>
      </c>
      <c r="B51" s="16">
        <v>2.2999999999999998E-13</v>
      </c>
      <c r="C51" s="16">
        <v>4.5999999999999996E-13</v>
      </c>
      <c r="D51" s="10"/>
      <c r="E51" s="10"/>
      <c r="F51" s="8"/>
    </row>
    <row r="52" spans="1:6" ht="15.75" thickBot="1" x14ac:dyDescent="0.3">
      <c r="A52" s="23" t="s">
        <v>61</v>
      </c>
      <c r="B52" s="17">
        <v>2.2999999999999998E-13</v>
      </c>
      <c r="C52" s="17">
        <v>6.0999999999999997E-15</v>
      </c>
      <c r="D52" s="15"/>
      <c r="E52" s="15"/>
      <c r="F52" s="9"/>
    </row>
    <row r="53" spans="1:6" x14ac:dyDescent="0.25">
      <c r="A53" s="31" t="s">
        <v>67</v>
      </c>
      <c r="B53" s="29"/>
      <c r="C53" s="30"/>
      <c r="D53" s="30"/>
      <c r="E53" s="30"/>
      <c r="F53" s="7"/>
    </row>
    <row r="54" spans="1:6" x14ac:dyDescent="0.25">
      <c r="A54" s="22" t="s">
        <v>68</v>
      </c>
      <c r="B54" s="10">
        <f>B48*3/2/0.0000000000000023</f>
        <v>149.99999999999997</v>
      </c>
      <c r="C54" s="10"/>
      <c r="D54" s="10"/>
      <c r="E54" s="10"/>
      <c r="F54" s="8"/>
    </row>
    <row r="55" spans="1:6" x14ac:dyDescent="0.25">
      <c r="A55" s="22" t="s">
        <v>69</v>
      </c>
      <c r="B55" s="10">
        <f t="shared" ref="B55:B58" si="5">B49*3/2/0.0000000000000023</f>
        <v>149.99999999999997</v>
      </c>
      <c r="C55" s="10"/>
      <c r="D55" s="10"/>
      <c r="E55" s="10"/>
      <c r="F55" s="8"/>
    </row>
    <row r="56" spans="1:6" x14ac:dyDescent="0.25">
      <c r="A56" s="22" t="s">
        <v>70</v>
      </c>
      <c r="B56" s="10">
        <f t="shared" si="5"/>
        <v>149.99999999999997</v>
      </c>
      <c r="C56" s="10"/>
      <c r="D56" s="10"/>
      <c r="E56" s="10"/>
      <c r="F56" s="8"/>
    </row>
    <row r="57" spans="1:6" x14ac:dyDescent="0.25">
      <c r="A57" s="22" t="s">
        <v>71</v>
      </c>
      <c r="B57" s="10">
        <f t="shared" si="5"/>
        <v>149.99999999999997</v>
      </c>
      <c r="C57" s="10"/>
      <c r="D57" s="10"/>
      <c r="E57" s="10"/>
      <c r="F57" s="8"/>
    </row>
    <row r="58" spans="1:6" x14ac:dyDescent="0.25">
      <c r="A58" s="24" t="s">
        <v>75</v>
      </c>
      <c r="B58" s="25">
        <f>(0.00000000000022 + B48)/B43</f>
        <v>4.5E-10</v>
      </c>
      <c r="C58" s="10"/>
      <c r="D58" s="10"/>
      <c r="E58" s="10"/>
      <c r="F58" s="8"/>
    </row>
    <row r="59" spans="1:6" x14ac:dyDescent="0.25">
      <c r="A59" s="24" t="s">
        <v>76</v>
      </c>
      <c r="B59" s="25">
        <f>(B39*B40*B49/(B39+B40))</f>
        <v>1.6428571428571428E-9</v>
      </c>
      <c r="C59" s="10"/>
      <c r="D59" s="10"/>
      <c r="E59" s="10"/>
      <c r="F59" s="8"/>
    </row>
    <row r="60" spans="1:6" x14ac:dyDescent="0.25">
      <c r="A60" s="24" t="s">
        <v>77</v>
      </c>
      <c r="B60" s="10">
        <f>(B41*B42*B50)/(B41+B42)</f>
        <v>1.2926356589147286E-9</v>
      </c>
      <c r="C60" s="10"/>
      <c r="D60" s="10"/>
      <c r="E60" s="10"/>
      <c r="F60" s="8"/>
    </row>
    <row r="61" spans="1:6" x14ac:dyDescent="0.25">
      <c r="A61" s="24" t="s">
        <v>78</v>
      </c>
      <c r="B61" s="10">
        <f>(B51+B52*(1+B47*20000))/B46</f>
        <v>5.0599999999999987E-9</v>
      </c>
      <c r="C61" s="10"/>
      <c r="D61" s="10"/>
      <c r="E61" s="10"/>
      <c r="F61" s="8"/>
    </row>
    <row r="62" spans="1:6" x14ac:dyDescent="0.25">
      <c r="A62" s="24" t="s">
        <v>83</v>
      </c>
      <c r="B62" s="10">
        <f xml:space="preserve"> 20000*(0.00000000000025+B52*(1+1/(20000*B47)))/(1+20000*B47)</f>
        <v>4.6809523809523803E-10</v>
      </c>
      <c r="C62" s="10"/>
      <c r="D62" s="10"/>
      <c r="E62" s="10"/>
      <c r="F62" s="8"/>
    </row>
    <row r="63" spans="1:6" x14ac:dyDescent="0.25">
      <c r="A63" s="24" t="s">
        <v>79</v>
      </c>
      <c r="B63" s="32">
        <f>B58/SUM(B$58:B$62)</f>
        <v>5.0484720405219563E-2</v>
      </c>
      <c r="C63" s="10"/>
      <c r="D63" s="10"/>
      <c r="E63" s="10"/>
      <c r="F63" s="8"/>
    </row>
    <row r="64" spans="1:6" x14ac:dyDescent="0.25">
      <c r="A64" s="24" t="s">
        <v>80</v>
      </c>
      <c r="B64" s="32">
        <f t="shared" ref="B64:B67" si="6">B59/SUM(B$58:B$62)</f>
        <v>0.18430929671746824</v>
      </c>
      <c r="C64" s="10"/>
      <c r="D64" s="10"/>
      <c r="E64" s="10"/>
      <c r="F64" s="8"/>
    </row>
    <row r="65" spans="1:6" x14ac:dyDescent="0.25">
      <c r="A65" s="24" t="s">
        <v>81</v>
      </c>
      <c r="B65" s="32">
        <f t="shared" si="6"/>
        <v>0.14501855516917075</v>
      </c>
      <c r="C65" s="10"/>
      <c r="D65" s="10"/>
      <c r="E65" s="10"/>
      <c r="F65" s="8"/>
    </row>
    <row r="66" spans="1:6" x14ac:dyDescent="0.25">
      <c r="A66" s="24" t="s">
        <v>82</v>
      </c>
      <c r="B66" s="32">
        <f t="shared" si="6"/>
        <v>0.56767263388980205</v>
      </c>
      <c r="C66" s="10"/>
      <c r="D66" s="10"/>
      <c r="E66" s="10"/>
      <c r="F66" s="8"/>
    </row>
    <row r="67" spans="1:6" ht="15.75" thickBot="1" x14ac:dyDescent="0.3">
      <c r="A67" s="33" t="s">
        <v>84</v>
      </c>
      <c r="B67" s="34">
        <f t="shared" si="6"/>
        <v>5.2514793818339497E-2</v>
      </c>
      <c r="C67" s="15"/>
      <c r="D67" s="15"/>
      <c r="E67" s="15"/>
      <c r="F67" s="9"/>
    </row>
  </sheetData>
  <mergeCells count="3">
    <mergeCell ref="E20:G20"/>
    <mergeCell ref="A20:C20"/>
    <mergeCell ref="A26:C26"/>
  </mergeCells>
  <conditionalFormatting sqref="B28:F28">
    <cfRule type="expression" dxfId="11" priority="6">
      <formula>B28&gt;30000</formula>
    </cfRule>
    <cfRule type="expression" dxfId="10" priority="5">
      <formula>B28&lt;30000</formula>
    </cfRule>
  </conditionalFormatting>
  <conditionalFormatting sqref="B29:F29">
    <cfRule type="expression" dxfId="9" priority="4">
      <formula>B29&gt;90000000</formula>
    </cfRule>
    <cfRule type="expression" dxfId="8" priority="3">
      <formula>B29&lt;90000000</formula>
    </cfRule>
  </conditionalFormatting>
  <conditionalFormatting sqref="B30:F30">
    <cfRule type="expression" dxfId="7" priority="2">
      <formula>B30&lt;0.002</formula>
    </cfRule>
    <cfRule type="expression" dxfId="6" priority="1">
      <formula>B30&gt;0.002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NVIDIA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NVIDIA</dc:creator>
  <cp:lastModifiedBy>Matthew Feldman</cp:lastModifiedBy>
  <dcterms:created xsi:type="dcterms:W3CDTF">2015-11-11T04:48:52Z</dcterms:created>
  <dcterms:modified xsi:type="dcterms:W3CDTF">2015-11-12T22:56:04Z</dcterms:modified>
</cp:coreProperties>
</file>