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75" windowWidth="19155" windowHeight="7740" activeTab="1"/>
  </bookViews>
  <sheets>
    <sheet name="Sheet1" sheetId="1" r:id="rId1"/>
    <sheet name="gmid" sheetId="2" r:id="rId2"/>
    <sheet name="Sheet3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B29" i="2" l="1"/>
  <c r="B28" i="2" s="1"/>
  <c r="B30" i="2" s="1"/>
  <c r="B31" i="2" s="1"/>
  <c r="O5" i="2" l="1"/>
  <c r="F22" i="4"/>
  <c r="G22" i="4"/>
  <c r="H22" i="4"/>
  <c r="E22" i="4"/>
  <c r="S10" i="4"/>
  <c r="Q10" i="4"/>
  <c r="P10" i="4"/>
  <c r="N10" i="4"/>
  <c r="N7" i="4"/>
  <c r="O7" i="4"/>
  <c r="P7" i="4"/>
  <c r="Q7" i="4"/>
  <c r="R7" i="4"/>
  <c r="S7" i="4"/>
  <c r="T7" i="4"/>
  <c r="U7" i="4"/>
  <c r="V7" i="4"/>
  <c r="M7" i="4"/>
  <c r="H7" i="2"/>
  <c r="I23" i="4"/>
  <c r="H24" i="4"/>
  <c r="G24" i="4"/>
  <c r="F24" i="4"/>
  <c r="E24" i="4"/>
  <c r="I17" i="4"/>
  <c r="E18" i="4" s="1"/>
  <c r="F13" i="4"/>
  <c r="G9" i="4" s="1"/>
  <c r="D2" i="4"/>
  <c r="E2" i="4" s="1"/>
  <c r="F2" i="4" s="1"/>
  <c r="G20" i="4" l="1"/>
  <c r="F20" i="4"/>
  <c r="E20" i="4"/>
  <c r="H20" i="4"/>
  <c r="G11" i="4"/>
  <c r="G5" i="4"/>
  <c r="G7" i="4"/>
  <c r="F18" i="4"/>
  <c r="G18" i="4"/>
  <c r="H18" i="4"/>
  <c r="R2" i="2"/>
  <c r="S2" i="2" s="1"/>
  <c r="E5" i="2"/>
  <c r="G5" i="2" s="1"/>
  <c r="G7" i="2" s="1"/>
  <c r="A20" i="2" s="1"/>
  <c r="G6" i="2" l="1"/>
  <c r="H5" i="2"/>
  <c r="J5" i="2" s="1"/>
  <c r="E2" i="3" l="1"/>
  <c r="D2" i="2" l="1"/>
  <c r="E2" i="2" s="1"/>
  <c r="G2" i="2" s="1"/>
  <c r="G3" i="2" l="1"/>
  <c r="H3" i="2" s="1"/>
  <c r="H2" i="2"/>
  <c r="I2" i="2" s="1"/>
  <c r="H11" i="2" s="1"/>
  <c r="B62" i="1"/>
  <c r="B61" i="1"/>
  <c r="B60" i="1"/>
  <c r="B59" i="1"/>
  <c r="B58" i="1"/>
  <c r="C32" i="1"/>
  <c r="D32" i="1"/>
  <c r="E32" i="1"/>
  <c r="F32" i="1"/>
  <c r="C33" i="1"/>
  <c r="D33" i="1"/>
  <c r="E33" i="1"/>
  <c r="F33" i="1"/>
  <c r="C28" i="1"/>
  <c r="D28" i="1"/>
  <c r="E28" i="1"/>
  <c r="F28" i="1"/>
  <c r="C29" i="1"/>
  <c r="D29" i="1"/>
  <c r="E29" i="1"/>
  <c r="F29" i="1"/>
  <c r="G23" i="1"/>
  <c r="F23" i="1"/>
  <c r="G21" i="1"/>
  <c r="B55" i="1"/>
  <c r="B56" i="1"/>
  <c r="B57" i="1"/>
  <c r="B54" i="1"/>
  <c r="B28" i="1"/>
  <c r="B33" i="1"/>
  <c r="B32" i="1"/>
  <c r="C23" i="1"/>
  <c r="B23" i="1"/>
  <c r="B22" i="1"/>
  <c r="H6" i="2" l="1"/>
  <c r="B20" i="2" s="1"/>
  <c r="H8" i="2"/>
  <c r="G8" i="2" s="1"/>
  <c r="G9" i="2" s="1"/>
  <c r="J2" i="2"/>
  <c r="B64" i="1"/>
  <c r="B67" i="1"/>
  <c r="B66" i="1"/>
  <c r="B29" i="1"/>
  <c r="B65" i="1"/>
  <c r="B63" i="1"/>
  <c r="C3" i="1"/>
  <c r="C4" i="1"/>
  <c r="C5" i="1"/>
  <c r="C6" i="1"/>
  <c r="C2" i="1"/>
  <c r="J6" i="2" l="1"/>
  <c r="G10" i="2"/>
  <c r="G11" i="2"/>
  <c r="E9" i="2"/>
  <c r="E10" i="2" s="1"/>
  <c r="H10" i="2" l="1"/>
  <c r="J10" i="2" s="1"/>
  <c r="H9" i="2"/>
  <c r="J9" i="2" s="1"/>
  <c r="J11" i="2"/>
  <c r="G12" i="2"/>
  <c r="E12" i="2" s="1"/>
  <c r="H12" i="2" s="1"/>
  <c r="J12" i="2" s="1"/>
</calcChain>
</file>

<file path=xl/sharedStrings.xml><?xml version="1.0" encoding="utf-8"?>
<sst xmlns="http://schemas.openxmlformats.org/spreadsheetml/2006/main" count="184" uniqueCount="164">
  <si>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</si>
  <si>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</si>
  <si>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</si>
  <si>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</si>
  <si>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</si>
  <si>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</si>
  <si>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</si>
  <si>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</si>
  <si>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</si>
  <si>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</si>
  <si>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</si>
  <si>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</si>
  <si>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</si>
  <si>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</si>
  <si>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</si>
  <si>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</si>
  <si>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</si>
  <si>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</si>
  <si>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</si>
  <si>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</si>
  <si>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</si>
  <si>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</si>
  <si>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</si>
  <si>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</si>
  <si>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</si>
  <si>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</si>
  <si>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</si>
  <si>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</si>
  <si>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</si>
  <si>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</si>
  <si>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</si>
  <si>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</si>
  <si>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</si>
  <si>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</si>
  <si>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</si>
  <si>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</si>
  <si>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</si>
  <si>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</si>
  <si>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</si>
  <si>
    <t>Vov</t>
  </si>
  <si>
    <t>W/L</t>
  </si>
  <si>
    <t>gm</t>
  </si>
  <si>
    <t>R1 = 6250, R2 = 25000</t>
  </si>
  <si>
    <t>Property</t>
  </si>
  <si>
    <t>Gain</t>
  </si>
  <si>
    <t>Bandwidth</t>
  </si>
  <si>
    <t>R1</t>
  </si>
  <si>
    <t>R2</t>
  </si>
  <si>
    <t>R3</t>
  </si>
  <si>
    <t>R4</t>
  </si>
  <si>
    <t>gm2</t>
  </si>
  <si>
    <t>gm4</t>
  </si>
  <si>
    <t>gm7</t>
  </si>
  <si>
    <t>gm8</t>
  </si>
  <si>
    <t>gm10</t>
  </si>
  <si>
    <t>Looking at reasonable ranges for any gm</t>
  </si>
  <si>
    <t>Spreadsheet for calculating outputs given inputs</t>
  </si>
  <si>
    <t>Cgs2</t>
  </si>
  <si>
    <t>Cgs4</t>
  </si>
  <si>
    <t>Cgs7</t>
  </si>
  <si>
    <t>Cgs8</t>
  </si>
  <si>
    <t>Cgs10</t>
  </si>
  <si>
    <t>Power</t>
  </si>
  <si>
    <t>Rules</t>
  </si>
  <si>
    <t>R2/R1 &lt; 4</t>
  </si>
  <si>
    <t>R3/R4 &lt; 4</t>
  </si>
  <si>
    <t>Values</t>
  </si>
  <si>
    <t>Dependent Variables</t>
  </si>
  <si>
    <t>WL2</t>
  </si>
  <si>
    <t>WL4</t>
  </si>
  <si>
    <t>WL7</t>
  </si>
  <si>
    <t>WL8</t>
  </si>
  <si>
    <t>Looking at reasonable ranges for any Cgs</t>
  </si>
  <si>
    <t>W</t>
  </si>
  <si>
    <t>L</t>
  </si>
  <si>
    <t>TC1</t>
  </si>
  <si>
    <t>TC2</t>
  </si>
  <si>
    <t>TC3</t>
  </si>
  <si>
    <t>TC4</t>
  </si>
  <si>
    <t>TC1 %</t>
  </si>
  <si>
    <t>TC2 %</t>
  </si>
  <si>
    <t>TC3 %</t>
  </si>
  <si>
    <t>TC4 %</t>
  </si>
  <si>
    <t>TC5</t>
  </si>
  <si>
    <t>TC5 %</t>
  </si>
  <si>
    <t>CL</t>
  </si>
  <si>
    <t>f</t>
  </si>
  <si>
    <t>gm/id</t>
  </si>
  <si>
    <t>Id</t>
  </si>
  <si>
    <t>Vgs</t>
  </si>
  <si>
    <t>Vt</t>
  </si>
  <si>
    <t>kp_n</t>
  </si>
  <si>
    <t>M10</t>
  </si>
  <si>
    <t>MP8</t>
  </si>
  <si>
    <t>ids</t>
  </si>
  <si>
    <t>tau</t>
  </si>
  <si>
    <t>gain allocated</t>
  </si>
  <si>
    <t>tau allocated</t>
  </si>
  <si>
    <t>MN1</t>
  </si>
  <si>
    <t>MN2</t>
  </si>
  <si>
    <t>Cin</t>
  </si>
  <si>
    <t>xtor</t>
  </si>
  <si>
    <t>MP3</t>
  </si>
  <si>
    <t>MP4</t>
  </si>
  <si>
    <t>MN6</t>
  </si>
  <si>
    <t>MP5</t>
  </si>
  <si>
    <t>I total</t>
  </si>
  <si>
    <t>I R</t>
  </si>
  <si>
    <t>I xtor</t>
  </si>
  <si>
    <t>vdd</t>
  </si>
  <si>
    <t>MN7</t>
  </si>
  <si>
    <t>MN9</t>
  </si>
  <si>
    <t>vbias_n</t>
  </si>
  <si>
    <t>vbias_p</t>
  </si>
  <si>
    <t>power target</t>
  </si>
  <si>
    <t>R power</t>
  </si>
  <si>
    <t>Vdd</t>
  </si>
  <si>
    <t>Vss</t>
  </si>
  <si>
    <t>xtor power</t>
  </si>
  <si>
    <t>Ids_total</t>
  </si>
  <si>
    <t>Ids_stack1</t>
  </si>
  <si>
    <t>Ids_stack2</t>
  </si>
  <si>
    <t>Ids_stack3</t>
  </si>
  <si>
    <t>Ids_stack4</t>
  </si>
  <si>
    <t>Ids_sum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</si>
  <si>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</si>
  <si>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</si>
  <si>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</si>
  <si>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</si>
  <si>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</si>
  <si>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</si>
  <si>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</si>
  <si>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</si>
  <si>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</si>
  <si>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spice Vov</t>
  </si>
  <si>
    <t>stack1</t>
  </si>
  <si>
    <t>stack2</t>
  </si>
  <si>
    <t>stack3</t>
  </si>
  <si>
    <t>stack4</t>
  </si>
  <si>
    <t>Ids %</t>
  </si>
  <si>
    <t>spice Ids</t>
  </si>
  <si>
    <t>spice Ids%</t>
  </si>
  <si>
    <t>sum</t>
  </si>
  <si>
    <t>spice BW</t>
  </si>
  <si>
    <t>Spice gain in db</t>
  </si>
  <si>
    <t>spice gain in ohms</t>
  </si>
  <si>
    <t>spice gm</t>
  </si>
  <si>
    <t>calc Vov</t>
  </si>
  <si>
    <t>% error</t>
  </si>
  <si>
    <t>calc gm</t>
  </si>
  <si>
    <t xml:space="preserve">Ids </t>
  </si>
  <si>
    <t>Ids allocated</t>
  </si>
  <si>
    <t>spice W</t>
  </si>
  <si>
    <t>calc W</t>
  </si>
  <si>
    <t>spice L</t>
  </si>
  <si>
    <t>calc L</t>
  </si>
  <si>
    <t xml:space="preserve">kn </t>
  </si>
  <si>
    <t xml:space="preserve">kp </t>
  </si>
  <si>
    <t>vss</t>
  </si>
  <si>
    <t>Vy</t>
  </si>
  <si>
    <t>Id8</t>
  </si>
  <si>
    <t>Vz</t>
  </si>
  <si>
    <t>Vov8</t>
  </si>
  <si>
    <t>Vov7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</si>
</sst>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4" fontId="0" fillId="0" borderId="7" xfId="0" applyNumberFormat="1" applyBorder="1"/>
    <xf numFmtId="0" fontId="0" fillId="0" borderId="10" xfId="0" applyBorder="1"/>
    <xf numFmtId="0" fontId="0" fillId="0" borderId="11" xfId="0" applyBorder="1"/>
    <xf numFmtId="4" fontId="0" fillId="0" borderId="0" xfId="0" applyNumberFormat="1" applyBorder="1"/>
    <xf numFmtId="0" fontId="0" fillId="0" borderId="12" xfId="0" applyBorder="1"/>
    <xf numFmtId="11" fontId="0" fillId="0" borderId="0" xfId="0" applyNumberFormat="1" applyBorder="1"/>
    <xf numFmtId="11" fontId="0" fillId="0" borderId="12" xfId="0" applyNumberFormat="1" applyBorder="1"/>
    <xf numFmtId="0" fontId="2" fillId="0" borderId="14" xfId="0" applyFont="1" applyBorder="1"/>
    <xf numFmtId="0" fontId="2" fillId="0" borderId="13" xfId="0" applyFont="1" applyBorder="1"/>
    <xf numFmtId="0" fontId="0" fillId="0" borderId="14" xfId="0" applyFont="1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 applyBorder="1"/>
    <xf numFmtId="0" fontId="0" fillId="0" borderId="13" xfId="0" applyFill="1" applyBorder="1"/>
    <xf numFmtId="10" fontId="0" fillId="0" borderId="12" xfId="0" applyNumberFormat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  <xf numFmtId="11" fontId="0" fillId="4" borderId="0" xfId="0" applyNumberFormat="1" applyFill="1"/>
    <xf numFmtId="0" fontId="0" fillId="0" borderId="0" xfId="0" applyFill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D18" sqref="D18"/>
    </sheetView>
  </sheetViews>
  <sheetFormatPr defaultRowHeight="15" x14ac:dyDescent="0.25"/>
  <cols>
    <col min="1" max="1" width="26.85546875" customWidth="1"/>
    <col min="2" max="2" width="17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  <c r="F11" t="s">
        <v>42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  <row r="20" spans="1:7" x14ac:dyDescent="0.25">
      <c r="A20" s="38" t="s">
        <v>55</v>
      </c>
      <c r="B20" s="39"/>
      <c r="C20" s="40"/>
      <c r="E20" s="38" t="s">
        <v>72</v>
      </c>
      <c r="F20" s="39"/>
      <c r="G20" s="40"/>
    </row>
    <row r="21" spans="1:7" x14ac:dyDescent="0.25">
      <c r="A21" s="2" t="s">
        <v>39</v>
      </c>
      <c r="B21" s="2">
        <v>0.15</v>
      </c>
      <c r="C21" s="2">
        <v>4</v>
      </c>
      <c r="E21" s="2" t="s">
        <v>73</v>
      </c>
      <c r="F21" s="2">
        <v>2</v>
      </c>
      <c r="G21" s="2">
        <f>15*G22</f>
        <v>150</v>
      </c>
    </row>
    <row r="22" spans="1:7" x14ac:dyDescent="0.25">
      <c r="A22" s="2" t="s">
        <v>40</v>
      </c>
      <c r="B22" s="2">
        <f>1/15</f>
        <v>6.6666666666666666E-2</v>
      </c>
      <c r="C22" s="2">
        <v>15</v>
      </c>
      <c r="E22" s="2" t="s">
        <v>74</v>
      </c>
      <c r="F22" s="2">
        <v>2</v>
      </c>
      <c r="G22" s="2">
        <v>10</v>
      </c>
    </row>
    <row r="23" spans="1:7" x14ac:dyDescent="0.25">
      <c r="A23" s="8" t="s">
        <v>41</v>
      </c>
      <c r="B23" s="8">
        <f>B21*B22*0.00005</f>
        <v>5.0000000000000008E-7</v>
      </c>
      <c r="C23" s="8">
        <f>C21*C22*0.00005</f>
        <v>3.0000000000000001E-3</v>
      </c>
      <c r="E23" s="2" t="s">
        <v>41</v>
      </c>
      <c r="F23" s="2">
        <f>F21*F22*2/3*0.0000000000000023</f>
        <v>6.1333333333333325E-15</v>
      </c>
      <c r="G23" s="2">
        <f>G21*G22*2/3*0.0000000000000023</f>
        <v>2.2999999999999999E-12</v>
      </c>
    </row>
    <row r="24" spans="1:7" x14ac:dyDescent="0.25">
      <c r="A24" s="9"/>
      <c r="B24" s="9"/>
      <c r="C24" s="9"/>
    </row>
    <row r="26" spans="1:7" ht="15.75" thickBot="1" x14ac:dyDescent="0.3">
      <c r="A26" s="41" t="s">
        <v>56</v>
      </c>
      <c r="B26" s="41"/>
      <c r="C26" s="41"/>
    </row>
    <row r="27" spans="1:7" x14ac:dyDescent="0.25">
      <c r="A27" s="22" t="s">
        <v>43</v>
      </c>
      <c r="B27" s="23"/>
      <c r="C27" s="26"/>
      <c r="D27" s="26"/>
      <c r="E27" s="26"/>
      <c r="F27" s="3"/>
    </row>
    <row r="28" spans="1:7" x14ac:dyDescent="0.25">
      <c r="A28" s="14" t="s">
        <v>44</v>
      </c>
      <c r="B28" s="6">
        <f>(B39*B40/(B39+B40))   *   (-B44*B41*B42/(B41+B42))   *   (-B45/B46)   *   (B47*20000/(B47*20000 + 1))</f>
        <v>45878.816642936239</v>
      </c>
      <c r="C28" s="6">
        <f t="shared" ref="C28:F28" si="1">(C39*C40/(C39+C40))   *   (-C44*C41*C42/(C41+C42))   *   (-C45/C46)   *   (C47*20000/(C47*20000 + 1))</f>
        <v>33134.700908787287</v>
      </c>
      <c r="D28" s="6" t="e">
        <f t="shared" si="1"/>
        <v>#DIV/0!</v>
      </c>
      <c r="E28" s="6" t="e">
        <f t="shared" si="1"/>
        <v>#DIV/0!</v>
      </c>
      <c r="F28" s="4" t="e">
        <f t="shared" si="1"/>
        <v>#DIV/0!</v>
      </c>
    </row>
    <row r="29" spans="1:7" x14ac:dyDescent="0.25">
      <c r="A29" s="14" t="s">
        <v>45</v>
      </c>
      <c r="B29" s="10">
        <f>1/(SUM(B58:B62) * 2 * 3.14159)</f>
        <v>17855332.42198291</v>
      </c>
      <c r="C29" s="10">
        <f t="shared" ref="C29:F29" si="2">1/(2*3.14159)*1/(   (0.00000000000022 + C48)/C43   +   (C39*C40*C49/(C39+C40))   +   (C41*C42*C50)/(C41+C42)   +   (C51+C52*(1+C47*20000))/C46   +   20000*(0.00000000000025+C52*(1+1/(20000*C47)))/(1+20000*C47))</f>
        <v>111088058.04342037</v>
      </c>
      <c r="D29" s="10" t="e">
        <f t="shared" si="2"/>
        <v>#DIV/0!</v>
      </c>
      <c r="E29" s="10" t="e">
        <f t="shared" si="2"/>
        <v>#DIV/0!</v>
      </c>
      <c r="F29" s="7" t="e">
        <f t="shared" si="2"/>
        <v>#DIV/0!</v>
      </c>
    </row>
    <row r="30" spans="1:7" ht="15.75" thickBot="1" x14ac:dyDescent="0.3">
      <c r="A30" s="15" t="s">
        <v>62</v>
      </c>
      <c r="B30" s="11"/>
      <c r="C30" s="11"/>
      <c r="D30" s="11"/>
      <c r="E30" s="11"/>
      <c r="F30" s="5"/>
    </row>
    <row r="31" spans="1:7" x14ac:dyDescent="0.25">
      <c r="A31" s="24" t="s">
        <v>63</v>
      </c>
      <c r="B31" s="23"/>
      <c r="C31" s="26"/>
      <c r="D31" s="26"/>
      <c r="E31" s="26"/>
      <c r="F31" s="3"/>
    </row>
    <row r="32" spans="1:7" x14ac:dyDescent="0.25">
      <c r="A32" s="16" t="s">
        <v>64</v>
      </c>
      <c r="B32" s="6">
        <f>IF(B40/B39&lt;=4, 1, 0)</f>
        <v>1</v>
      </c>
      <c r="C32" s="6">
        <f t="shared" ref="C32:F32" si="3">IF(C40/C39&lt;=4, 1, 0)</f>
        <v>1</v>
      </c>
      <c r="D32" s="6" t="e">
        <f t="shared" si="3"/>
        <v>#DIV/0!</v>
      </c>
      <c r="E32" s="6" t="e">
        <f t="shared" si="3"/>
        <v>#DIV/0!</v>
      </c>
      <c r="F32" s="4" t="e">
        <f t="shared" si="3"/>
        <v>#DIV/0!</v>
      </c>
    </row>
    <row r="33" spans="1:6" x14ac:dyDescent="0.25">
      <c r="A33" s="16" t="s">
        <v>65</v>
      </c>
      <c r="B33" s="6">
        <f>IF(B41/B42&lt;=4, 1, 0)</f>
        <v>1</v>
      </c>
      <c r="C33" s="6">
        <f t="shared" ref="C33:F33" si="4">IF(C41/C42&lt;=4, 1, 0)</f>
        <v>1</v>
      </c>
      <c r="D33" s="6" t="e">
        <f t="shared" si="4"/>
        <v>#DIV/0!</v>
      </c>
      <c r="E33" s="6" t="e">
        <f t="shared" si="4"/>
        <v>#DIV/0!</v>
      </c>
      <c r="F33" s="4" t="e">
        <f t="shared" si="4"/>
        <v>#DIV/0!</v>
      </c>
    </row>
    <row r="34" spans="1:6" x14ac:dyDescent="0.25">
      <c r="A34" s="16"/>
      <c r="B34" s="6"/>
      <c r="C34" s="6"/>
      <c r="D34" s="6"/>
      <c r="E34" s="6"/>
      <c r="F34" s="4"/>
    </row>
    <row r="35" spans="1:6" x14ac:dyDescent="0.25">
      <c r="A35" s="16"/>
      <c r="B35" s="6"/>
      <c r="C35" s="6"/>
      <c r="D35" s="6"/>
      <c r="E35" s="6"/>
      <c r="F35" s="4"/>
    </row>
    <row r="36" spans="1:6" x14ac:dyDescent="0.25">
      <c r="A36" s="16"/>
      <c r="B36" s="6"/>
      <c r="C36" s="6"/>
      <c r="D36" s="6"/>
      <c r="E36" s="6"/>
      <c r="F36" s="4"/>
    </row>
    <row r="37" spans="1:6" ht="15.75" thickBot="1" x14ac:dyDescent="0.3">
      <c r="A37" s="17"/>
      <c r="B37" s="11"/>
      <c r="C37" s="11"/>
      <c r="D37" s="11"/>
      <c r="E37" s="11"/>
      <c r="F37" s="5"/>
    </row>
    <row r="38" spans="1:6" x14ac:dyDescent="0.25">
      <c r="A38" s="24" t="s">
        <v>66</v>
      </c>
      <c r="B38" s="25"/>
      <c r="C38" s="26"/>
      <c r="D38" s="26"/>
      <c r="E38" s="26"/>
      <c r="F38" s="3"/>
    </row>
    <row r="39" spans="1:6" x14ac:dyDescent="0.25">
      <c r="A39" s="18" t="s">
        <v>46</v>
      </c>
      <c r="B39" s="6">
        <v>10000</v>
      </c>
      <c r="C39" s="6">
        <v>6500</v>
      </c>
      <c r="D39" s="6"/>
      <c r="E39" s="6"/>
      <c r="F39" s="4"/>
    </row>
    <row r="40" spans="1:6" x14ac:dyDescent="0.25">
      <c r="A40" s="18" t="s">
        <v>47</v>
      </c>
      <c r="B40" s="6">
        <v>25000</v>
      </c>
      <c r="C40" s="6">
        <v>25000</v>
      </c>
      <c r="D40" s="6"/>
      <c r="E40" s="6"/>
      <c r="F40" s="4"/>
    </row>
    <row r="41" spans="1:6" x14ac:dyDescent="0.25">
      <c r="A41" s="18" t="s">
        <v>48</v>
      </c>
      <c r="B41" s="6">
        <v>25000</v>
      </c>
      <c r="C41" s="6">
        <v>25000</v>
      </c>
      <c r="D41" s="6"/>
      <c r="E41" s="6"/>
      <c r="F41" s="4"/>
    </row>
    <row r="42" spans="1:6" x14ac:dyDescent="0.25">
      <c r="A42" s="18" t="s">
        <v>49</v>
      </c>
      <c r="B42" s="6">
        <v>7250</v>
      </c>
      <c r="C42" s="6">
        <v>7250</v>
      </c>
      <c r="D42" s="6"/>
      <c r="E42" s="6"/>
      <c r="F42" s="4"/>
    </row>
    <row r="43" spans="1:6" x14ac:dyDescent="0.25">
      <c r="A43" s="18" t="s">
        <v>50</v>
      </c>
      <c r="B43" s="6">
        <v>1E-3</v>
      </c>
      <c r="C43" s="6">
        <v>1E-3</v>
      </c>
      <c r="D43" s="6"/>
      <c r="E43" s="6"/>
      <c r="F43" s="4"/>
    </row>
    <row r="44" spans="1:6" x14ac:dyDescent="0.25">
      <c r="A44" s="18" t="s">
        <v>51</v>
      </c>
      <c r="B44" s="6">
        <v>1E-3</v>
      </c>
      <c r="C44" s="6">
        <v>1E-3</v>
      </c>
      <c r="D44" s="6"/>
      <c r="E44" s="6"/>
      <c r="F44" s="4"/>
    </row>
    <row r="45" spans="1:6" x14ac:dyDescent="0.25">
      <c r="A45" s="18" t="s">
        <v>52</v>
      </c>
      <c r="B45" s="6">
        <v>1.1999999999999999E-3</v>
      </c>
      <c r="C45" s="6">
        <v>1.1999999999999999E-3</v>
      </c>
      <c r="D45" s="6"/>
      <c r="E45" s="6"/>
      <c r="F45" s="4"/>
    </row>
    <row r="46" spans="1:6" x14ac:dyDescent="0.25">
      <c r="A46" s="18" t="s">
        <v>53</v>
      </c>
      <c r="B46" s="6">
        <v>1E-3</v>
      </c>
      <c r="C46" s="6">
        <v>1E-3</v>
      </c>
      <c r="D46" s="6"/>
      <c r="E46" s="6"/>
      <c r="F46" s="4"/>
    </row>
    <row r="47" spans="1:6" x14ac:dyDescent="0.25">
      <c r="A47" s="18" t="s">
        <v>54</v>
      </c>
      <c r="B47" s="6">
        <v>1E-3</v>
      </c>
      <c r="C47" s="6">
        <v>1E-3</v>
      </c>
      <c r="D47" s="6"/>
      <c r="E47" s="6"/>
      <c r="F47" s="4"/>
    </row>
    <row r="48" spans="1:6" x14ac:dyDescent="0.25">
      <c r="A48" s="18" t="s">
        <v>57</v>
      </c>
      <c r="B48" s="6">
        <v>2.2999999999999998E-13</v>
      </c>
      <c r="C48" s="6">
        <v>6.0999999999999997E-15</v>
      </c>
      <c r="D48" s="6"/>
      <c r="E48" s="6"/>
      <c r="F48" s="4"/>
    </row>
    <row r="49" spans="1:6" x14ac:dyDescent="0.25">
      <c r="A49" s="18" t="s">
        <v>58</v>
      </c>
      <c r="B49" s="12">
        <v>2.2999999999999998E-13</v>
      </c>
      <c r="C49" s="12">
        <v>6.0999999999999997E-15</v>
      </c>
      <c r="D49" s="6"/>
      <c r="E49" s="6"/>
      <c r="F49" s="4"/>
    </row>
    <row r="50" spans="1:6" x14ac:dyDescent="0.25">
      <c r="A50" s="18" t="s">
        <v>59</v>
      </c>
      <c r="B50" s="12">
        <v>2.2999999999999998E-13</v>
      </c>
      <c r="C50" s="12">
        <v>6.1000000000000005E-14</v>
      </c>
      <c r="D50" s="6"/>
      <c r="E50" s="6"/>
      <c r="F50" s="4"/>
    </row>
    <row r="51" spans="1:6" x14ac:dyDescent="0.25">
      <c r="A51" s="18" t="s">
        <v>60</v>
      </c>
      <c r="B51" s="12">
        <v>2.2999999999999998E-13</v>
      </c>
      <c r="C51" s="12">
        <v>4.5999999999999996E-13</v>
      </c>
      <c r="D51" s="6"/>
      <c r="E51" s="6"/>
      <c r="F51" s="4"/>
    </row>
    <row r="52" spans="1:6" ht="15.75" thickBot="1" x14ac:dyDescent="0.3">
      <c r="A52" s="19" t="s">
        <v>61</v>
      </c>
      <c r="B52" s="13">
        <v>2.2999999999999998E-13</v>
      </c>
      <c r="C52" s="13">
        <v>6.0999999999999997E-15</v>
      </c>
      <c r="D52" s="11"/>
      <c r="E52" s="11"/>
      <c r="F52" s="5"/>
    </row>
    <row r="53" spans="1:6" x14ac:dyDescent="0.25">
      <c r="A53" s="27" t="s">
        <v>67</v>
      </c>
      <c r="B53" s="25"/>
      <c r="C53" s="26"/>
      <c r="D53" s="26"/>
      <c r="E53" s="26"/>
      <c r="F53" s="3"/>
    </row>
    <row r="54" spans="1:6" x14ac:dyDescent="0.25">
      <c r="A54" s="18" t="s">
        <v>68</v>
      </c>
      <c r="B54" s="6">
        <f>B48*3/2/0.0000000000000023</f>
        <v>149.99999999999997</v>
      </c>
      <c r="C54" s="6"/>
      <c r="D54" s="6"/>
      <c r="E54" s="6"/>
      <c r="F54" s="4"/>
    </row>
    <row r="55" spans="1:6" x14ac:dyDescent="0.25">
      <c r="A55" s="18" t="s">
        <v>69</v>
      </c>
      <c r="B55" s="6">
        <f t="shared" ref="B55:B57" si="5">B49*3/2/0.0000000000000023</f>
        <v>149.99999999999997</v>
      </c>
      <c r="C55" s="6"/>
      <c r="D55" s="6"/>
      <c r="E55" s="6"/>
      <c r="F55" s="4"/>
    </row>
    <row r="56" spans="1:6" x14ac:dyDescent="0.25">
      <c r="A56" s="18" t="s">
        <v>70</v>
      </c>
      <c r="B56" s="6">
        <f t="shared" si="5"/>
        <v>149.99999999999997</v>
      </c>
      <c r="C56" s="6"/>
      <c r="D56" s="6"/>
      <c r="E56" s="6"/>
      <c r="F56" s="4"/>
    </row>
    <row r="57" spans="1:6" x14ac:dyDescent="0.25">
      <c r="A57" s="18" t="s">
        <v>71</v>
      </c>
      <c r="B57" s="6">
        <f t="shared" si="5"/>
        <v>149.99999999999997</v>
      </c>
      <c r="C57" s="6"/>
      <c r="D57" s="6"/>
      <c r="E57" s="6"/>
      <c r="F57" s="4"/>
    </row>
    <row r="58" spans="1:6" x14ac:dyDescent="0.25">
      <c r="A58" s="20" t="s">
        <v>75</v>
      </c>
      <c r="B58" s="21">
        <f>(0.00000000000022 + B48)/B43</f>
        <v>4.5E-10</v>
      </c>
      <c r="C58" s="6"/>
      <c r="D58" s="6"/>
      <c r="E58" s="6"/>
      <c r="F58" s="4"/>
    </row>
    <row r="59" spans="1:6" x14ac:dyDescent="0.25">
      <c r="A59" s="20" t="s">
        <v>76</v>
      </c>
      <c r="B59" s="21">
        <f>(B39*B40*B49/(B39+B40))</f>
        <v>1.6428571428571428E-9</v>
      </c>
      <c r="C59" s="6"/>
      <c r="D59" s="6"/>
      <c r="E59" s="6"/>
      <c r="F59" s="4"/>
    </row>
    <row r="60" spans="1:6" x14ac:dyDescent="0.25">
      <c r="A60" s="20" t="s">
        <v>77</v>
      </c>
      <c r="B60" s="6">
        <f>(B41*B42*B50)/(B41+B42)</f>
        <v>1.2926356589147286E-9</v>
      </c>
      <c r="C60" s="6"/>
      <c r="D60" s="6"/>
      <c r="E60" s="6"/>
      <c r="F60" s="4"/>
    </row>
    <row r="61" spans="1:6" x14ac:dyDescent="0.25">
      <c r="A61" s="20" t="s">
        <v>78</v>
      </c>
      <c r="B61" s="6">
        <f>(B51+B52*(1+B47*20000))/B46</f>
        <v>5.0599999999999987E-9</v>
      </c>
      <c r="C61" s="6"/>
      <c r="D61" s="6"/>
      <c r="E61" s="6"/>
      <c r="F61" s="4"/>
    </row>
    <row r="62" spans="1:6" x14ac:dyDescent="0.25">
      <c r="A62" s="20" t="s">
        <v>83</v>
      </c>
      <c r="B62" s="6">
        <f xml:space="preserve"> 20000*(0.00000000000025+B52*(1+1/(20000*B47)))/(1+20000*B47)</f>
        <v>4.6809523809523803E-10</v>
      </c>
      <c r="C62" s="6"/>
      <c r="D62" s="6"/>
      <c r="E62" s="6"/>
      <c r="F62" s="4"/>
    </row>
    <row r="63" spans="1:6" x14ac:dyDescent="0.25">
      <c r="A63" s="20" t="s">
        <v>79</v>
      </c>
      <c r="B63" s="28">
        <f>B58/SUM(B$58:B$62)</f>
        <v>5.0484720405219563E-2</v>
      </c>
      <c r="C63" s="6"/>
      <c r="D63" s="6"/>
      <c r="E63" s="6"/>
      <c r="F63" s="4"/>
    </row>
    <row r="64" spans="1:6" x14ac:dyDescent="0.25">
      <c r="A64" s="20" t="s">
        <v>80</v>
      </c>
      <c r="B64" s="28">
        <f t="shared" ref="B64:B67" si="6">B59/SUM(B$58:B$62)</f>
        <v>0.18430929671746824</v>
      </c>
      <c r="C64" s="6"/>
      <c r="D64" s="6"/>
      <c r="E64" s="6"/>
      <c r="F64" s="4"/>
    </row>
    <row r="65" spans="1:6" x14ac:dyDescent="0.25">
      <c r="A65" s="20" t="s">
        <v>81</v>
      </c>
      <c r="B65" s="28">
        <f t="shared" si="6"/>
        <v>0.14501855516917075</v>
      </c>
      <c r="C65" s="6"/>
      <c r="D65" s="6"/>
      <c r="E65" s="6"/>
      <c r="F65" s="4"/>
    </row>
    <row r="66" spans="1:6" x14ac:dyDescent="0.25">
      <c r="A66" s="20" t="s">
        <v>82</v>
      </c>
      <c r="B66" s="28">
        <f t="shared" si="6"/>
        <v>0.56767263388980205</v>
      </c>
      <c r="C66" s="6"/>
      <c r="D66" s="6"/>
      <c r="E66" s="6"/>
      <c r="F66" s="4"/>
    </row>
    <row r="67" spans="1:6" ht="15.75" thickBot="1" x14ac:dyDescent="0.3">
      <c r="A67" s="29" t="s">
        <v>84</v>
      </c>
      <c r="B67" s="30">
        <f t="shared" si="6"/>
        <v>5.2514793818339497E-2</v>
      </c>
      <c r="C67" s="11"/>
      <c r="D67" s="11"/>
      <c r="E67" s="11"/>
      <c r="F67" s="5"/>
    </row>
  </sheetData>
  <mergeCells count="3">
    <mergeCell ref="E20:G20"/>
    <mergeCell ref="A20:C20"/>
    <mergeCell ref="A26:C26"/>
  </mergeCells>
  <conditionalFormatting sqref="B28:F28">
    <cfRule type="expression" dxfId="5" priority="5">
      <formula>B28&lt;30000</formula>
    </cfRule>
    <cfRule type="expression" dxfId="4" priority="6">
      <formula>B28&gt;30000</formula>
    </cfRule>
  </conditionalFormatting>
  <conditionalFormatting sqref="B29:F29">
    <cfRule type="expression" dxfId="3" priority="3">
      <formula>B29&lt;90000000</formula>
    </cfRule>
    <cfRule type="expression" dxfId="2" priority="4">
      <formula>B29&gt;90000000</formula>
    </cfRule>
  </conditionalFormatting>
  <conditionalFormatting sqref="B30:F30">
    <cfRule type="expression" dxfId="1" priority="1">
      <formula>B30&gt;0.002</formula>
    </cfRule>
    <cfRule type="expression" dxfId="0" priority="2">
      <formula>B30&lt;0.002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4" workbookViewId="0">
      <selection activeCell="B31" sqref="B31"/>
    </sheetView>
  </sheetViews>
  <sheetFormatPr defaultRowHeight="15" x14ac:dyDescent="0.25"/>
  <cols>
    <col min="2" max="2" width="16.28515625" customWidth="1"/>
    <col min="3" max="3" width="13.140625" customWidth="1"/>
    <col min="7" max="7" width="9" customWidth="1"/>
    <col min="14" max="14" width="15.28515625" customWidth="1"/>
    <col min="15" max="15" width="14.42578125" customWidth="1"/>
    <col min="16" max="16" width="15.7109375" customWidth="1"/>
  </cols>
  <sheetData>
    <row r="1" spans="1:20" x14ac:dyDescent="0.25">
      <c r="A1" t="s">
        <v>90</v>
      </c>
      <c r="B1" t="s">
        <v>85</v>
      </c>
      <c r="C1" t="s">
        <v>86</v>
      </c>
      <c r="D1" t="s">
        <v>95</v>
      </c>
      <c r="E1" t="s">
        <v>41</v>
      </c>
      <c r="F1" t="s">
        <v>87</v>
      </c>
      <c r="G1" t="s">
        <v>88</v>
      </c>
      <c r="H1" t="s">
        <v>39</v>
      </c>
      <c r="I1" t="s">
        <v>89</v>
      </c>
      <c r="J1" t="s">
        <v>73</v>
      </c>
      <c r="K1" t="s">
        <v>74</v>
      </c>
      <c r="L1" t="s">
        <v>91</v>
      </c>
      <c r="M1" t="s">
        <v>101</v>
      </c>
      <c r="N1" t="s">
        <v>96</v>
      </c>
      <c r="O1" t="s">
        <v>97</v>
      </c>
      <c r="P1" t="s">
        <v>100</v>
      </c>
      <c r="Q1" t="s">
        <v>106</v>
      </c>
      <c r="R1" t="s">
        <v>107</v>
      </c>
      <c r="S1" t="s">
        <v>108</v>
      </c>
      <c r="T1" t="s">
        <v>109</v>
      </c>
    </row>
    <row r="2" spans="1:20" x14ac:dyDescent="0.25">
      <c r="A2">
        <v>0.5</v>
      </c>
      <c r="B2" s="31">
        <v>2.4999999999999999E-13</v>
      </c>
      <c r="C2" s="31">
        <v>110000000</v>
      </c>
      <c r="D2" s="31">
        <f>1/(2*3.1415*C2)</f>
        <v>1.4469057919638852E-9</v>
      </c>
      <c r="E2" s="31">
        <f>B2/D2</f>
        <v>1.7278249999999999E-4</v>
      </c>
      <c r="F2">
        <v>8</v>
      </c>
      <c r="G2" s="31">
        <f>E2/F2</f>
        <v>2.1597812499999999E-5</v>
      </c>
      <c r="H2" s="31">
        <f>(2*G2)/E2</f>
        <v>0.25</v>
      </c>
      <c r="I2" s="31">
        <f>H2+A2</f>
        <v>0.75</v>
      </c>
      <c r="J2" s="31">
        <f>(2*G2*K2)/(L2*H2*H2)</f>
        <v>1.3822599999999999E-5</v>
      </c>
      <c r="K2" s="31">
        <v>9.9999999999999995E-7</v>
      </c>
      <c r="L2" s="31">
        <v>5.0000000000000002E-5</v>
      </c>
      <c r="M2" t="s">
        <v>92</v>
      </c>
      <c r="P2" s="31">
        <v>2.2E-13</v>
      </c>
      <c r="Q2" s="31">
        <v>4.0000000000000002E-4</v>
      </c>
      <c r="R2" s="31">
        <f>0.3*Q2</f>
        <v>1.2E-4</v>
      </c>
      <c r="S2" s="31">
        <f>Q2-R2</f>
        <v>2.8000000000000003E-4</v>
      </c>
      <c r="T2">
        <v>2.5</v>
      </c>
    </row>
    <row r="3" spans="1:20" x14ac:dyDescent="0.25">
      <c r="E3" s="31"/>
      <c r="G3" s="31">
        <f>G2</f>
        <v>2.1597812499999999E-5</v>
      </c>
      <c r="H3" s="31">
        <f>SQRT((2*G3)/L3*(J3/K3))</f>
        <v>0.92946893439210754</v>
      </c>
      <c r="I3" s="31"/>
      <c r="J3" s="31">
        <v>1.9999999999999999E-6</v>
      </c>
      <c r="K3" s="31">
        <v>1.9999999999999999E-6</v>
      </c>
      <c r="L3" s="31">
        <v>5.0000000000000002E-5</v>
      </c>
      <c r="M3" t="s">
        <v>111</v>
      </c>
    </row>
    <row r="4" spans="1:20" x14ac:dyDescent="0.25">
      <c r="C4" s="31"/>
      <c r="D4" s="31"/>
      <c r="G4" s="31"/>
      <c r="H4" s="31"/>
      <c r="K4" s="31"/>
      <c r="L4" s="31"/>
    </row>
    <row r="5" spans="1:20" x14ac:dyDescent="0.25">
      <c r="E5" s="31">
        <f>P2*O5</f>
        <v>4.0333333333333334E-4</v>
      </c>
      <c r="F5">
        <v>3</v>
      </c>
      <c r="G5" s="31">
        <f>E5/F5</f>
        <v>1.3444444444444444E-4</v>
      </c>
      <c r="H5" s="31">
        <f>(2*G5)/E5</f>
        <v>0.66666666666666663</v>
      </c>
      <c r="J5" s="31">
        <f>(2*G5*K5)/(L5*H5*H5)</f>
        <v>1.2099999999999999E-5</v>
      </c>
      <c r="K5" s="31">
        <v>9.9999999999999995E-7</v>
      </c>
      <c r="L5" s="31">
        <v>5.0000000000000002E-5</v>
      </c>
      <c r="M5" t="s">
        <v>99</v>
      </c>
      <c r="O5" s="31">
        <f>C2/0.06</f>
        <v>1833333333.3333335</v>
      </c>
    </row>
    <row r="6" spans="1:20" x14ac:dyDescent="0.25">
      <c r="G6" s="31">
        <f>G5</f>
        <v>1.3444444444444444E-4</v>
      </c>
      <c r="H6" s="31">
        <f>H3</f>
        <v>0.92946893439210754</v>
      </c>
      <c r="J6" s="31">
        <f>(2*G6*K6)/(L6*H6*H6)</f>
        <v>1.8674730754947213E-5</v>
      </c>
      <c r="K6" s="31">
        <v>3.0000000000000001E-6</v>
      </c>
      <c r="L6" s="31">
        <v>5.0000000000000002E-5</v>
      </c>
      <c r="M6" t="s">
        <v>98</v>
      </c>
    </row>
    <row r="7" spans="1:20" x14ac:dyDescent="0.25">
      <c r="G7" s="31">
        <f>G5</f>
        <v>1.3444444444444444E-4</v>
      </c>
      <c r="H7" s="31">
        <f>SQRT((2*G7)/L7*(J7/K7))</f>
        <v>4.6380072349136228</v>
      </c>
      <c r="J7" s="31">
        <v>1.9999999999999999E-6</v>
      </c>
      <c r="K7" s="31">
        <v>9.9999999999999995E-7</v>
      </c>
      <c r="L7" s="31">
        <v>2.5000000000000001E-5</v>
      </c>
      <c r="M7" t="s">
        <v>102</v>
      </c>
    </row>
    <row r="8" spans="1:20" x14ac:dyDescent="0.25">
      <c r="G8" s="31">
        <f>0.5*L8*(J8/K8)*H8*H8</f>
        <v>6.4793437500000001E-5</v>
      </c>
      <c r="H8" s="31">
        <f>H3</f>
        <v>0.92946893439210754</v>
      </c>
      <c r="J8" s="31">
        <v>6.0000000000000002E-6</v>
      </c>
      <c r="K8" s="31">
        <v>1.9999999999999999E-6</v>
      </c>
      <c r="L8" s="31">
        <v>5.0000000000000002E-5</v>
      </c>
      <c r="M8" t="s">
        <v>104</v>
      </c>
    </row>
    <row r="9" spans="1:20" x14ac:dyDescent="0.25">
      <c r="E9" s="31">
        <f>F9*G9</f>
        <v>3.2396718749999999E-4</v>
      </c>
      <c r="F9">
        <v>5</v>
      </c>
      <c r="G9" s="31">
        <f>G8</f>
        <v>6.4793437500000001E-5</v>
      </c>
      <c r="H9" s="31">
        <f>(2*G9)/E9</f>
        <v>0.4</v>
      </c>
      <c r="J9" s="31">
        <f>(2*G9*K9)/(L9*H9*H9)</f>
        <v>3.2396718749999994E-5</v>
      </c>
      <c r="K9" s="31">
        <v>9.9999999999999995E-7</v>
      </c>
      <c r="L9" s="31">
        <v>2.5000000000000001E-5</v>
      </c>
      <c r="M9" t="s">
        <v>103</v>
      </c>
    </row>
    <row r="10" spans="1:20" x14ac:dyDescent="0.25">
      <c r="E10" s="31">
        <f>E9</f>
        <v>3.2396718749999999E-4</v>
      </c>
      <c r="G10" s="31">
        <f>G9</f>
        <v>6.4793437500000001E-5</v>
      </c>
      <c r="H10" s="31">
        <f>(2*G10)/E10</f>
        <v>0.4</v>
      </c>
      <c r="J10" s="31">
        <f>(2*G10*K10)/(L10*H10*H10)</f>
        <v>3.2396718749999994E-5</v>
      </c>
      <c r="K10" s="31">
        <v>9.9999999999999995E-7</v>
      </c>
      <c r="L10" s="31">
        <v>2.5000000000000001E-5</v>
      </c>
      <c r="M10" t="s">
        <v>105</v>
      </c>
    </row>
    <row r="11" spans="1:20" x14ac:dyDescent="0.25">
      <c r="G11" s="31">
        <f>S2-G2-G9-G7</f>
        <v>5.9164305555555607E-5</v>
      </c>
      <c r="H11" s="31">
        <f>T2-I2-A2</f>
        <v>1.25</v>
      </c>
      <c r="J11" s="31">
        <f>(2*G11*K11)/(L11*H11*H11)</f>
        <v>3.0292124444444471E-6</v>
      </c>
      <c r="K11" s="31">
        <v>9.9999999999999995E-7</v>
      </c>
      <c r="L11" s="31">
        <v>2.5000000000000001E-5</v>
      </c>
      <c r="M11" t="s">
        <v>93</v>
      </c>
    </row>
    <row r="12" spans="1:20" x14ac:dyDescent="0.25">
      <c r="E12" s="31">
        <f>F12*G12</f>
        <v>2.9582152777777801E-4</v>
      </c>
      <c r="F12">
        <v>5</v>
      </c>
      <c r="G12" s="31">
        <f>G11</f>
        <v>5.9164305555555607E-5</v>
      </c>
      <c r="H12" s="31">
        <f>(2*G12)/E12</f>
        <v>0.4</v>
      </c>
      <c r="J12" s="31">
        <f>(2*G12*K12)/(L12*H12*H12)</f>
        <v>1.47910763888889E-5</v>
      </c>
      <c r="K12" s="31">
        <v>9.9999999999999995E-7</v>
      </c>
      <c r="L12" s="31">
        <v>5.0000000000000002E-5</v>
      </c>
      <c r="M12" t="s">
        <v>110</v>
      </c>
    </row>
    <row r="19" spans="1:2" x14ac:dyDescent="0.25">
      <c r="A19" t="s">
        <v>113</v>
      </c>
      <c r="B19" t="s">
        <v>112</v>
      </c>
    </row>
    <row r="20" spans="1:2" x14ac:dyDescent="0.25">
      <c r="A20" s="31">
        <f>2.5-A2 - H7</f>
        <v>-2.6380072349136228</v>
      </c>
      <c r="B20" s="31">
        <f>-2.5+H6+A2</f>
        <v>-1.0705310656078924</v>
      </c>
    </row>
    <row r="22" spans="1:2" x14ac:dyDescent="0.25">
      <c r="A22" t="s">
        <v>161</v>
      </c>
      <c r="B22">
        <v>1.2</v>
      </c>
    </row>
    <row r="23" spans="1:2" x14ac:dyDescent="0.25">
      <c r="A23" t="s">
        <v>90</v>
      </c>
      <c r="B23">
        <v>0.5</v>
      </c>
    </row>
    <row r="24" spans="1:2" x14ac:dyDescent="0.25">
      <c r="A24" t="s">
        <v>156</v>
      </c>
      <c r="B24" s="31">
        <v>5.0000000000000002E-5</v>
      </c>
    </row>
    <row r="25" spans="1:2" x14ac:dyDescent="0.25">
      <c r="A25" t="s">
        <v>157</v>
      </c>
      <c r="B25" s="31">
        <v>2.5000000000000001E-5</v>
      </c>
    </row>
    <row r="26" spans="1:2" x14ac:dyDescent="0.25">
      <c r="A26" t="s">
        <v>109</v>
      </c>
      <c r="B26">
        <v>2.5</v>
      </c>
    </row>
    <row r="27" spans="1:2" x14ac:dyDescent="0.25">
      <c r="A27" t="s">
        <v>158</v>
      </c>
      <c r="B27" s="31">
        <v>-2.5</v>
      </c>
    </row>
    <row r="28" spans="1:2" x14ac:dyDescent="0.25">
      <c r="A28" t="s">
        <v>160</v>
      </c>
      <c r="B28" s="31">
        <f>0.5*B25*1*POWER(B29, 2)</f>
        <v>8.0000000000000013E-6</v>
      </c>
    </row>
    <row r="29" spans="1:2" x14ac:dyDescent="0.25">
      <c r="A29" t="s">
        <v>162</v>
      </c>
      <c r="B29" s="31">
        <f>B26-B22-B23</f>
        <v>0.8</v>
      </c>
    </row>
    <row r="30" spans="1:2" x14ac:dyDescent="0.25">
      <c r="A30" t="s">
        <v>163</v>
      </c>
      <c r="B30" s="31">
        <f>SQRT(B28*2/B24)</f>
        <v>0.56568542494923812</v>
      </c>
    </row>
    <row r="31" spans="1:2" x14ac:dyDescent="0.25">
      <c r="A31" t="s">
        <v>159</v>
      </c>
      <c r="B31" s="31">
        <f>B30-B27-B23</f>
        <v>2.5656854249492382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91</v>
      </c>
      <c r="B1" t="s">
        <v>90</v>
      </c>
      <c r="C1" t="s">
        <v>73</v>
      </c>
      <c r="D1" t="s">
        <v>74</v>
      </c>
      <c r="E1" t="s">
        <v>94</v>
      </c>
      <c r="F1" t="s">
        <v>39</v>
      </c>
    </row>
    <row r="2" spans="1:6" x14ac:dyDescent="0.25">
      <c r="A2" s="31">
        <v>2.5000000000000001E-5</v>
      </c>
      <c r="B2">
        <v>0.5</v>
      </c>
      <c r="C2" s="31">
        <v>2.1999999999999999E-5</v>
      </c>
      <c r="D2" s="31">
        <v>1.9999999999999999E-6</v>
      </c>
      <c r="E2" s="31">
        <f>0.5*A2*(C2/D2)*F2</f>
        <v>9.6937500000000005E-5</v>
      </c>
      <c r="F2" s="31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D1" workbookViewId="0">
      <selection activeCell="L14" sqref="L14"/>
    </sheetView>
  </sheetViews>
  <sheetFormatPr defaultRowHeight="15" x14ac:dyDescent="0.25"/>
  <cols>
    <col min="1" max="1" width="15.85546875" customWidth="1"/>
    <col min="5" max="5" width="17.7109375" customWidth="1"/>
    <col min="6" max="6" width="12.85546875" customWidth="1"/>
    <col min="7" max="7" width="11.140625" customWidth="1"/>
    <col min="8" max="8" width="13" customWidth="1"/>
    <col min="9" max="9" width="10.7109375" customWidth="1"/>
  </cols>
  <sheetData>
    <row r="1" spans="1:22" x14ac:dyDescent="0.25">
      <c r="A1" t="s">
        <v>114</v>
      </c>
      <c r="B1" t="s">
        <v>116</v>
      </c>
      <c r="C1" t="s">
        <v>117</v>
      </c>
      <c r="D1" t="s">
        <v>115</v>
      </c>
      <c r="E1" t="s">
        <v>118</v>
      </c>
      <c r="F1" t="s">
        <v>119</v>
      </c>
    </row>
    <row r="2" spans="1:22" x14ac:dyDescent="0.25">
      <c r="A2" s="31">
        <v>2E-3</v>
      </c>
      <c r="B2">
        <v>2.5</v>
      </c>
      <c r="C2">
        <v>-2.5</v>
      </c>
      <c r="D2" s="31">
        <f>((B2*B2)/(A5+B5))-((C2*C2)/(C5+D5))</f>
        <v>2.1245916700694161E-4</v>
      </c>
      <c r="E2" s="31">
        <f>A2-D2</f>
        <v>1.7875408329930584E-3</v>
      </c>
      <c r="F2" s="31">
        <f>E2/5</f>
        <v>3.5750816659861168E-4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F4" s="32" t="s">
        <v>120</v>
      </c>
      <c r="G4" s="32" t="s">
        <v>6</v>
      </c>
      <c r="M4" t="s">
        <v>125</v>
      </c>
      <c r="N4" t="s">
        <v>126</v>
      </c>
      <c r="O4" t="s">
        <v>127</v>
      </c>
      <c r="P4" t="s">
        <v>128</v>
      </c>
      <c r="Q4" t="s">
        <v>129</v>
      </c>
      <c r="R4" t="s">
        <v>130</v>
      </c>
      <c r="S4" t="s">
        <v>131</v>
      </c>
      <c r="T4" t="s">
        <v>132</v>
      </c>
      <c r="U4" t="s">
        <v>133</v>
      </c>
      <c r="V4" t="s">
        <v>92</v>
      </c>
    </row>
    <row r="5" spans="1:22" x14ac:dyDescent="0.25">
      <c r="A5" s="31">
        <v>9400</v>
      </c>
      <c r="B5" s="31">
        <v>15400</v>
      </c>
      <c r="C5" s="31">
        <v>90000</v>
      </c>
      <c r="D5" s="31">
        <v>68000</v>
      </c>
      <c r="F5" s="33">
        <v>1.8000000000000001E-4</v>
      </c>
      <c r="G5" s="33">
        <f>F5/F13</f>
        <v>0.54462934947049924</v>
      </c>
      <c r="L5" s="32" t="s">
        <v>134</v>
      </c>
      <c r="M5" s="33">
        <v>0.89600000000000002</v>
      </c>
      <c r="N5" s="33">
        <v>0.53669999999999995</v>
      </c>
      <c r="O5" s="33">
        <v>-0.89419999999999999</v>
      </c>
      <c r="P5" s="33">
        <v>-0.78859999999999997</v>
      </c>
      <c r="Q5" s="33">
        <v>-0.73229999999999995</v>
      </c>
      <c r="R5" s="33">
        <v>0.89670000000000005</v>
      </c>
      <c r="S5" s="33">
        <v>0.74439999999999995</v>
      </c>
      <c r="T5" s="33">
        <v>-0.93610000000000004</v>
      </c>
      <c r="U5" s="33">
        <v>0.89670000000000005</v>
      </c>
      <c r="V5" s="33">
        <v>0.14399999999999999</v>
      </c>
    </row>
    <row r="6" spans="1:22" x14ac:dyDescent="0.25">
      <c r="F6" s="32" t="s">
        <v>121</v>
      </c>
      <c r="G6" s="32"/>
      <c r="L6" t="s">
        <v>147</v>
      </c>
      <c r="M6" s="31">
        <v>0.92900000000000005</v>
      </c>
      <c r="N6" s="31">
        <v>0.66700000000000004</v>
      </c>
      <c r="O6" s="37">
        <v>4.6399999999999997</v>
      </c>
      <c r="P6" s="31">
        <v>0.4</v>
      </c>
      <c r="Q6" s="31">
        <v>0.4</v>
      </c>
      <c r="R6" s="31">
        <v>0.92900000000000005</v>
      </c>
      <c r="S6" s="31">
        <v>0.4</v>
      </c>
      <c r="T6" s="36">
        <v>1.25</v>
      </c>
      <c r="U6" s="31">
        <v>0.92900000000000005</v>
      </c>
      <c r="V6" s="31">
        <v>0.25</v>
      </c>
    </row>
    <row r="7" spans="1:22" x14ac:dyDescent="0.25">
      <c r="F7" s="33">
        <v>6.7999999999999999E-5</v>
      </c>
      <c r="G7" s="33">
        <f>F7/F13</f>
        <v>0.20574886535552192</v>
      </c>
      <c r="L7" t="s">
        <v>148</v>
      </c>
      <c r="M7" s="31">
        <f t="shared" ref="M7:V7" si="0">(ABS(M6)-ABS(M5))/ABS(M5)</f>
        <v>3.6830357142857172E-2</v>
      </c>
      <c r="N7" s="31">
        <f t="shared" si="0"/>
        <v>0.24277995155580417</v>
      </c>
      <c r="O7" s="31">
        <f t="shared" si="0"/>
        <v>4.1889957503914106</v>
      </c>
      <c r="P7" s="31">
        <f t="shared" si="0"/>
        <v>-0.49277200101445595</v>
      </c>
      <c r="Q7" s="31">
        <f t="shared" si="0"/>
        <v>-0.45377577495561922</v>
      </c>
      <c r="R7" s="31">
        <f t="shared" si="0"/>
        <v>3.6020965763354514E-2</v>
      </c>
      <c r="S7" s="31">
        <f t="shared" si="0"/>
        <v>-0.46265448683503485</v>
      </c>
      <c r="T7" s="31">
        <f t="shared" si="0"/>
        <v>0.33532742228394397</v>
      </c>
      <c r="U7" s="31">
        <f t="shared" si="0"/>
        <v>3.6020965763354514E-2</v>
      </c>
      <c r="V7" s="31">
        <f t="shared" si="0"/>
        <v>0.73611111111111127</v>
      </c>
    </row>
    <row r="8" spans="1:22" x14ac:dyDescent="0.25">
      <c r="F8" s="32" t="s">
        <v>122</v>
      </c>
      <c r="G8" s="32"/>
      <c r="L8" s="32" t="s">
        <v>146</v>
      </c>
      <c r="M8" s="33">
        <v>4.0299999999999998E-4</v>
      </c>
      <c r="N8" s="33">
        <v>6.7299999999999999E-4</v>
      </c>
      <c r="O8" s="33">
        <v>2.7300000000000002E-4</v>
      </c>
      <c r="P8" s="33">
        <v>1.73E-4</v>
      </c>
      <c r="Q8" s="33">
        <v>1.8599999999999999E-4</v>
      </c>
      <c r="R8" s="33">
        <v>1.4200000000000001E-4</v>
      </c>
      <c r="S8" s="33">
        <v>1E-4</v>
      </c>
      <c r="T8" s="33">
        <v>8.0000000000000007E-5</v>
      </c>
      <c r="U8" s="33">
        <v>1E-4</v>
      </c>
      <c r="V8" s="33">
        <v>5.4500000000000002E-4</v>
      </c>
    </row>
    <row r="9" spans="1:22" x14ac:dyDescent="0.25">
      <c r="F9" s="33">
        <v>3.7499999999999997E-5</v>
      </c>
      <c r="G9" s="33">
        <f>F9/F13</f>
        <v>0.11346444780635399</v>
      </c>
      <c r="L9" t="s">
        <v>149</v>
      </c>
      <c r="N9" s="31">
        <v>4.0299999999999998E-4</v>
      </c>
      <c r="P9" s="31">
        <v>3.2400000000000001E-4</v>
      </c>
      <c r="Q9" s="31">
        <v>3.2400000000000001E-4</v>
      </c>
      <c r="S9" s="31">
        <v>2.9599999999999998E-4</v>
      </c>
      <c r="V9" s="31">
        <v>1.73E-4</v>
      </c>
    </row>
    <row r="10" spans="1:22" x14ac:dyDescent="0.25">
      <c r="F10" s="32" t="s">
        <v>123</v>
      </c>
      <c r="G10" s="32"/>
      <c r="L10" t="s">
        <v>148</v>
      </c>
      <c r="N10" s="31">
        <f>(ABS(N9)-ABS(N8))/ABS(N8)</f>
        <v>-0.40118870728083211</v>
      </c>
      <c r="P10" s="31">
        <f>(ABS(P9)-ABS(P8))/ABS(P8)</f>
        <v>0.8728323699421966</v>
      </c>
      <c r="Q10" s="31">
        <f>(ABS(Q9)-ABS(Q8))/ABS(Q8)</f>
        <v>0.74193548387096786</v>
      </c>
      <c r="S10" s="34">
        <f>(ABS(S9)-ABS(S8))/ABS(S8)</f>
        <v>1.9599999999999997</v>
      </c>
    </row>
    <row r="11" spans="1:22" x14ac:dyDescent="0.25">
      <c r="F11" s="33">
        <v>4.5000000000000003E-5</v>
      </c>
      <c r="G11" s="33">
        <f>F11/F13</f>
        <v>0.13615733736762481</v>
      </c>
      <c r="L11" s="32" t="s">
        <v>152</v>
      </c>
      <c r="M11" s="33">
        <v>1.7E-5</v>
      </c>
      <c r="N11" s="33">
        <v>2.0000000000000002E-5</v>
      </c>
      <c r="O11" s="33">
        <v>2.3E-5</v>
      </c>
      <c r="P11" s="33">
        <v>7.9999999999999996E-6</v>
      </c>
      <c r="Q11" s="33">
        <v>7.9999999999999996E-6</v>
      </c>
      <c r="R11" s="33">
        <v>6.0000000000000002E-6</v>
      </c>
      <c r="S11" s="33">
        <v>1.9999999999999999E-6</v>
      </c>
      <c r="T11" s="33">
        <v>3.0000000000000001E-6</v>
      </c>
      <c r="U11" s="33">
        <v>3.9999999999999998E-6</v>
      </c>
      <c r="V11" s="33">
        <v>6.0000000000000002E-5</v>
      </c>
    </row>
    <row r="12" spans="1:22" x14ac:dyDescent="0.25">
      <c r="F12" s="32" t="s">
        <v>124</v>
      </c>
      <c r="G12" s="32"/>
      <c r="L12" t="s">
        <v>153</v>
      </c>
      <c r="M12" s="31">
        <v>1.8700000000000001E-5</v>
      </c>
      <c r="N12" s="31">
        <v>1.2099999999999999E-5</v>
      </c>
      <c r="O12" s="35">
        <v>1.9999999999999999E-6</v>
      </c>
      <c r="P12" s="31">
        <v>3.2399999999999999E-6</v>
      </c>
      <c r="Q12" s="31">
        <v>3.2399999999999999E-6</v>
      </c>
      <c r="R12" s="31">
        <v>6.0000000000000002E-6</v>
      </c>
      <c r="S12" s="34">
        <v>1.4800000000000001E-5</v>
      </c>
      <c r="T12" s="31">
        <v>3.0299999999999998E-6</v>
      </c>
      <c r="U12" s="31">
        <v>1.9999999999999999E-6</v>
      </c>
      <c r="V12" s="31">
        <v>1.38E-5</v>
      </c>
    </row>
    <row r="13" spans="1:22" x14ac:dyDescent="0.25">
      <c r="F13" s="33">
        <f>F5+F7+F9+F11</f>
        <v>3.3050000000000001E-4</v>
      </c>
      <c r="G13" s="32"/>
      <c r="L13" s="32" t="s">
        <v>154</v>
      </c>
      <c r="M13" s="33">
        <v>1.9999999999999999E-6</v>
      </c>
      <c r="N13" s="33">
        <v>9.9999999999999995E-7</v>
      </c>
      <c r="O13" s="33">
        <v>1.9999999999999999E-6</v>
      </c>
      <c r="P13" s="33">
        <v>9.9999999999999995E-7</v>
      </c>
      <c r="Q13" s="33">
        <v>9.9999999999999995E-7</v>
      </c>
      <c r="R13" s="33">
        <v>1.9999999999999999E-6</v>
      </c>
      <c r="S13" s="33">
        <v>9.9999999999999995E-7</v>
      </c>
      <c r="T13" s="33">
        <v>9.9999999999999995E-7</v>
      </c>
      <c r="U13" s="33">
        <v>1.9999999999999999E-6</v>
      </c>
      <c r="V13" s="33">
        <v>9.9999999999999995E-7</v>
      </c>
    </row>
    <row r="14" spans="1:22" x14ac:dyDescent="0.25">
      <c r="L14" t="s">
        <v>155</v>
      </c>
      <c r="M14" s="31">
        <v>3.0000000000000001E-6</v>
      </c>
      <c r="N14" s="31">
        <v>9.9999999999999995E-7</v>
      </c>
      <c r="O14" s="31">
        <v>9.9999999999999995E-7</v>
      </c>
      <c r="P14" s="31">
        <v>9.9999999999999995E-7</v>
      </c>
      <c r="Q14" s="31">
        <v>9.9999999999999995E-7</v>
      </c>
      <c r="R14" s="31">
        <v>1.9999999999999999E-6</v>
      </c>
      <c r="S14" s="31">
        <v>9.9999999999999995E-7</v>
      </c>
      <c r="T14" s="31">
        <v>9.9999999999999995E-7</v>
      </c>
      <c r="U14" s="31">
        <v>1.9999999999999999E-6</v>
      </c>
      <c r="V14" s="31">
        <v>9.9999999999999995E-7</v>
      </c>
    </row>
    <row r="16" spans="1:22" x14ac:dyDescent="0.25">
      <c r="E16" t="s">
        <v>135</v>
      </c>
      <c r="F16" t="s">
        <v>136</v>
      </c>
      <c r="G16" t="s">
        <v>137</v>
      </c>
      <c r="H16" t="s">
        <v>138</v>
      </c>
      <c r="I16" t="s">
        <v>142</v>
      </c>
    </row>
    <row r="17" spans="4:9" x14ac:dyDescent="0.25">
      <c r="D17" s="32" t="s">
        <v>140</v>
      </c>
      <c r="E17" s="33">
        <v>1.8000000000000001E-4</v>
      </c>
      <c r="F17" s="33">
        <v>6.7999999999999999E-5</v>
      </c>
      <c r="G17" s="33">
        <v>3.7499999999999997E-5</v>
      </c>
      <c r="H17" s="33">
        <v>4.5000000000000003E-5</v>
      </c>
      <c r="I17" s="33">
        <f>E17+F17+G17+H17</f>
        <v>3.3050000000000001E-4</v>
      </c>
    </row>
    <row r="18" spans="4:9" x14ac:dyDescent="0.25">
      <c r="D18" s="32" t="s">
        <v>141</v>
      </c>
      <c r="E18" s="33">
        <f>E17/I17</f>
        <v>0.54462934947049924</v>
      </c>
      <c r="F18" s="33">
        <f>F17/I17</f>
        <v>0.20574886535552192</v>
      </c>
      <c r="G18" s="33">
        <f>G17/I17</f>
        <v>0.11346444780635399</v>
      </c>
      <c r="H18" s="33">
        <f>H17/I17</f>
        <v>0.13615733736762481</v>
      </c>
    </row>
    <row r="19" spans="4:9" x14ac:dyDescent="0.25">
      <c r="D19" t="s">
        <v>139</v>
      </c>
      <c r="E19">
        <v>0.55000000000000004</v>
      </c>
      <c r="F19">
        <v>0.2</v>
      </c>
      <c r="G19">
        <v>0.1</v>
      </c>
      <c r="H19">
        <v>0.15</v>
      </c>
    </row>
    <row r="20" spans="4:9" x14ac:dyDescent="0.25">
      <c r="D20" t="s">
        <v>151</v>
      </c>
      <c r="E20" s="31">
        <f>F2*E19</f>
        <v>1.9662949162923643E-4</v>
      </c>
      <c r="F20" s="31">
        <f>F2*F19</f>
        <v>7.1501633319722341E-5</v>
      </c>
      <c r="G20" s="31">
        <f>F2*G19</f>
        <v>3.575081665986117E-5</v>
      </c>
      <c r="H20" s="31">
        <f>F2*H19</f>
        <v>5.3626224989791749E-5</v>
      </c>
    </row>
    <row r="21" spans="4:9" x14ac:dyDescent="0.25">
      <c r="D21" t="s">
        <v>150</v>
      </c>
      <c r="E21" s="31">
        <v>1.34E-4</v>
      </c>
      <c r="F21" s="31">
        <v>6.4800000000000003E-5</v>
      </c>
      <c r="G21" s="34">
        <v>5.9200000000000002E-5</v>
      </c>
      <c r="H21" s="31">
        <v>2.16E-5</v>
      </c>
    </row>
    <row r="22" spans="4:9" x14ac:dyDescent="0.25">
      <c r="D22" t="s">
        <v>148</v>
      </c>
      <c r="E22" s="31">
        <f>(E21-E17)/E17</f>
        <v>-0.25555555555555559</v>
      </c>
      <c r="F22" s="31">
        <f t="shared" ref="F22:H22" si="1">(F21-F17)/F17</f>
        <v>-4.7058823529411715E-2</v>
      </c>
      <c r="G22" s="31">
        <f t="shared" si="1"/>
        <v>0.57866666666666688</v>
      </c>
      <c r="H22" s="31">
        <f t="shared" si="1"/>
        <v>-0.52</v>
      </c>
    </row>
    <row r="23" spans="4:9" x14ac:dyDescent="0.25">
      <c r="D23" s="32" t="s">
        <v>144</v>
      </c>
      <c r="E23" s="32">
        <v>74.941400000000002</v>
      </c>
      <c r="F23" s="32">
        <v>90.259900000000002</v>
      </c>
      <c r="G23" s="33">
        <v>91.618600000000001</v>
      </c>
      <c r="H23" s="32">
        <v>89.548100000000005</v>
      </c>
      <c r="I23" s="31">
        <f>E23*F23*G23*H23</f>
        <v>55495360.476850562</v>
      </c>
    </row>
    <row r="24" spans="4:9" x14ac:dyDescent="0.25">
      <c r="D24" s="32" t="s">
        <v>145</v>
      </c>
      <c r="E24">
        <f>POWER(10,E23/20)</f>
        <v>5585.6021675172306</v>
      </c>
      <c r="F24">
        <f>POWER(10,F23/20)</f>
        <v>32583.29496899508</v>
      </c>
      <c r="G24">
        <f>POWER(10,G23/20)</f>
        <v>38100.440778951204</v>
      </c>
      <c r="H24">
        <f>POWER(10,H23/20)</f>
        <v>30019.606833923423</v>
      </c>
    </row>
    <row r="25" spans="4:9" x14ac:dyDescent="0.25">
      <c r="D25" s="32" t="s">
        <v>143</v>
      </c>
      <c r="E25" s="33">
        <v>200546600</v>
      </c>
      <c r="F25" s="33">
        <v>114422200</v>
      </c>
      <c r="G25" s="33">
        <v>104984600</v>
      </c>
      <c r="H25" s="33">
        <v>96613300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gmid</vt:lpstr>
      <vt:lpstr>Sheet3</vt:lpstr>
      <vt:lpstr>Sheet2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dcterms:created xsi:type="dcterms:W3CDTF">2015-11-11T04:48:52Z</dcterms:created>
  <dcterms:modified xsi:type="dcterms:W3CDTF">2015-12-02T06:56:03Z</dcterms:modified>
</cp:coreProperties>
</file>