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kim/Documents/Metis/Course_4_Classification/project/images/"/>
    </mc:Choice>
  </mc:AlternateContent>
  <xr:revisionPtr revIDLastSave="0" documentId="13_ncr:1_{0B441F7F-5957-D943-A9AD-AE5C348A147D}" xr6:coauthVersionLast="47" xr6:coauthVersionMax="47" xr10:uidLastSave="{00000000-0000-0000-0000-000000000000}"/>
  <bookViews>
    <workbookView xWindow="0" yWindow="500" windowWidth="25600" windowHeight="15500" activeTab="1" xr2:uid="{70F9BE87-8AAA-E74D-830F-DBFDE1D84A81}"/>
  </bookViews>
  <sheets>
    <sheet name="Sheet1" sheetId="1" r:id="rId1"/>
    <sheet name="multiclass vs logistic just" sheetId="3" r:id="rId2"/>
    <sheet name="ref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5" i="3" l="1"/>
  <c r="F41" i="3"/>
  <c r="L25" i="3"/>
  <c r="L24" i="3"/>
  <c r="F26" i="3"/>
  <c r="F34" i="3" s="1"/>
  <c r="F27" i="3"/>
  <c r="F28" i="3"/>
  <c r="D36" i="3" s="1"/>
  <c r="F24" i="3"/>
  <c r="F25" i="3"/>
  <c r="C34" i="3"/>
  <c r="C32" i="3"/>
  <c r="C36" i="3"/>
  <c r="C33" i="3"/>
  <c r="E36" i="3"/>
  <c r="E35" i="3"/>
  <c r="E34" i="3"/>
  <c r="E33" i="3"/>
  <c r="K29" i="3" s="1"/>
  <c r="E32" i="3"/>
  <c r="C35" i="3"/>
  <c r="I29" i="3" l="1"/>
  <c r="I30" i="3"/>
  <c r="J30" i="3" s="1"/>
  <c r="L29" i="3"/>
  <c r="K30" i="3"/>
  <c r="L30" i="3" s="1"/>
  <c r="F33" i="3"/>
  <c r="D35" i="3"/>
  <c r="F35" i="3"/>
  <c r="E37" i="3"/>
  <c r="F36" i="3"/>
  <c r="D34" i="3"/>
  <c r="F32" i="3"/>
  <c r="C37" i="3"/>
  <c r="D32" i="3"/>
  <c r="D33" i="3"/>
  <c r="J29" i="3" l="1"/>
  <c r="J31" i="3" s="1"/>
  <c r="I31" i="3"/>
  <c r="F37" i="3"/>
  <c r="L31" i="3"/>
  <c r="K31" i="3"/>
  <c r="D37" i="3"/>
  <c r="L33" i="3" l="1"/>
  <c r="F39" i="3"/>
</calcChain>
</file>

<file path=xl/sharedStrings.xml><?xml version="1.0" encoding="utf-8"?>
<sst xmlns="http://schemas.openxmlformats.org/spreadsheetml/2006/main" count="154" uniqueCount="90">
  <si>
    <t>Logistic Regression</t>
  </si>
  <si>
    <t>train</t>
  </si>
  <si>
    <t>One v Rest</t>
  </si>
  <si>
    <t xml:space="preserve">Multinomial </t>
  </si>
  <si>
    <t>newton, c=0.01</t>
  </si>
  <si>
    <t>Multinomial</t>
  </si>
  <si>
    <t>saga, c=0.01</t>
  </si>
  <si>
    <t>Linear Regression</t>
  </si>
  <si>
    <t xml:space="preserve">Binary </t>
  </si>
  <si>
    <t>Random Forest</t>
  </si>
  <si>
    <t>validation</t>
  </si>
  <si>
    <t>CV score</t>
  </si>
  <si>
    <t>f1 micro</t>
  </si>
  <si>
    <t>neg_log_loss</t>
  </si>
  <si>
    <t>c=10</t>
  </si>
  <si>
    <t>grid search</t>
  </si>
  <si>
    <t xml:space="preserve">grid search </t>
  </si>
  <si>
    <t>penalty L2, c=0.1</t>
  </si>
  <si>
    <t>balanced class weights</t>
  </si>
  <si>
    <t xml:space="preserve">Preliminary findings </t>
  </si>
  <si>
    <t>Notes</t>
  </si>
  <si>
    <t>c=10000</t>
  </si>
  <si>
    <t>SMOTE</t>
  </si>
  <si>
    <t>(default solver)</t>
  </si>
  <si>
    <t>Main findings</t>
  </si>
  <si>
    <t>tried to retune with every rebalance</t>
  </si>
  <si>
    <t>but very minimal difference from using original hyperparameters but takes a long time</t>
  </si>
  <si>
    <t>so chose to use the baseline hyperparameters</t>
  </si>
  <si>
    <t>max_depth=10</t>
  </si>
  <si>
    <t>n_estimators=200</t>
  </si>
  <si>
    <t>baseline</t>
  </si>
  <si>
    <t>Grade 1</t>
  </si>
  <si>
    <t>Grade 2</t>
  </si>
  <si>
    <t>Grade 3</t>
  </si>
  <si>
    <t>Grade 4</t>
  </si>
  <si>
    <t>Grade 5</t>
  </si>
  <si>
    <t>Major repair/reconstruction</t>
  </si>
  <si>
    <t>No need/Minor repair</t>
  </si>
  <si>
    <t>minor repair</t>
  </si>
  <si>
    <t>major repair</t>
  </si>
  <si>
    <t>reconstruction</t>
  </si>
  <si>
    <t>reconstruction/some major repair</t>
  </si>
  <si>
    <t>no need/some minor repair</t>
  </si>
  <si>
    <t>Multiclass cost table</t>
  </si>
  <si>
    <t>Binary cost table</t>
  </si>
  <si>
    <t>Class</t>
  </si>
  <si>
    <t>Description</t>
  </si>
  <si>
    <t>Low</t>
  </si>
  <si>
    <t>High</t>
  </si>
  <si>
    <t>Midpoint</t>
  </si>
  <si>
    <t>n_estimators=300</t>
  </si>
  <si>
    <t>max_depth=20</t>
  </si>
  <si>
    <t>Random Forest Regressor</t>
  </si>
  <si>
    <t>max_depth = 20</t>
  </si>
  <si>
    <t>n_estimators= 50</t>
  </si>
  <si>
    <t>RMSE</t>
  </si>
  <si>
    <t>neg RMSE</t>
  </si>
  <si>
    <t>no balancing</t>
  </si>
  <si>
    <t>c=0.01</t>
  </si>
  <si>
    <t>penalty=L1</t>
  </si>
  <si>
    <t xml:space="preserve">as we want to minimize log loss, </t>
  </si>
  <si>
    <t>conversely we want a larger neg_log_loss i.e. closer to 0</t>
  </si>
  <si>
    <t>neg_log_loss is equal to - (log_loss)</t>
  </si>
  <si>
    <t>XGBoost</t>
  </si>
  <si>
    <t>XG Boost Regressor</t>
  </si>
  <si>
    <t>n_estimators=10</t>
  </si>
  <si>
    <t>multi:softprob</t>
  </si>
  <si>
    <t>Count of Actual</t>
  </si>
  <si>
    <t xml:space="preserve">Actual Cost </t>
  </si>
  <si>
    <t xml:space="preserve">Predicted Cost </t>
  </si>
  <si>
    <t>Count of Predicted</t>
  </si>
  <si>
    <t xml:space="preserve">model miss </t>
  </si>
  <si>
    <t>log_loss</t>
  </si>
  <si>
    <t>max_depth=3</t>
  </si>
  <si>
    <t>?</t>
  </si>
  <si>
    <t>n_estimators=500</t>
  </si>
  <si>
    <t>f1</t>
  </si>
  <si>
    <t>no balancing or scaling</t>
  </si>
  <si>
    <t>n_estimators =500</t>
  </si>
  <si>
    <t>max_depth =300</t>
  </si>
  <si>
    <t>test</t>
  </si>
  <si>
    <t>n_estimators =1000</t>
  </si>
  <si>
    <t>max_depth =5</t>
  </si>
  <si>
    <t>final f1</t>
  </si>
  <si>
    <t>300 estimators</t>
  </si>
  <si>
    <t>5 min samples</t>
  </si>
  <si>
    <t>20 dept</t>
  </si>
  <si>
    <t>https://www.bloomberg.com/news/articles/2015-04-28/nepal-rebuilding-cost-to-exceed-10-billion-finance-chief-says</t>
  </si>
  <si>
    <t>https://globalpressjournal.com/world/rebuilding-nepal-four-years-quake/#:~:text=The%20cost%20to%20rebuild%20every,and%20gaps%20in%20assistance%20remain.</t>
  </si>
  <si>
    <t>cost to rebuild house can reach up to $40,000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</si>
</sst>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&quot;$&quot;#,##0,,&quot;m&quot;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4C37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8" xfId="0" applyBorder="1"/>
    <xf numFmtId="164" fontId="0" fillId="0" borderId="2" xfId="0" applyNumberFormat="1" applyBorder="1"/>
    <xf numFmtId="164" fontId="0" fillId="2" borderId="1" xfId="0" applyNumberForma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8" xfId="0" applyFill="1" applyBorder="1"/>
    <xf numFmtId="0" fontId="1" fillId="2" borderId="6" xfId="0" applyFont="1" applyFill="1" applyBorder="1"/>
    <xf numFmtId="0" fontId="1" fillId="0" borderId="7" xfId="0" applyFont="1" applyBorder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0" borderId="10" xfId="0" applyBorder="1"/>
    <xf numFmtId="0" fontId="0" fillId="0" borderId="11" xfId="0" applyBorder="1"/>
    <xf numFmtId="0" fontId="0" fillId="3" borderId="9" xfId="0" applyFill="1" applyBorder="1"/>
    <xf numFmtId="0" fontId="4" fillId="0" borderId="0" xfId="0" applyFont="1"/>
    <xf numFmtId="0" fontId="0" fillId="0" borderId="2" xfId="0" applyBorder="1"/>
    <xf numFmtId="0" fontId="0" fillId="0" borderId="13" xfId="0" applyBorder="1"/>
    <xf numFmtId="0" fontId="0" fillId="0" borderId="12" xfId="0" applyBorder="1"/>
    <xf numFmtId="0" fontId="0" fillId="3" borderId="0" xfId="0" applyFill="1" applyBorder="1"/>
    <xf numFmtId="0" fontId="0" fillId="3" borderId="10" xfId="0" applyFill="1" applyBorder="1"/>
    <xf numFmtId="0" fontId="0" fillId="0" borderId="0" xfId="0" applyBorder="1"/>
    <xf numFmtId="0" fontId="4" fillId="6" borderId="13" xfId="0" applyFont="1" applyFill="1" applyBorder="1"/>
    <xf numFmtId="165" fontId="0" fillId="0" borderId="0" xfId="1" applyNumberFormat="1" applyFont="1"/>
    <xf numFmtId="165" fontId="0" fillId="0" borderId="0" xfId="0" applyNumberFormat="1"/>
    <xf numFmtId="165" fontId="0" fillId="4" borderId="0" xfId="1" applyNumberFormat="1" applyFont="1" applyFill="1"/>
    <xf numFmtId="165" fontId="1" fillId="4" borderId="16" xfId="1" applyNumberFormat="1" applyFont="1" applyFill="1" applyBorder="1"/>
    <xf numFmtId="165" fontId="1" fillId="4" borderId="17" xfId="1" applyNumberFormat="1" applyFont="1" applyFill="1" applyBorder="1"/>
    <xf numFmtId="0" fontId="1" fillId="0" borderId="0" xfId="0" applyFont="1"/>
    <xf numFmtId="0" fontId="0" fillId="0" borderId="0" xfId="0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7" borderId="0" xfId="0" applyFill="1"/>
    <xf numFmtId="165" fontId="0" fillId="7" borderId="0" xfId="1" applyNumberFormat="1" applyFont="1" applyFill="1"/>
    <xf numFmtId="165" fontId="1" fillId="7" borderId="17" xfId="1" applyNumberFormat="1" applyFont="1" applyFill="1" applyBorder="1"/>
    <xf numFmtId="165" fontId="1" fillId="7" borderId="18" xfId="1" applyNumberFormat="1" applyFont="1" applyFill="1" applyBorder="1"/>
    <xf numFmtId="0" fontId="0" fillId="8" borderId="0" xfId="0" applyFill="1"/>
    <xf numFmtId="0" fontId="1" fillId="0" borderId="6" xfId="0" applyFont="1" applyFill="1" applyBorder="1"/>
    <xf numFmtId="164" fontId="0" fillId="0" borderId="6" xfId="0" applyNumberFormat="1" applyFill="1" applyBorder="1"/>
    <xf numFmtId="164" fontId="0" fillId="0" borderId="14" xfId="0" applyNumberFormat="1" applyFill="1" applyBorder="1"/>
    <xf numFmtId="164" fontId="0" fillId="0" borderId="10" xfId="0" applyNumberFormat="1" applyFill="1" applyBorder="1"/>
    <xf numFmtId="0" fontId="1" fillId="0" borderId="7" xfId="0" applyFont="1" applyFill="1" applyBorder="1"/>
    <xf numFmtId="164" fontId="0" fillId="0" borderId="7" xfId="0" applyNumberFormat="1" applyFill="1" applyBorder="1"/>
    <xf numFmtId="164" fontId="0" fillId="0" borderId="15" xfId="0" applyNumberFormat="1" applyFill="1" applyBorder="1"/>
    <xf numFmtId="164" fontId="0" fillId="0" borderId="12" xfId="0" applyNumberFormat="1" applyFill="1" applyBorder="1"/>
    <xf numFmtId="0" fontId="4" fillId="0" borderId="0" xfId="0" applyFont="1" applyFill="1"/>
    <xf numFmtId="0" fontId="0" fillId="0" borderId="2" xfId="0" applyFill="1" applyBorder="1"/>
    <xf numFmtId="0" fontId="0" fillId="0" borderId="0" xfId="0" applyFill="1"/>
    <xf numFmtId="164" fontId="0" fillId="0" borderId="1" xfId="0" applyNumberFormat="1" applyFill="1" applyBorder="1"/>
    <xf numFmtId="164" fontId="0" fillId="0" borderId="2" xfId="0" applyNumberFormat="1" applyFill="1" applyBorder="1"/>
    <xf numFmtId="164" fontId="0" fillId="0" borderId="0" xfId="0" applyNumberFormat="1" applyFill="1" applyBorder="1"/>
    <xf numFmtId="166" fontId="0" fillId="0" borderId="0" xfId="1" applyNumberFormat="1" applyFont="1"/>
    <xf numFmtId="166" fontId="0" fillId="0" borderId="0" xfId="0" applyNumberFormat="1"/>
    <xf numFmtId="165" fontId="1" fillId="0" borderId="0" xfId="0" applyNumberFormat="1" applyFont="1"/>
    <xf numFmtId="166" fontId="1" fillId="0" borderId="0" xfId="0" applyNumberFormat="1" applyFont="1"/>
    <xf numFmtId="165" fontId="0" fillId="0" borderId="15" xfId="1" applyNumberFormat="1" applyFont="1" applyBorder="1"/>
    <xf numFmtId="166" fontId="0" fillId="0" borderId="15" xfId="1" applyNumberFormat="1" applyFont="1" applyBorder="1"/>
    <xf numFmtId="165" fontId="0" fillId="0" borderId="0" xfId="1" applyNumberFormat="1" applyFont="1" applyAlignment="1">
      <alignment horizontal="right"/>
    </xf>
    <xf numFmtId="0" fontId="0" fillId="0" borderId="11" xfId="0" applyFill="1" applyBorder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04C37"/>
      <color rgb="FFF8B6D9"/>
      <color rgb="FFDA1570"/>
      <color rgb="FFB21159"/>
      <color rgb="FF890E39"/>
      <color rgb="FF710C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736600</xdr:colOff>
      <xdr:row>0</xdr:row>
      <xdr:rowOff>152459</xdr:rowOff>
    </xdr:from>
    <xdr:to>
      <xdr:col>4</xdr:col>
      <xdr:colOff>584200</xdr:colOff>
      <xdr:row>19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525B37-6DD2-049F-7A35-51830551E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600" y="152459"/>
          <a:ext cx="4279900" cy="37845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279400</xdr:colOff>
      <xdr:row>1</xdr:row>
      <xdr:rowOff>114300</xdr:rowOff>
    </xdr:from>
    <xdr:to>
      <xdr:col>7</xdr:col>
      <xdr:colOff>304800</xdr:colOff>
      <xdr:row>4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F1EB13-56CA-2B48-9CC4-01F539399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17500"/>
          <a:ext cx="58039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36D6-1623-A04D-B8C4-0427DAE00BC6}">
  <dimension ref="A1:U53"/>
  <sheetViews>
    <sheetView showGridLines="0" topLeftCell="A15" workbookViewId="0">
      <selection activeCell="F52" sqref="F52"/>
    </sheetView>
  </sheetViews>
  <sheetFormatPr baseColWidth="10" defaultRowHeight="16" outlineLevelRow="1" x14ac:dyDescent="0.2"/>
  <cols>
    <col min="2" max="2" width="6.83203125" customWidth="1"/>
    <col min="3" max="3" width="12.83203125" customWidth="1"/>
    <col min="4" max="5" width="16.83203125" customWidth="1"/>
    <col min="6" max="7" width="17.1640625" customWidth="1"/>
    <col min="8" max="8" width="15.5" customWidth="1"/>
    <col min="9" max="9" width="15.33203125" customWidth="1"/>
    <col min="10" max="10" width="13.1640625" customWidth="1"/>
    <col min="11" max="11" width="4.6640625" customWidth="1"/>
    <col min="12" max="12" width="7.5" customWidth="1"/>
    <col min="13" max="13" width="20.83203125" customWidth="1"/>
    <col min="14" max="14" width="16.1640625" customWidth="1"/>
    <col min="15" max="16" width="22.6640625" bestFit="1" customWidth="1"/>
  </cols>
  <sheetData>
    <row r="1" spans="1:21" x14ac:dyDescent="0.2">
      <c r="A1" s="13" t="s">
        <v>19</v>
      </c>
      <c r="B1" s="13"/>
      <c r="C1" s="13" t="s">
        <v>12</v>
      </c>
      <c r="D1" s="13"/>
      <c r="E1" s="13"/>
      <c r="F1" s="13"/>
      <c r="G1" s="13"/>
      <c r="H1" s="13"/>
      <c r="I1" s="13"/>
      <c r="J1" s="13"/>
      <c r="L1" t="s">
        <v>20</v>
      </c>
    </row>
    <row r="2" spans="1:21" x14ac:dyDescent="0.2">
      <c r="D2" s="5" t="s">
        <v>0</v>
      </c>
      <c r="E2" s="6"/>
      <c r="F2" s="6"/>
      <c r="G2" s="7"/>
      <c r="H2" s="23"/>
      <c r="I2" s="8" t="s">
        <v>7</v>
      </c>
      <c r="J2" s="8" t="s">
        <v>9</v>
      </c>
    </row>
    <row r="3" spans="1:21" x14ac:dyDescent="0.2">
      <c r="D3" s="1" t="s">
        <v>2</v>
      </c>
      <c r="E3" s="1" t="s">
        <v>3</v>
      </c>
      <c r="F3" s="1" t="s">
        <v>5</v>
      </c>
      <c r="G3" s="1" t="s">
        <v>8</v>
      </c>
      <c r="H3" s="2"/>
      <c r="I3" s="9"/>
      <c r="J3" s="9"/>
    </row>
    <row r="4" spans="1:21" x14ac:dyDescent="0.2">
      <c r="D4" s="2"/>
      <c r="E4" s="2" t="s">
        <v>4</v>
      </c>
      <c r="F4" s="2" t="s">
        <v>6</v>
      </c>
      <c r="G4" s="2"/>
      <c r="H4" s="2"/>
      <c r="I4" s="9"/>
      <c r="J4" s="9"/>
    </row>
    <row r="5" spans="1:21" x14ac:dyDescent="0.2">
      <c r="C5" s="10" t="s">
        <v>1</v>
      </c>
      <c r="D5" s="4">
        <v>0.43909999999999999</v>
      </c>
      <c r="E5" s="4">
        <v>0.44119999999999998</v>
      </c>
      <c r="F5" s="4">
        <v>0.43909999999999999</v>
      </c>
      <c r="G5" s="4">
        <v>0.91269999999999996</v>
      </c>
      <c r="H5" s="4"/>
      <c r="I5" s="4">
        <v>0.28399999999999997</v>
      </c>
      <c r="J5" s="4">
        <v>0.9446</v>
      </c>
    </row>
    <row r="6" spans="1:21" x14ac:dyDescent="0.2">
      <c r="C6" s="11" t="s">
        <v>10</v>
      </c>
      <c r="D6" s="3">
        <v>0.44119999999999998</v>
      </c>
      <c r="E6" s="3">
        <v>0.441</v>
      </c>
      <c r="F6" s="3">
        <v>0.44130000000000003</v>
      </c>
      <c r="G6" s="3">
        <v>0.91269999999999996</v>
      </c>
      <c r="H6" s="3"/>
      <c r="I6" s="3">
        <v>0.28320000000000001</v>
      </c>
      <c r="J6" s="3">
        <v>0.38719999999999999</v>
      </c>
    </row>
    <row r="11" spans="1:21" x14ac:dyDescent="0.2">
      <c r="A11" s="14" t="s">
        <v>24</v>
      </c>
      <c r="B11" s="14"/>
      <c r="C11" s="14" t="s">
        <v>72</v>
      </c>
      <c r="D11" s="14"/>
      <c r="E11" s="14"/>
      <c r="F11" s="14"/>
      <c r="G11" s="14"/>
      <c r="H11" s="14"/>
      <c r="I11" s="14"/>
      <c r="J11" s="14"/>
      <c r="M11" s="41" t="s">
        <v>56</v>
      </c>
      <c r="N11" s="41"/>
      <c r="O11" s="41"/>
    </row>
    <row r="12" spans="1:21" x14ac:dyDescent="0.2">
      <c r="C12" t="s">
        <v>57</v>
      </c>
      <c r="D12" t="s">
        <v>23</v>
      </c>
      <c r="M12" t="s">
        <v>57</v>
      </c>
    </row>
    <row r="13" spans="1:21" x14ac:dyDescent="0.2">
      <c r="D13" s="5" t="s">
        <v>0</v>
      </c>
      <c r="E13" s="6"/>
      <c r="F13" s="23" t="s">
        <v>9</v>
      </c>
      <c r="G13" s="8" t="s">
        <v>63</v>
      </c>
      <c r="H13" t="s">
        <v>62</v>
      </c>
      <c r="N13" s="17" t="s">
        <v>7</v>
      </c>
      <c r="O13" s="17" t="s">
        <v>52</v>
      </c>
      <c r="P13" s="17" t="s">
        <v>64</v>
      </c>
    </row>
    <row r="14" spans="1:21" x14ac:dyDescent="0.2">
      <c r="A14" s="18"/>
      <c r="C14" s="18" t="s">
        <v>30</v>
      </c>
      <c r="D14" s="25" t="s">
        <v>3</v>
      </c>
      <c r="E14" s="24" t="s">
        <v>2</v>
      </c>
      <c r="F14" s="15" t="s">
        <v>15</v>
      </c>
      <c r="G14" s="2"/>
      <c r="H14" t="s">
        <v>60</v>
      </c>
      <c r="M14" s="18"/>
      <c r="N14" s="2" t="s">
        <v>59</v>
      </c>
      <c r="O14" s="2" t="s">
        <v>15</v>
      </c>
      <c r="P14" s="2"/>
    </row>
    <row r="15" spans="1:21" x14ac:dyDescent="0.2">
      <c r="C15" s="18"/>
      <c r="D15" s="25" t="s">
        <v>16</v>
      </c>
      <c r="E15" s="24" t="s">
        <v>15</v>
      </c>
      <c r="F15" s="16" t="s">
        <v>28</v>
      </c>
      <c r="G15" s="2" t="s">
        <v>28</v>
      </c>
      <c r="H15" t="s">
        <v>61</v>
      </c>
      <c r="M15" s="18"/>
      <c r="N15" s="2" t="s">
        <v>58</v>
      </c>
      <c r="O15" s="2" t="s">
        <v>53</v>
      </c>
      <c r="P15" s="2"/>
    </row>
    <row r="16" spans="1:21" x14ac:dyDescent="0.2">
      <c r="C16" s="18"/>
      <c r="D16" s="25" t="s">
        <v>17</v>
      </c>
      <c r="E16" s="24" t="s">
        <v>14</v>
      </c>
      <c r="F16" s="21" t="s">
        <v>29</v>
      </c>
      <c r="G16" s="19" t="s">
        <v>65</v>
      </c>
      <c r="H16" s="12"/>
      <c r="K16" s="12"/>
      <c r="M16" s="50"/>
      <c r="N16" s="51"/>
      <c r="O16" s="51" t="s">
        <v>54</v>
      </c>
      <c r="P16" s="51"/>
      <c r="Q16" s="52"/>
      <c r="R16" s="52"/>
      <c r="S16" s="52"/>
      <c r="T16" s="52"/>
      <c r="U16" s="52"/>
    </row>
    <row r="17" spans="3:21" x14ac:dyDescent="0.2">
      <c r="C17" s="42" t="s">
        <v>11</v>
      </c>
      <c r="D17" s="43">
        <v>1.3055859831394101</v>
      </c>
      <c r="E17" s="44">
        <v>1.3076058094501299</v>
      </c>
      <c r="F17" s="45">
        <v>1.2974146343769</v>
      </c>
      <c r="G17" s="53">
        <v>1.2798700651862001</v>
      </c>
      <c r="I17" s="12"/>
      <c r="M17" s="42" t="s">
        <v>11</v>
      </c>
      <c r="N17" s="53">
        <v>1.1200000000000001</v>
      </c>
      <c r="O17" s="53">
        <v>1.04272159029356</v>
      </c>
      <c r="P17" s="53"/>
      <c r="Q17" s="52"/>
      <c r="R17" s="52"/>
      <c r="S17" s="52"/>
      <c r="T17" s="52"/>
      <c r="U17" s="52"/>
    </row>
    <row r="18" spans="3:21" x14ac:dyDescent="0.2">
      <c r="C18" s="46" t="s">
        <v>76</v>
      </c>
      <c r="D18" s="47">
        <v>0.43968713302446299</v>
      </c>
      <c r="E18" s="48"/>
      <c r="F18" s="49"/>
      <c r="G18" s="54"/>
      <c r="M18" s="11" t="s">
        <v>55</v>
      </c>
      <c r="N18" s="3"/>
      <c r="O18" s="3"/>
      <c r="P18" s="3"/>
    </row>
    <row r="19" spans="3:21" x14ac:dyDescent="0.2">
      <c r="F19" s="63" t="s">
        <v>74</v>
      </c>
    </row>
    <row r="20" spans="3:21" hidden="1" outlineLevel="1" x14ac:dyDescent="0.2">
      <c r="C20" t="s">
        <v>18</v>
      </c>
      <c r="I20" s="12"/>
      <c r="K20" s="12"/>
    </row>
    <row r="21" spans="3:21" hidden="1" outlineLevel="1" x14ac:dyDescent="0.2">
      <c r="C21" t="s">
        <v>13</v>
      </c>
      <c r="D21" s="5" t="s">
        <v>0</v>
      </c>
      <c r="E21" s="7"/>
      <c r="F21" s="8"/>
      <c r="G21" s="8" t="s">
        <v>9</v>
      </c>
      <c r="H21" s="22"/>
      <c r="I21" t="s">
        <v>25</v>
      </c>
    </row>
    <row r="22" spans="3:21" hidden="1" outlineLevel="1" x14ac:dyDescent="0.2">
      <c r="D22" s="20" t="s">
        <v>3</v>
      </c>
      <c r="E22" s="16" t="s">
        <v>2</v>
      </c>
      <c r="F22" s="9"/>
      <c r="G22" s="2"/>
      <c r="H22" s="24"/>
      <c r="I22" t="s">
        <v>26</v>
      </c>
    </row>
    <row r="23" spans="3:21" hidden="1" outlineLevel="1" x14ac:dyDescent="0.2">
      <c r="D23" s="20" t="s">
        <v>16</v>
      </c>
      <c r="E23" s="16" t="s">
        <v>15</v>
      </c>
      <c r="F23" s="9"/>
      <c r="G23" s="2"/>
      <c r="H23" s="24"/>
      <c r="I23" t="s">
        <v>27</v>
      </c>
      <c r="M23" s="12"/>
      <c r="N23" s="12"/>
    </row>
    <row r="24" spans="3:21" hidden="1" outlineLevel="1" x14ac:dyDescent="0.2">
      <c r="D24" s="20" t="s">
        <v>17</v>
      </c>
      <c r="E24" s="16" t="s">
        <v>21</v>
      </c>
      <c r="F24" s="9"/>
      <c r="G24" s="2"/>
      <c r="H24" s="24"/>
    </row>
    <row r="25" spans="3:21" hidden="1" outlineLevel="1" x14ac:dyDescent="0.2">
      <c r="C25" s="42" t="s">
        <v>11</v>
      </c>
      <c r="D25" s="43">
        <v>-1.3799700110052799</v>
      </c>
      <c r="E25" s="44">
        <v>-1.4109684961945601</v>
      </c>
      <c r="F25" s="45"/>
      <c r="G25" s="45"/>
      <c r="H25" s="55"/>
      <c r="L25" s="12"/>
    </row>
    <row r="26" spans="3:21" hidden="1" outlineLevel="1" x14ac:dyDescent="0.2">
      <c r="C26" s="46" t="s">
        <v>13</v>
      </c>
      <c r="D26" s="47"/>
      <c r="E26" s="48"/>
      <c r="F26" s="49"/>
      <c r="G26" s="49"/>
      <c r="H26" s="55"/>
      <c r="J26" s="12"/>
      <c r="K26" s="12"/>
      <c r="L26" s="12"/>
    </row>
    <row r="27" spans="3:21" collapsed="1" x14ac:dyDescent="0.2">
      <c r="E27" s="12"/>
    </row>
    <row r="28" spans="3:21" x14ac:dyDescent="0.2">
      <c r="D28" s="12"/>
    </row>
    <row r="29" spans="3:21" x14ac:dyDescent="0.2">
      <c r="C29" t="s">
        <v>22</v>
      </c>
      <c r="M29" t="s">
        <v>22</v>
      </c>
    </row>
    <row r="30" spans="3:21" x14ac:dyDescent="0.2">
      <c r="D30" s="5" t="s">
        <v>0</v>
      </c>
      <c r="E30" s="8" t="s">
        <v>9</v>
      </c>
      <c r="F30" s="17" t="s">
        <v>63</v>
      </c>
      <c r="N30" s="17" t="s">
        <v>7</v>
      </c>
      <c r="O30" s="17" t="s">
        <v>52</v>
      </c>
      <c r="P30" s="17" t="s">
        <v>64</v>
      </c>
    </row>
    <row r="31" spans="3:21" x14ac:dyDescent="0.2">
      <c r="D31" s="20" t="s">
        <v>3</v>
      </c>
      <c r="E31" s="1" t="s">
        <v>15</v>
      </c>
      <c r="F31" s="2" t="s">
        <v>66</v>
      </c>
      <c r="M31" s="18"/>
      <c r="N31" s="2" t="s">
        <v>59</v>
      </c>
      <c r="O31" s="2" t="s">
        <v>15</v>
      </c>
      <c r="P31" s="2"/>
    </row>
    <row r="32" spans="3:21" x14ac:dyDescent="0.2">
      <c r="D32" s="20" t="s">
        <v>16</v>
      </c>
      <c r="E32" s="2" t="s">
        <v>51</v>
      </c>
      <c r="F32" s="2" t="s">
        <v>73</v>
      </c>
      <c r="M32" s="18"/>
      <c r="N32" s="2" t="s">
        <v>58</v>
      </c>
      <c r="O32" s="2" t="s">
        <v>53</v>
      </c>
      <c r="P32" s="2"/>
    </row>
    <row r="33" spans="3:16" x14ac:dyDescent="0.2">
      <c r="D33" s="20" t="s">
        <v>17</v>
      </c>
      <c r="E33" s="19" t="s">
        <v>50</v>
      </c>
      <c r="F33" s="19" t="s">
        <v>75</v>
      </c>
      <c r="M33" s="18"/>
      <c r="N33" s="19"/>
      <c r="O33" s="19" t="s">
        <v>54</v>
      </c>
      <c r="P33" s="51"/>
    </row>
    <row r="34" spans="3:16" x14ac:dyDescent="0.2">
      <c r="C34" s="42" t="s">
        <v>11</v>
      </c>
      <c r="D34" s="43">
        <v>1.3731182269818001</v>
      </c>
      <c r="E34" s="53">
        <v>1.2410468522618501</v>
      </c>
      <c r="F34" s="53">
        <v>1.2739799999999999</v>
      </c>
      <c r="J34" s="12"/>
      <c r="M34" s="42" t="s">
        <v>11</v>
      </c>
      <c r="N34" s="53">
        <v>1.1856480324848899</v>
      </c>
      <c r="O34" s="53">
        <v>0.99765382546314196</v>
      </c>
      <c r="P34" s="53">
        <v>1.0209900000000001</v>
      </c>
    </row>
    <row r="35" spans="3:16" x14ac:dyDescent="0.2">
      <c r="C35" s="46" t="s">
        <v>76</v>
      </c>
      <c r="D35" s="47"/>
      <c r="E35" s="54">
        <v>0.54</v>
      </c>
      <c r="F35" s="54"/>
      <c r="M35" s="46" t="s">
        <v>55</v>
      </c>
      <c r="N35" s="54"/>
      <c r="O35" s="54"/>
      <c r="P35" s="3"/>
    </row>
    <row r="36" spans="3:16" x14ac:dyDescent="0.2">
      <c r="D36" s="12"/>
      <c r="M36" s="52"/>
      <c r="N36" s="52"/>
      <c r="O36" s="52"/>
      <c r="P36" s="52"/>
    </row>
    <row r="39" spans="3:16" x14ac:dyDescent="0.2">
      <c r="C39" t="s">
        <v>77</v>
      </c>
    </row>
    <row r="40" spans="3:16" x14ac:dyDescent="0.2">
      <c r="D40" s="8" t="s">
        <v>9</v>
      </c>
      <c r="E40" s="8" t="s">
        <v>9</v>
      </c>
      <c r="F40" s="17" t="s">
        <v>63</v>
      </c>
    </row>
    <row r="41" spans="3:16" x14ac:dyDescent="0.2">
      <c r="D41" s="1"/>
      <c r="E41" s="1"/>
      <c r="F41" s="2" t="s">
        <v>66</v>
      </c>
    </row>
    <row r="42" spans="3:16" x14ac:dyDescent="0.2">
      <c r="D42" s="2" t="s">
        <v>78</v>
      </c>
      <c r="E42" s="2" t="s">
        <v>81</v>
      </c>
      <c r="F42" s="2" t="s">
        <v>73</v>
      </c>
    </row>
    <row r="43" spans="3:16" x14ac:dyDescent="0.2">
      <c r="D43" s="19" t="s">
        <v>82</v>
      </c>
      <c r="E43" s="19" t="s">
        <v>79</v>
      </c>
      <c r="F43" s="19" t="s">
        <v>75</v>
      </c>
    </row>
    <row r="44" spans="3:16" x14ac:dyDescent="0.2">
      <c r="C44" s="42" t="s">
        <v>1</v>
      </c>
      <c r="D44" s="53">
        <v>1.3325499999999999</v>
      </c>
      <c r="E44" s="53">
        <v>1.3325499999999999</v>
      </c>
      <c r="F44" s="53">
        <v>1.2739799999999999</v>
      </c>
      <c r="J44" s="12"/>
    </row>
    <row r="45" spans="3:16" x14ac:dyDescent="0.2">
      <c r="C45" s="46" t="s">
        <v>80</v>
      </c>
      <c r="D45" s="54">
        <v>1.33255049015788</v>
      </c>
      <c r="E45" s="54">
        <v>1.33255049015788</v>
      </c>
      <c r="F45" s="54"/>
    </row>
    <row r="50" spans="2:6" x14ac:dyDescent="0.2">
      <c r="B50" t="s">
        <v>83</v>
      </c>
    </row>
    <row r="51" spans="2:6" x14ac:dyDescent="0.2">
      <c r="B51" t="s">
        <v>83</v>
      </c>
      <c r="C51">
        <v>0.443540417682324</v>
      </c>
      <c r="D51" t="s">
        <v>84</v>
      </c>
      <c r="F51">
        <v>0.48</v>
      </c>
    </row>
    <row r="52" spans="2:6" x14ac:dyDescent="0.2">
      <c r="D52" t="s">
        <v>85</v>
      </c>
    </row>
    <row r="53" spans="2:6" x14ac:dyDescent="0.2">
      <c r="D53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C334-D6B8-FC40-AA81-F62A1120761F}">
  <dimension ref="A21:S59"/>
  <sheetViews>
    <sheetView showGridLines="0" tabSelected="1" topLeftCell="A15" workbookViewId="0">
      <selection activeCell="L44" sqref="L44"/>
    </sheetView>
  </sheetViews>
  <sheetFormatPr baseColWidth="10" defaultRowHeight="16" x14ac:dyDescent="0.2"/>
  <cols>
    <col min="2" max="2" width="12.1640625" customWidth="1"/>
    <col min="3" max="3" width="18" customWidth="1"/>
    <col min="4" max="4" width="17.1640625" customWidth="1"/>
    <col min="5" max="5" width="14.5" customWidth="1"/>
    <col min="6" max="6" width="14" bestFit="1" customWidth="1"/>
    <col min="7" max="7" width="4.5" customWidth="1"/>
    <col min="8" max="8" width="7.5" style="35" customWidth="1"/>
    <col min="9" max="9" width="23.5" customWidth="1"/>
    <col min="10" max="10" width="17.1640625" customWidth="1"/>
    <col min="11" max="11" width="14.6640625" customWidth="1"/>
    <col min="12" max="12" width="15" bestFit="1" customWidth="1"/>
    <col min="13" max="13" width="15" customWidth="1"/>
    <col min="16" max="16" width="17.6640625" bestFit="1" customWidth="1"/>
    <col min="17" max="17" width="14.6640625" bestFit="1" customWidth="1"/>
    <col min="18" max="18" width="15" bestFit="1" customWidth="1"/>
    <col min="19" max="19" width="12.1640625" bestFit="1" customWidth="1"/>
  </cols>
  <sheetData>
    <row r="21" spans="2:19" x14ac:dyDescent="0.2">
      <c r="C21" s="31" t="s">
        <v>43</v>
      </c>
      <c r="D21" s="31"/>
      <c r="E21" s="31"/>
      <c r="F21" s="31"/>
      <c r="G21" s="31"/>
      <c r="H21" s="36"/>
      <c r="I21" s="31" t="s">
        <v>44</v>
      </c>
    </row>
    <row r="22" spans="2:19" ht="11" customHeight="1" x14ac:dyDescent="0.2">
      <c r="C22" s="31"/>
      <c r="D22" s="31"/>
      <c r="E22" s="31"/>
      <c r="F22" s="31"/>
      <c r="G22" s="31"/>
      <c r="H22" s="36"/>
      <c r="I22" s="31"/>
    </row>
    <row r="23" spans="2:19" s="32" customFormat="1" ht="17" thickBot="1" x14ac:dyDescent="0.25">
      <c r="B23" s="34" t="s">
        <v>45</v>
      </c>
      <c r="C23" s="34" t="s">
        <v>46</v>
      </c>
      <c r="D23" s="32" t="s">
        <v>47</v>
      </c>
      <c r="E23" s="32" t="s">
        <v>48</v>
      </c>
      <c r="F23" s="32" t="s">
        <v>49</v>
      </c>
      <c r="G23" s="33"/>
      <c r="H23" s="35" t="s">
        <v>45</v>
      </c>
      <c r="I23" s="35" t="s">
        <v>46</v>
      </c>
      <c r="J23" s="32" t="s">
        <v>47</v>
      </c>
      <c r="K23" s="32" t="s">
        <v>48</v>
      </c>
      <c r="L23" s="32" t="s">
        <v>49</v>
      </c>
    </row>
    <row r="24" spans="2:19" x14ac:dyDescent="0.2">
      <c r="B24" s="13" t="s">
        <v>31</v>
      </c>
      <c r="C24" s="13" t="s">
        <v>42</v>
      </c>
      <c r="D24" s="28">
        <v>0</v>
      </c>
      <c r="E24" s="28">
        <v>1000</v>
      </c>
      <c r="F24" s="29">
        <f>(E24+D24)/2</f>
        <v>500</v>
      </c>
      <c r="H24" s="13">
        <v>0</v>
      </c>
      <c r="I24" s="13" t="s">
        <v>37</v>
      </c>
      <c r="J24" s="28">
        <v>0</v>
      </c>
      <c r="K24" s="28">
        <v>2500</v>
      </c>
      <c r="L24" s="29">
        <f>(K24+J24)/2</f>
        <v>1250</v>
      </c>
    </row>
    <row r="25" spans="2:19" ht="17" thickBot="1" x14ac:dyDescent="0.25">
      <c r="B25" s="13" t="s">
        <v>32</v>
      </c>
      <c r="C25" s="13" t="s">
        <v>38</v>
      </c>
      <c r="D25" s="28">
        <v>1000</v>
      </c>
      <c r="E25" s="28">
        <v>2500</v>
      </c>
      <c r="F25" s="30">
        <f>(E25+D25)/2</f>
        <v>1750</v>
      </c>
      <c r="H25" s="37">
        <v>1</v>
      </c>
      <c r="I25" s="37" t="s">
        <v>36</v>
      </c>
      <c r="J25" s="38">
        <v>2500</v>
      </c>
      <c r="K25" s="38">
        <v>40000</v>
      </c>
      <c r="L25" s="40">
        <f>(K25+J25)/2</f>
        <v>21250</v>
      </c>
    </row>
    <row r="26" spans="2:19" x14ac:dyDescent="0.2">
      <c r="B26" s="37" t="s">
        <v>33</v>
      </c>
      <c r="C26" s="37" t="s">
        <v>39</v>
      </c>
      <c r="D26" s="38">
        <v>2500</v>
      </c>
      <c r="E26" s="38">
        <v>5000</v>
      </c>
      <c r="F26" s="39">
        <f t="shared" ref="F26:F28" si="0">(E26+D26)/2</f>
        <v>3750</v>
      </c>
    </row>
    <row r="27" spans="2:19" x14ac:dyDescent="0.2">
      <c r="B27" s="37" t="s">
        <v>34</v>
      </c>
      <c r="C27" s="37" t="s">
        <v>41</v>
      </c>
      <c r="D27" s="38">
        <v>5000</v>
      </c>
      <c r="E27" s="38">
        <v>10000</v>
      </c>
      <c r="F27" s="39">
        <f t="shared" si="0"/>
        <v>7500</v>
      </c>
    </row>
    <row r="28" spans="2:19" ht="17" thickBot="1" x14ac:dyDescent="0.25">
      <c r="B28" s="37" t="s">
        <v>35</v>
      </c>
      <c r="C28" s="37" t="s">
        <v>40</v>
      </c>
      <c r="D28" s="38">
        <v>10000</v>
      </c>
      <c r="E28" s="38">
        <v>40000</v>
      </c>
      <c r="F28" s="40">
        <f t="shared" si="0"/>
        <v>25000</v>
      </c>
      <c r="H28" s="35" t="s">
        <v>45</v>
      </c>
      <c r="I28" s="62" t="s">
        <v>70</v>
      </c>
      <c r="J28" s="26" t="s">
        <v>69</v>
      </c>
      <c r="K28" s="26" t="s">
        <v>67</v>
      </c>
      <c r="L28" s="26" t="s">
        <v>68</v>
      </c>
    </row>
    <row r="29" spans="2:19" x14ac:dyDescent="0.2">
      <c r="D29" s="26"/>
      <c r="E29" s="26"/>
      <c r="H29" s="35">
        <v>0</v>
      </c>
      <c r="I29" s="26">
        <f>C33+C32</f>
        <v>89408</v>
      </c>
      <c r="J29" s="56">
        <f>I29*$L24</f>
        <v>111760000</v>
      </c>
      <c r="K29" s="26">
        <f>E33+E32</f>
        <v>132278</v>
      </c>
      <c r="L29" s="56">
        <f>K29*$F24</f>
        <v>66139000</v>
      </c>
    </row>
    <row r="30" spans="2:19" x14ac:dyDescent="0.2">
      <c r="D30" s="26"/>
      <c r="E30" s="26"/>
      <c r="H30" s="35">
        <v>1</v>
      </c>
      <c r="I30" s="60">
        <f>SUM(C34:C36)</f>
        <v>517760</v>
      </c>
      <c r="J30" s="61">
        <f>I30*$L25</f>
        <v>11002400000</v>
      </c>
      <c r="K30" s="60">
        <f>SUM(E34:E36)</f>
        <v>474890</v>
      </c>
      <c r="L30" s="61">
        <f>K30*$F25</f>
        <v>831057500</v>
      </c>
    </row>
    <row r="31" spans="2:19" x14ac:dyDescent="0.2">
      <c r="B31" s="34" t="s">
        <v>45</v>
      </c>
      <c r="C31" s="26" t="s">
        <v>70</v>
      </c>
      <c r="D31" s="26" t="s">
        <v>69</v>
      </c>
      <c r="E31" s="26" t="s">
        <v>67</v>
      </c>
      <c r="F31" s="26" t="s">
        <v>68</v>
      </c>
      <c r="H31"/>
      <c r="I31" s="58">
        <f>SUM(I28:I30)</f>
        <v>607168</v>
      </c>
      <c r="J31" s="59">
        <f>SUM(J29:J30)</f>
        <v>11114160000</v>
      </c>
      <c r="K31" s="58">
        <f>SUM(K28:K30)</f>
        <v>607168</v>
      </c>
      <c r="L31" s="59">
        <f>SUM(L29:L30)</f>
        <v>897196500</v>
      </c>
      <c r="O31" s="35"/>
      <c r="P31" s="26"/>
      <c r="Q31" s="26"/>
      <c r="R31" s="26"/>
      <c r="S31" s="26"/>
    </row>
    <row r="32" spans="2:19" x14ac:dyDescent="0.2">
      <c r="B32" t="s">
        <v>31</v>
      </c>
      <c r="C32" s="26">
        <f>3627+4134+11106+20650+39733</f>
        <v>79250</v>
      </c>
      <c r="D32" s="56">
        <f>C32*$F24</f>
        <v>39625000</v>
      </c>
      <c r="E32" s="26">
        <f>39733+2728+3863+1909+14519</f>
        <v>62752</v>
      </c>
      <c r="F32" s="56">
        <f>E32*$F24</f>
        <v>31376000</v>
      </c>
      <c r="H32"/>
      <c r="L32" s="57"/>
      <c r="O32" s="35"/>
      <c r="P32" s="26"/>
      <c r="Q32" s="56"/>
      <c r="R32" s="26"/>
      <c r="S32" s="56"/>
    </row>
    <row r="33" spans="1:19" x14ac:dyDescent="0.2">
      <c r="B33" t="s">
        <v>32</v>
      </c>
      <c r="C33" s="26">
        <f>2728+3031+2595+1085+719</f>
        <v>10158</v>
      </c>
      <c r="D33" s="56">
        <f t="shared" ref="D33:F36" si="1">C33*$F25</f>
        <v>17776500</v>
      </c>
      <c r="E33" s="26">
        <f>20650+3031+6376+5261+34208</f>
        <v>69526</v>
      </c>
      <c r="F33" s="56">
        <f t="shared" si="1"/>
        <v>121670500</v>
      </c>
      <c r="H33"/>
      <c r="K33" t="s">
        <v>71</v>
      </c>
      <c r="L33" s="57">
        <f>J31-L31</f>
        <v>10216963500</v>
      </c>
      <c r="O33" s="35"/>
      <c r="P33" s="26"/>
      <c r="Q33" s="56"/>
      <c r="R33" s="26"/>
      <c r="S33" s="56"/>
    </row>
    <row r="34" spans="1:19" x14ac:dyDescent="0.2">
      <c r="B34" t="s">
        <v>33</v>
      </c>
      <c r="C34" s="26">
        <f>3863+6376+8877+7433+4380</f>
        <v>30929</v>
      </c>
      <c r="D34" s="56">
        <f t="shared" si="1"/>
        <v>115983750</v>
      </c>
      <c r="E34" s="26">
        <f>11106+2595+8877+11891+74176</f>
        <v>108645</v>
      </c>
      <c r="F34" s="56">
        <f t="shared" si="1"/>
        <v>407418750</v>
      </c>
      <c r="P34" s="27"/>
      <c r="Q34" s="57"/>
      <c r="R34" s="27"/>
      <c r="S34" s="57"/>
    </row>
    <row r="35" spans="1:19" x14ac:dyDescent="0.2">
      <c r="B35" t="s">
        <v>34</v>
      </c>
      <c r="C35" s="26">
        <f>1909+5261+11891+16239+11912</f>
        <v>47212</v>
      </c>
      <c r="D35" s="56">
        <f t="shared" si="1"/>
        <v>354090000</v>
      </c>
      <c r="E35" s="26">
        <f>4143+1085+7433+16239+117636</f>
        <v>146536</v>
      </c>
      <c r="F35" s="56">
        <f t="shared" si="1"/>
        <v>1099020000</v>
      </c>
      <c r="L35" s="64">
        <f>J31/L31-1</f>
        <v>11.38765420952935</v>
      </c>
      <c r="S35" s="57"/>
    </row>
    <row r="36" spans="1:19" x14ac:dyDescent="0.2">
      <c r="B36" t="s">
        <v>35</v>
      </c>
      <c r="C36" s="60">
        <f>14519+34208+74176+117636+199080</f>
        <v>439619</v>
      </c>
      <c r="D36" s="61">
        <f t="shared" si="1"/>
        <v>10990475000</v>
      </c>
      <c r="E36" s="60">
        <f>3627+719+4371+11912+199080</f>
        <v>219709</v>
      </c>
      <c r="F36" s="61">
        <f t="shared" si="1"/>
        <v>5492725000</v>
      </c>
      <c r="I36" t="s">
        <v>89</v>
      </c>
      <c r="S36" s="57"/>
    </row>
    <row r="37" spans="1:19" x14ac:dyDescent="0.2">
      <c r="C37" s="58">
        <f>SUM(C32:C36)</f>
        <v>607168</v>
      </c>
      <c r="D37" s="59">
        <f t="shared" ref="D37:F37" si="2">SUM(D32:D36)</f>
        <v>11517950250</v>
      </c>
      <c r="E37" s="58">
        <f>SUM(E32:E36)</f>
        <v>607168</v>
      </c>
      <c r="F37" s="59">
        <f t="shared" si="2"/>
        <v>7152210250</v>
      </c>
    </row>
    <row r="38" spans="1:19" x14ac:dyDescent="0.2">
      <c r="D38" s="57"/>
      <c r="F38" s="57"/>
      <c r="I38" t="s">
        <v>88</v>
      </c>
    </row>
    <row r="39" spans="1:19" x14ac:dyDescent="0.2">
      <c r="C39" s="27"/>
      <c r="D39" s="57"/>
      <c r="E39" t="s">
        <v>71</v>
      </c>
      <c r="F39" s="57">
        <f>D37-F37</f>
        <v>4365740000</v>
      </c>
      <c r="I39" t="s">
        <v>87</v>
      </c>
    </row>
    <row r="41" spans="1:19" x14ac:dyDescent="0.2">
      <c r="F41" s="64">
        <f>D37/F37-1</f>
        <v>0.61040431522549277</v>
      </c>
    </row>
    <row r="42" spans="1:19" x14ac:dyDescent="0.2">
      <c r="A42" s="35"/>
      <c r="H42"/>
    </row>
    <row r="43" spans="1:19" x14ac:dyDescent="0.2">
      <c r="A43" s="35"/>
      <c r="H43"/>
    </row>
    <row r="44" spans="1:19" x14ac:dyDescent="0.2">
      <c r="A44" s="35"/>
      <c r="H44"/>
    </row>
    <row r="45" spans="1:19" x14ac:dyDescent="0.2">
      <c r="A45" s="35"/>
      <c r="H45"/>
    </row>
    <row r="46" spans="1:19" x14ac:dyDescent="0.2">
      <c r="A46" s="35"/>
      <c r="H46"/>
    </row>
    <row r="47" spans="1:19" x14ac:dyDescent="0.2">
      <c r="A47" s="35"/>
      <c r="H47"/>
    </row>
    <row r="48" spans="1:19" x14ac:dyDescent="0.2">
      <c r="A48" s="35"/>
      <c r="H48"/>
    </row>
    <row r="49" spans="1:8" x14ac:dyDescent="0.2">
      <c r="A49" s="35"/>
      <c r="H49"/>
    </row>
    <row r="50" spans="1:8" x14ac:dyDescent="0.2">
      <c r="A50" s="35"/>
      <c r="H50"/>
    </row>
    <row r="51" spans="1:8" x14ac:dyDescent="0.2">
      <c r="A51" s="35"/>
      <c r="H51"/>
    </row>
    <row r="52" spans="1:8" x14ac:dyDescent="0.2">
      <c r="A52" s="35"/>
      <c r="H52"/>
    </row>
    <row r="53" spans="1:8" x14ac:dyDescent="0.2">
      <c r="A53" s="35"/>
      <c r="H53"/>
    </row>
    <row r="54" spans="1:8" x14ac:dyDescent="0.2">
      <c r="A54" s="35"/>
      <c r="H54"/>
    </row>
    <row r="55" spans="1:8" x14ac:dyDescent="0.2">
      <c r="A55" s="35"/>
      <c r="H55"/>
    </row>
    <row r="56" spans="1:8" x14ac:dyDescent="0.2">
      <c r="A56" s="35"/>
      <c r="H56"/>
    </row>
    <row r="57" spans="1:8" x14ac:dyDescent="0.2">
      <c r="A57" s="35"/>
      <c r="H57"/>
    </row>
    <row r="58" spans="1:8" x14ac:dyDescent="0.2">
      <c r="A58" s="35"/>
      <c r="H58"/>
    </row>
    <row r="59" spans="1:8" x14ac:dyDescent="0.2">
      <c r="A59" s="35"/>
      <c r="H59"/>
    </row>
  </sheetData>
  <phoneticPr fontId="5" type="noConversion"/>
  <pageMargins left="0.7" right="0.7" top="0.75" bottom="0.75" header="0.3" footer="0.3"/>
  <ignoredErrors>
    <ignoredError sqref="E32:E36 J29:J31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CA075-CC04-C840-A3E4-D605FC250DB6}">
  <dimension ref="A1"/>
  <sheetViews>
    <sheetView workbookViewId="0">
      <selection activeCell="A7" sqref="A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multiclass vs logistic just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Kim</dc:creator>
  <cp:lastModifiedBy>Amy Kim</cp:lastModifiedBy>
  <dcterms:created xsi:type="dcterms:W3CDTF">2022-05-07T20:45:42Z</dcterms:created>
  <dcterms:modified xsi:type="dcterms:W3CDTF">2023-02-09T13:36:03Z</dcterms:modified>
</cp:coreProperties>
</file>