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695" yWindow="165" windowWidth="7230" windowHeight="4470"/>
  </bookViews>
  <sheets>
    <sheet name="БП" sheetId="1" r:id="rId1"/>
    <sheet name="Анализ рекламы" sheetId="2" r:id="rId2"/>
  </sheets>
  <calcPr calcId="124519"/>
</workbook>
</file>

<file path=xl/calcChain.xml><?xml version="1.0" encoding="utf-8"?>
<calcChain xmlns="http://schemas.openxmlformats.org/spreadsheetml/2006/main">
  <c r="T11" i="1"/>
  <c r="H33"/>
  <c r="G33"/>
  <c r="F33"/>
  <c r="E33"/>
  <c r="P43"/>
  <c r="O43"/>
  <c r="O7" s="1"/>
  <c r="N43"/>
  <c r="M43"/>
  <c r="G59" s="1"/>
  <c r="P36"/>
  <c r="O36"/>
  <c r="N36"/>
  <c r="M36"/>
  <c r="P29"/>
  <c r="O29"/>
  <c r="N29"/>
  <c r="M29"/>
  <c r="P26"/>
  <c r="O26"/>
  <c r="N26"/>
  <c r="M26"/>
  <c r="P25"/>
  <c r="P33" s="1"/>
  <c r="O25"/>
  <c r="O33" s="1"/>
  <c r="N25"/>
  <c r="N33" s="1"/>
  <c r="M25"/>
  <c r="M33" s="1"/>
  <c r="O18"/>
  <c r="N18"/>
  <c r="P7"/>
  <c r="P32" s="1"/>
  <c r="N7"/>
  <c r="N32" s="1"/>
  <c r="M7"/>
  <c r="M32" s="1"/>
  <c r="L43"/>
  <c r="C53"/>
  <c r="D9"/>
  <c r="D6" s="1"/>
  <c r="D5" s="1"/>
  <c r="D47" s="1"/>
  <c r="D48" s="1"/>
  <c r="E43"/>
  <c r="E7" s="1"/>
  <c r="F43"/>
  <c r="F7" s="1"/>
  <c r="G43"/>
  <c r="G7" s="1"/>
  <c r="G22"/>
  <c r="H43"/>
  <c r="H7" s="1"/>
  <c r="H32" s="1"/>
  <c r="H9" s="1"/>
  <c r="J29"/>
  <c r="K29"/>
  <c r="L29"/>
  <c r="I29"/>
  <c r="L25"/>
  <c r="L33" s="1"/>
  <c r="L26"/>
  <c r="L7"/>
  <c r="L32" s="1"/>
  <c r="L36"/>
  <c r="K18"/>
  <c r="K25"/>
  <c r="K33" s="1"/>
  <c r="K26"/>
  <c r="K43"/>
  <c r="K7" s="1"/>
  <c r="K36"/>
  <c r="J18"/>
  <c r="T9" s="1"/>
  <c r="J25"/>
  <c r="J33" s="1"/>
  <c r="J26"/>
  <c r="J43"/>
  <c r="J7" s="1"/>
  <c r="J36"/>
  <c r="I25"/>
  <c r="T10" s="1"/>
  <c r="I26"/>
  <c r="I43"/>
  <c r="I7" s="1"/>
  <c r="I36"/>
  <c r="T13" s="1"/>
  <c r="H11" i="2"/>
  <c r="I11"/>
  <c r="J11"/>
  <c r="K11"/>
  <c r="H10"/>
  <c r="I10"/>
  <c r="J10"/>
  <c r="K10"/>
  <c r="D14"/>
  <c r="E14" s="1"/>
  <c r="F14" s="1"/>
  <c r="G14" s="1"/>
  <c r="M5" i="1" l="1"/>
  <c r="I33"/>
  <c r="M9"/>
  <c r="G57"/>
  <c r="P9"/>
  <c r="G60"/>
  <c r="G58"/>
  <c r="O5"/>
  <c r="O32"/>
  <c r="O9" s="1"/>
  <c r="N9"/>
  <c r="P5"/>
  <c r="P46" s="1"/>
  <c r="P47" s="1"/>
  <c r="N5"/>
  <c r="M46"/>
  <c r="M47" s="1"/>
  <c r="L5"/>
  <c r="K5"/>
  <c r="K32"/>
  <c r="G32"/>
  <c r="G9" s="1"/>
  <c r="G5"/>
  <c r="I32"/>
  <c r="I9" s="1"/>
  <c r="I5"/>
  <c r="F32"/>
  <c r="F9" s="1"/>
  <c r="F5"/>
  <c r="J32"/>
  <c r="J9" s="1"/>
  <c r="J5"/>
  <c r="E5"/>
  <c r="E32"/>
  <c r="J14" i="2"/>
  <c r="K14" s="1"/>
  <c r="H14"/>
  <c r="I14" s="1"/>
  <c r="L9" i="1"/>
  <c r="H5"/>
  <c r="H46" s="1"/>
  <c r="H47" s="1"/>
  <c r="T12" l="1"/>
  <c r="Q5"/>
  <c r="K9"/>
  <c r="K46" s="1"/>
  <c r="K47" s="1"/>
  <c r="L46"/>
  <c r="L47" s="1"/>
  <c r="N46"/>
  <c r="N47" s="1"/>
  <c r="O46"/>
  <c r="O47" s="1"/>
  <c r="E9"/>
  <c r="E46" s="1"/>
  <c r="E47" s="1"/>
  <c r="E48" s="1"/>
  <c r="I46"/>
  <c r="I47" s="1"/>
  <c r="J46"/>
  <c r="J47" s="1"/>
  <c r="G46"/>
  <c r="G47" s="1"/>
  <c r="F46"/>
  <c r="F47" s="1"/>
  <c r="Q54" l="1"/>
  <c r="F48"/>
  <c r="G48" s="1"/>
  <c r="H48" s="1"/>
  <c r="I48" s="1"/>
  <c r="J48" s="1"/>
  <c r="K48" s="1"/>
  <c r="L48" l="1"/>
  <c r="M48" s="1"/>
  <c r="N48" s="1"/>
  <c r="O48" s="1"/>
  <c r="P48" s="1"/>
  <c r="Q52"/>
  <c r="Q53" l="1"/>
</calcChain>
</file>

<file path=xl/comments1.xml><?xml version="1.0" encoding="utf-8"?>
<comments xmlns="http://schemas.openxmlformats.org/spreadsheetml/2006/main">
  <authors>
    <author>kav</author>
  </authors>
  <commentList>
    <comment ref="F22" authorId="0">
      <text>
        <r>
          <rPr>
            <b/>
            <sz val="8"/>
            <color indexed="81"/>
            <rFont val="Tahoma"/>
            <charset val="204"/>
          </rPr>
          <t>изготовление</t>
        </r>
      </text>
    </comment>
    <comment ref="G22" authorId="0">
      <text>
        <r>
          <rPr>
            <b/>
            <sz val="8"/>
            <color indexed="81"/>
            <rFont val="Tahoma"/>
            <charset val="204"/>
          </rPr>
          <t xml:space="preserve">Мск-40 инсп. 120 т.р.
С-П - 90 т.р.
Остальные 8 городов - по 10 т.р.
</t>
        </r>
      </text>
    </comment>
  </commentList>
</comments>
</file>

<file path=xl/sharedStrings.xml><?xml version="1.0" encoding="utf-8"?>
<sst xmlns="http://schemas.openxmlformats.org/spreadsheetml/2006/main" count="83" uniqueCount="69">
  <si>
    <t>Инвестиции</t>
  </si>
  <si>
    <t>сентябрь
2013</t>
  </si>
  <si>
    <t>октябрь
2013</t>
  </si>
  <si>
    <t>ноябрь
2013</t>
  </si>
  <si>
    <t>декабрь
2013</t>
  </si>
  <si>
    <t>I кв.
2014</t>
  </si>
  <si>
    <t>II кв.
2014</t>
  </si>
  <si>
    <t>III кв.
2014</t>
  </si>
  <si>
    <t>IV кв.
2014</t>
  </si>
  <si>
    <t>Расходы</t>
  </si>
  <si>
    <t>Нач.фаза</t>
  </si>
  <si>
    <t>Фирменный стиль</t>
  </si>
  <si>
    <t>Дизайн портала</t>
  </si>
  <si>
    <t>Программирование портала</t>
  </si>
  <si>
    <t>Клиент Android</t>
  </si>
  <si>
    <t>Клиент iOS</t>
  </si>
  <si>
    <t>Выручка</t>
  </si>
  <si>
    <t>Кол-во платных аккаунтов</t>
  </si>
  <si>
    <t>Промо-ролик</t>
  </si>
  <si>
    <t>Продвижение и маркетинг</t>
  </si>
  <si>
    <t>CEO</t>
  </si>
  <si>
    <t>Контекстная реклама</t>
  </si>
  <si>
    <t>Инфраструктура</t>
  </si>
  <si>
    <t>Аренда оборудования</t>
  </si>
  <si>
    <t>Трафик (всего бесплатных аккаунтов)</t>
  </si>
  <si>
    <t>Конверсия</t>
  </si>
  <si>
    <t>Стоимость</t>
  </si>
  <si>
    <t>Персонал</t>
  </si>
  <si>
    <t>Директор</t>
  </si>
  <si>
    <t>Чистый денежный поток (ЧДП)</t>
  </si>
  <si>
    <t>Дисконтированный ЧДП</t>
  </si>
  <si>
    <t>Банеры, платные публикации</t>
  </si>
  <si>
    <t>Кликов</t>
  </si>
  <si>
    <t>Посетителей</t>
  </si>
  <si>
    <t>Бюджет(тыс.руб.)</t>
  </si>
  <si>
    <t>Показов(тыс.)</t>
  </si>
  <si>
    <t>CTR(%)</t>
  </si>
  <si>
    <t>Начиная с ноябрь нужно применять дополнительные методы</t>
  </si>
  <si>
    <t>Операторы СТП</t>
  </si>
  <si>
    <t>Налоги</t>
  </si>
  <si>
    <t>УСН(6%)</t>
  </si>
  <si>
    <t>Страховые взносы(20%)</t>
  </si>
  <si>
    <t>Фаза инвестиционная</t>
  </si>
  <si>
    <t>Фаза эксплуатационная</t>
  </si>
  <si>
    <t>Точка 
окупаемости</t>
  </si>
  <si>
    <t>Аренда call-центра</t>
  </si>
  <si>
    <t>Кумулятивный ДЧДП (NPV)</t>
  </si>
  <si>
    <t>Дисконт(месяц)</t>
  </si>
  <si>
    <t>Аренда офиса</t>
  </si>
  <si>
    <t>Административный персонал</t>
  </si>
  <si>
    <t>Хозйственные нужды</t>
  </si>
  <si>
    <t>Семинары, конференции</t>
  </si>
  <si>
    <t>Поступления</t>
  </si>
  <si>
    <t>Производство</t>
  </si>
  <si>
    <t>с июня
2013</t>
  </si>
  <si>
    <t>Контекстная реклама (PPC)</t>
  </si>
  <si>
    <t>Традиционная реклама</t>
  </si>
  <si>
    <t>I кв.
2015</t>
  </si>
  <si>
    <t>II кв.
2015</t>
  </si>
  <si>
    <t>III кв.
2015</t>
  </si>
  <si>
    <t>IV кв.
2015</t>
  </si>
  <si>
    <t>Служба администрирования</t>
  </si>
  <si>
    <t>Маркетинг и продвижение</t>
  </si>
  <si>
    <t>ROI</t>
  </si>
  <si>
    <t>IRR</t>
  </si>
  <si>
    <t>Начало операционной деятельности</t>
  </si>
  <si>
    <t>Точка безубыточности</t>
  </si>
  <si>
    <t>Точка окупаемости</t>
  </si>
  <si>
    <t>Расчетный режим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</si>
</sst>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#,##0.0_ ;[Red]\-#,##0.0\ "/>
    <numFmt numFmtId="166" formatCode="0.0%"/>
  </numFmts>
  <fonts count="9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8"/>
      <color indexed="81"/>
      <name val="Tahoma"/>
      <charset val="204"/>
    </font>
    <font>
      <b/>
      <sz val="10"/>
      <color indexed="10"/>
      <name val="Arial Cyr"/>
      <charset val="204"/>
    </font>
    <font>
      <b/>
      <sz val="10"/>
      <color indexed="12"/>
      <name val="Arial Cyr"/>
      <charset val="204"/>
    </font>
    <font>
      <u/>
      <sz val="10"/>
      <color indexed="12"/>
      <name val="Arial Cyr"/>
      <charset val="204"/>
    </font>
    <font>
      <b/>
      <sz val="11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3" fontId="0" fillId="0" borderId="0" xfId="0" applyNumberFormat="1" applyAlignment="1">
      <alignment horizontal="center" vertical="center"/>
    </xf>
    <xf numFmtId="3" fontId="0" fillId="0" borderId="0" xfId="0" applyNumberFormat="1"/>
    <xf numFmtId="9" fontId="0" fillId="0" borderId="0" xfId="0" applyNumberFormat="1"/>
    <xf numFmtId="164" fontId="0" fillId="0" borderId="0" xfId="0" applyNumberFormat="1"/>
    <xf numFmtId="164" fontId="5" fillId="0" borderId="0" xfId="0" applyNumberFormat="1" applyFont="1"/>
    <xf numFmtId="164" fontId="6" fillId="0" borderId="0" xfId="0" applyNumberFormat="1" applyFont="1"/>
    <xf numFmtId="165" fontId="3" fillId="0" borderId="0" xfId="0" applyNumberFormat="1" applyFont="1"/>
    <xf numFmtId="0" fontId="0" fillId="0" borderId="1" xfId="0" applyBorder="1" applyAlignment="1">
      <alignment horizontal="center" vertical="center" wrapText="1"/>
    </xf>
    <xf numFmtId="4" fontId="0" fillId="0" borderId="0" xfId="0" applyNumberFormat="1" applyAlignment="1">
      <alignment horizontal="left"/>
    </xf>
    <xf numFmtId="3" fontId="3" fillId="0" borderId="0" xfId="0" applyNumberFormat="1" applyFont="1"/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3" fontId="3" fillId="0" borderId="3" xfId="0" applyNumberFormat="1" applyFont="1" applyBorder="1"/>
    <xf numFmtId="3" fontId="0" fillId="0" borderId="3" xfId="0" applyNumberFormat="1" applyBorder="1"/>
    <xf numFmtId="164" fontId="0" fillId="0" borderId="3" xfId="0" applyNumberFormat="1" applyBorder="1"/>
    <xf numFmtId="0" fontId="7" fillId="0" borderId="0" xfId="1" applyAlignment="1" applyProtection="1">
      <alignment horizontal="left" indent="1"/>
    </xf>
    <xf numFmtId="0" fontId="0" fillId="2" borderId="1" xfId="0" applyFill="1" applyBorder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 wrapText="1"/>
    </xf>
    <xf numFmtId="164" fontId="6" fillId="2" borderId="0" xfId="0" applyNumberFormat="1" applyFont="1" applyFill="1"/>
    <xf numFmtId="164" fontId="0" fillId="2" borderId="0" xfId="0" applyNumberFormat="1" applyFill="1"/>
    <xf numFmtId="164" fontId="5" fillId="2" borderId="0" xfId="0" applyNumberFormat="1" applyFont="1" applyFill="1"/>
    <xf numFmtId="3" fontId="0" fillId="2" borderId="0" xfId="0" applyNumberFormat="1" applyFill="1"/>
    <xf numFmtId="165" fontId="3" fillId="2" borderId="0" xfId="0" applyNumberFormat="1" applyFont="1" applyFill="1"/>
    <xf numFmtId="0" fontId="0" fillId="3" borderId="1" xfId="0" applyFill="1" applyBorder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 wrapText="1"/>
    </xf>
    <xf numFmtId="164" fontId="6" fillId="3" borderId="0" xfId="0" applyNumberFormat="1" applyFont="1" applyFill="1"/>
    <xf numFmtId="164" fontId="0" fillId="3" borderId="0" xfId="0" applyNumberFormat="1" applyFill="1"/>
    <xf numFmtId="164" fontId="5" fillId="3" borderId="0" xfId="0" applyNumberFormat="1" applyFont="1" applyFill="1"/>
    <xf numFmtId="3" fontId="0" fillId="3" borderId="0" xfId="0" applyNumberFormat="1" applyFill="1"/>
    <xf numFmtId="165" fontId="3" fillId="3" borderId="0" xfId="0" applyNumberFormat="1" applyFont="1" applyFill="1"/>
    <xf numFmtId="0" fontId="0" fillId="0" borderId="4" xfId="0" applyBorder="1" applyAlignment="1">
      <alignment horizontal="center" vertical="center"/>
    </xf>
    <xf numFmtId="0" fontId="0" fillId="4" borderId="0" xfId="0" applyFill="1" applyAlignment="1">
      <alignment vertical="center"/>
    </xf>
    <xf numFmtId="164" fontId="6" fillId="4" borderId="0" xfId="0" applyNumberFormat="1" applyFont="1" applyFill="1"/>
    <xf numFmtId="164" fontId="0" fillId="4" borderId="0" xfId="0" applyNumberFormat="1" applyFill="1"/>
    <xf numFmtId="164" fontId="5" fillId="4" borderId="0" xfId="0" applyNumberFormat="1" applyFont="1" applyFill="1"/>
    <xf numFmtId="3" fontId="0" fillId="4" borderId="0" xfId="0" applyNumberFormat="1" applyFill="1"/>
    <xf numFmtId="165" fontId="3" fillId="4" borderId="0" xfId="0" applyNumberFormat="1" applyFont="1" applyFill="1"/>
    <xf numFmtId="165" fontId="0" fillId="0" borderId="0" xfId="0" applyNumberFormat="1"/>
    <xf numFmtId="166" fontId="3" fillId="4" borderId="0" xfId="0" applyNumberFormat="1" applyFont="1" applyFill="1"/>
    <xf numFmtId="1" fontId="1" fillId="0" borderId="0" xfId="0" applyNumberFormat="1" applyFont="1"/>
    <xf numFmtId="1" fontId="1" fillId="0" borderId="0" xfId="0" applyNumberFormat="1" applyFont="1" applyAlignment="1">
      <alignment vertical="center"/>
    </xf>
    <xf numFmtId="166" fontId="0" fillId="0" borderId="0" xfId="0" applyNumberFormat="1"/>
    <xf numFmtId="0" fontId="3" fillId="0" borderId="0" xfId="0" applyFont="1" applyAlignment="1">
      <alignment wrapText="1"/>
    </xf>
    <xf numFmtId="0" fontId="0" fillId="0" borderId="5" xfId="0" applyBorder="1" applyAlignment="1">
      <alignment horizontal="center" vertical="center" wrapText="1"/>
    </xf>
    <xf numFmtId="3" fontId="0" fillId="2" borderId="0" xfId="0" applyNumberFormat="1" applyFill="1" applyBorder="1" applyAlignment="1">
      <alignment horizontal="center" vertical="center" wrapText="1"/>
    </xf>
    <xf numFmtId="164" fontId="6" fillId="2" borderId="0" xfId="0" applyNumberFormat="1" applyFont="1" applyFill="1" applyBorder="1"/>
    <xf numFmtId="164" fontId="0" fillId="2" borderId="0" xfId="0" applyNumberFormat="1" applyFill="1" applyBorder="1"/>
    <xf numFmtId="164" fontId="5" fillId="2" borderId="0" xfId="0" applyNumberFormat="1" applyFont="1" applyFill="1" applyBorder="1"/>
    <xf numFmtId="3" fontId="0" fillId="2" borderId="0" xfId="0" applyNumberFormat="1" applyFill="1" applyBorder="1"/>
    <xf numFmtId="165" fontId="3" fillId="2" borderId="0" xfId="0" applyNumberFormat="1" applyFont="1" applyFill="1" applyBorder="1"/>
    <xf numFmtId="3" fontId="0" fillId="2" borderId="7" xfId="0" applyNumberFormat="1" applyFill="1" applyBorder="1" applyAlignment="1">
      <alignment horizontal="center" vertical="center" wrapText="1"/>
    </xf>
    <xf numFmtId="164" fontId="6" fillId="2" borderId="7" xfId="0" applyNumberFormat="1" applyFont="1" applyFill="1" applyBorder="1"/>
    <xf numFmtId="164" fontId="0" fillId="2" borderId="7" xfId="0" applyNumberFormat="1" applyFill="1" applyBorder="1"/>
    <xf numFmtId="164" fontId="5" fillId="2" borderId="7" xfId="0" applyNumberFormat="1" applyFont="1" applyFill="1" applyBorder="1"/>
    <xf numFmtId="3" fontId="0" fillId="2" borderId="7" xfId="0" applyNumberFormat="1" applyFill="1" applyBorder="1"/>
    <xf numFmtId="165" fontId="3" fillId="2" borderId="7" xfId="0" applyNumberFormat="1" applyFont="1" applyFill="1" applyBorder="1"/>
    <xf numFmtId="3" fontId="0" fillId="3" borderId="11" xfId="0" applyNumberFormat="1" applyFill="1" applyBorder="1" applyAlignment="1">
      <alignment horizontal="center" vertical="center" wrapText="1"/>
    </xf>
    <xf numFmtId="164" fontId="6" fillId="3" borderId="0" xfId="0" applyNumberFormat="1" applyFont="1" applyFill="1" applyBorder="1"/>
    <xf numFmtId="164" fontId="0" fillId="3" borderId="0" xfId="0" applyNumberFormat="1" applyFill="1" applyBorder="1"/>
    <xf numFmtId="164" fontId="5" fillId="3" borderId="0" xfId="0" applyNumberFormat="1" applyFont="1" applyFill="1" applyBorder="1"/>
    <xf numFmtId="3" fontId="0" fillId="3" borderId="0" xfId="0" applyNumberFormat="1" applyFill="1" applyBorder="1"/>
    <xf numFmtId="165" fontId="3" fillId="3" borderId="0" xfId="0" applyNumberFormat="1" applyFont="1" applyFill="1" applyBorder="1"/>
    <xf numFmtId="165" fontId="3" fillId="0" borderId="0" xfId="0" applyNumberFormat="1" applyFont="1" applyBorder="1"/>
    <xf numFmtId="0" fontId="0" fillId="0" borderId="0" xfId="0" applyBorder="1"/>
    <xf numFmtId="0" fontId="0" fillId="3" borderId="6" xfId="0" applyFill="1" applyBorder="1" applyAlignment="1">
      <alignment horizontal="center" vertical="center" wrapText="1"/>
    </xf>
    <xf numFmtId="3" fontId="0" fillId="3" borderId="12" xfId="0" applyNumberFormat="1" applyFill="1" applyBorder="1" applyAlignment="1">
      <alignment horizontal="center" vertical="center" wrapText="1"/>
    </xf>
    <xf numFmtId="164" fontId="6" fillId="3" borderId="7" xfId="0" applyNumberFormat="1" applyFont="1" applyFill="1" applyBorder="1"/>
    <xf numFmtId="164" fontId="0" fillId="3" borderId="7" xfId="0" applyNumberFormat="1" applyFill="1" applyBorder="1"/>
    <xf numFmtId="164" fontId="5" fillId="3" borderId="7" xfId="0" applyNumberFormat="1" applyFont="1" applyFill="1" applyBorder="1"/>
    <xf numFmtId="3" fontId="0" fillId="3" borderId="7" xfId="0" applyNumberFormat="1" applyFill="1" applyBorder="1"/>
    <xf numFmtId="165" fontId="3" fillId="3" borderId="7" xfId="0" applyNumberFormat="1" applyFont="1" applyFill="1" applyBorder="1"/>
    <xf numFmtId="166" fontId="0" fillId="3" borderId="0" xfId="0" applyNumberFormat="1" applyFill="1"/>
    <xf numFmtId="166" fontId="0" fillId="3" borderId="0" xfId="0" applyNumberFormat="1" applyFill="1" applyBorder="1"/>
    <xf numFmtId="166" fontId="0" fillId="3" borderId="7" xfId="0" applyNumberFormat="1" applyFill="1" applyBorder="1"/>
    <xf numFmtId="166" fontId="0" fillId="2" borderId="0" xfId="0" applyNumberFormat="1" applyFill="1" applyBorder="1"/>
    <xf numFmtId="166" fontId="0" fillId="2" borderId="7" xfId="0" applyNumberFormat="1" applyFill="1" applyBorder="1"/>
    <xf numFmtId="166" fontId="0" fillId="2" borderId="0" xfId="0" applyNumberFormat="1" applyFill="1"/>
    <xf numFmtId="166" fontId="0" fillId="4" borderId="0" xfId="0" applyNumberFormat="1" applyFill="1"/>
    <xf numFmtId="166" fontId="3" fillId="2" borderId="7" xfId="0" applyNumberFormat="1" applyFont="1" applyFill="1" applyBorder="1"/>
    <xf numFmtId="165" fontId="3" fillId="0" borderId="13" xfId="0" applyNumberFormat="1" applyFont="1" applyBorder="1"/>
    <xf numFmtId="0" fontId="0" fillId="2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3" fillId="0" borderId="16" xfId="0" applyFont="1" applyBorder="1"/>
    <xf numFmtId="3" fontId="8" fillId="0" borderId="17" xfId="0" applyNumberFormat="1" applyFont="1" applyBorder="1"/>
    <xf numFmtId="0" fontId="3" fillId="0" borderId="18" xfId="0" applyFont="1" applyBorder="1"/>
    <xf numFmtId="166" fontId="8" fillId="0" borderId="19" xfId="0" applyNumberFormat="1" applyFont="1" applyBorder="1"/>
    <xf numFmtId="0" fontId="3" fillId="0" borderId="20" xfId="0" applyFont="1" applyBorder="1"/>
    <xf numFmtId="9" fontId="8" fillId="0" borderId="21" xfId="0" applyNumberFormat="1" applyFont="1" applyBorder="1"/>
    <xf numFmtId="14" fontId="0" fillId="0" borderId="0" xfId="0" applyNumberFormat="1"/>
    <xf numFmtId="4" fontId="0" fillId="0" borderId="0" xfId="0" applyNumberFormat="1"/>
    <xf numFmtId="0" fontId="0" fillId="0" borderId="8" xfId="0" applyBorder="1" applyAlignment="1">
      <alignment horizontal="center"/>
    </xf>
    <xf numFmtId="3" fontId="0" fillId="2" borderId="10" xfId="0" applyNumberForma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5.106382978723404E-2"/>
          <c:y val="0.19615384615384615"/>
          <c:w val="0.42978723404255331"/>
          <c:h val="0.77692307692307749"/>
        </c:manualLayout>
      </c:layout>
      <c:doughnutChart>
        <c:varyColors val="1"/>
        <c:ser>
          <c:idx val="0"/>
          <c:order val="0"/>
          <c:spPr>
            <a:solidFill>
              <a:srgbClr val="9999FF"/>
            </a:solidFill>
            <a:ln w="3175">
              <a:solidFill>
                <a:srgbClr val="000000"/>
              </a:solidFill>
              <a:prstDash val="solid"/>
            </a:ln>
          </c:spPr>
          <c:dPt>
            <c:idx val="0"/>
            <c:spPr>
              <a:gradFill rotWithShape="0">
                <a:gsLst>
                  <a:gs pos="0">
                    <a:srgbClr val="9999FF">
                      <a:gamma/>
                      <a:shade val="64314"/>
                      <a:invGamma/>
                    </a:srgbClr>
                  </a:gs>
                  <a:gs pos="50000">
                    <a:srgbClr val="9999FF"/>
                  </a:gs>
                  <a:gs pos="100000">
                    <a:srgbClr val="9999FF">
                      <a:gamma/>
                      <a:shade val="64314"/>
                      <a:invGamma/>
                    </a:srgbClr>
                  </a:gs>
                </a:gsLst>
                <a:lin ang="5400000" scaled="1"/>
              </a:gra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gradFill rotWithShape="0">
                <a:gsLst>
                  <a:gs pos="0">
                    <a:srgbClr val="99CC00">
                      <a:gamma/>
                      <a:tint val="50588"/>
                      <a:invGamma/>
                    </a:srgbClr>
                  </a:gs>
                  <a:gs pos="50000">
                    <a:srgbClr val="99CC00"/>
                  </a:gs>
                  <a:gs pos="100000">
                    <a:srgbClr val="99CC00">
                      <a:gamma/>
                      <a:tint val="50588"/>
                      <a:invGamma/>
                    </a:srgbClr>
                  </a:gs>
                </a:gsLst>
                <a:lin ang="5400000" scaled="1"/>
              </a:gra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gradFill rotWithShape="0">
                <a:gsLst>
                  <a:gs pos="0">
                    <a:srgbClr val="FFFFCC">
                      <a:gamma/>
                      <a:shade val="80392"/>
                      <a:invGamma/>
                    </a:srgbClr>
                  </a:gs>
                  <a:gs pos="50000">
                    <a:srgbClr val="FFFFCC"/>
                  </a:gs>
                  <a:gs pos="100000">
                    <a:srgbClr val="FFFFCC">
                      <a:gamma/>
                      <a:shade val="80392"/>
                      <a:invGamma/>
                    </a:srgbClr>
                  </a:gs>
                </a:gsLst>
                <a:lin ang="5400000" scaled="1"/>
              </a:gra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gradFill rotWithShape="0">
                <a:gsLst>
                  <a:gs pos="0">
                    <a:srgbClr val="CCFFFF">
                      <a:gamma/>
                      <a:shade val="78039"/>
                      <a:invGamma/>
                    </a:srgbClr>
                  </a:gs>
                  <a:gs pos="50000">
                    <a:srgbClr val="CCFFFF"/>
                  </a:gs>
                  <a:gs pos="100000">
                    <a:srgbClr val="CCFFFF">
                      <a:gamma/>
                      <a:shade val="78039"/>
                      <a:invGamma/>
                    </a:srgbClr>
                  </a:gs>
                </a:gsLst>
                <a:lin ang="5400000" scaled="1"/>
              </a:gra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gradFill rotWithShape="0">
                <a:gsLst>
                  <a:gs pos="0">
                    <a:srgbClr val="C0C0C0">
                      <a:gamma/>
                      <a:shade val="71373"/>
                      <a:invGamma/>
                    </a:srgbClr>
                  </a:gs>
                  <a:gs pos="50000">
                    <a:srgbClr val="C0C0C0"/>
                  </a:gs>
                  <a:gs pos="100000">
                    <a:srgbClr val="C0C0C0">
                      <a:gamma/>
                      <a:shade val="71373"/>
                      <a:invGamma/>
                    </a:srgbClr>
                  </a:gs>
                </a:gsLst>
                <a:lin ang="5400000" scaled="1"/>
              </a:gradFill>
              <a:ln w="3175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3"/>
              <c:layout>
                <c:manualLayout>
                  <c:x val="-3.3668397833249562E-2"/>
                  <c:y val="-0.14288956188168786"/>
                </c:manualLayout>
              </c:layout>
              <c:showPercent val="1"/>
            </c:dLbl>
            <c:dLbl>
              <c:idx val="4"/>
              <c:layout>
                <c:manualLayout>
                  <c:x val="5.6777796392472393E-3"/>
                  <c:y val="-0.15742984050070674"/>
                </c:manualLayout>
              </c:layout>
              <c:showPercent val="1"/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Percent val="1"/>
          </c:dLbls>
          <c:cat>
            <c:strRef>
              <c:f>БП!$S$9:$S$13</c:f>
              <c:strCache>
                <c:ptCount val="5"/>
                <c:pt idx="0">
                  <c:v>Продвижение и маркетинг</c:v>
                </c:pt>
                <c:pt idx="1">
                  <c:v>Персонал</c:v>
                </c:pt>
                <c:pt idx="2">
                  <c:v>Производство</c:v>
                </c:pt>
                <c:pt idx="3">
                  <c:v>Налоги</c:v>
                </c:pt>
                <c:pt idx="4">
                  <c:v>Инфраструктура</c:v>
                </c:pt>
              </c:strCache>
            </c:strRef>
          </c:cat>
          <c:val>
            <c:numRef>
              <c:f>БП!$T$9:$T$13</c:f>
              <c:numCache>
                <c:formatCode>0</c:formatCode>
                <c:ptCount val="5"/>
                <c:pt idx="0">
                  <c:v>22000</c:v>
                </c:pt>
                <c:pt idx="1">
                  <c:v>5780</c:v>
                </c:pt>
                <c:pt idx="2">
                  <c:v>1318</c:v>
                </c:pt>
                <c:pt idx="3">
                  <c:v>5053.33</c:v>
                </c:pt>
                <c:pt idx="4">
                  <c:v>3920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276595744680864"/>
          <c:y val="0.37307692307692325"/>
          <c:w val="0.44468085106382982"/>
          <c:h val="0.36923076923076942"/>
        </c:manualLayout>
      </c:layout>
      <c:spPr>
        <a:noFill/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zero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plotArea>
      <c:layout>
        <c:manualLayout>
          <c:layoutTarget val="inner"/>
          <c:xMode val="edge"/>
          <c:yMode val="edge"/>
          <c:x val="2.2600083213674578E-2"/>
          <c:y val="0.1440740157480315"/>
          <c:w val="0.8906910876107188"/>
          <c:h val="0.59378754738990958"/>
        </c:manualLayout>
      </c:layout>
      <c:lineChart>
        <c:grouping val="standard"/>
        <c:ser>
          <c:idx val="0"/>
          <c:order val="0"/>
          <c:cat>
            <c:numRef>
              <c:f>БП!$D$56:$D$60</c:f>
              <c:numCache>
                <c:formatCode>dd/mm/yyyy</c:formatCode>
                <c:ptCount val="5"/>
                <c:pt idx="0">
                  <c:v>41518</c:v>
                </c:pt>
                <c:pt idx="1">
                  <c:v>41640</c:v>
                </c:pt>
                <c:pt idx="2">
                  <c:v>41821</c:v>
                </c:pt>
                <c:pt idx="3">
                  <c:v>42005</c:v>
                </c:pt>
                <c:pt idx="4">
                  <c:v>42186</c:v>
                </c:pt>
              </c:numCache>
            </c:numRef>
          </c:cat>
          <c:val>
            <c:numRef>
              <c:f>БП!$E$56:$E$60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dLbls>
            <c:dLbl>
              <c:idx val="0"/>
              <c:layout>
                <c:manualLayout>
                  <c:x val="5.3697897854511324E-2"/>
                  <c:y val="-6.5779828880906499E-2"/>
                </c:manualLayout>
              </c:layout>
              <c:tx>
                <c:strRef>
                  <c:f>БП!$C$56</c:f>
                  <c:strCache>
                    <c:ptCount val="1"/>
                    <c:pt idx="0">
                      <c:v>Начало операционной деятельности</c:v>
                    </c:pt>
                  </c:strCache>
                </c:strRef>
              </c:tx>
              <c:dLblPos val="l"/>
              <c:showVal val="1"/>
            </c:dLbl>
            <c:dLbl>
              <c:idx val="1"/>
              <c:layout>
                <c:manualLayout>
                  <c:x val="0.20387359836901117"/>
                  <c:y val="-0.35448168676800601"/>
                </c:manualLayout>
              </c:layout>
              <c:tx>
                <c:strRef>
                  <c:f>БП!$C$58</c:f>
                  <c:strCache>
                    <c:ptCount val="1"/>
                    <c:pt idx="0">
                      <c:v>Точка безубыточности</c:v>
                    </c:pt>
                  </c:strCache>
                </c:strRef>
              </c:tx>
              <c:dLblPos val="t"/>
              <c:showVal val="1"/>
            </c:dLbl>
            <c:dLbl>
              <c:idx val="2"/>
              <c:layout>
                <c:manualLayout>
                  <c:x val="0.30456243428287078"/>
                  <c:y val="-0.2018294994092506"/>
                </c:manualLayout>
              </c:layout>
              <c:tx>
                <c:strRef>
                  <c:f>БП!$C$59</c:f>
                  <c:strCache>
                    <c:ptCount val="1"/>
                    <c:pt idx="0">
                      <c:v>Точка окупаемости</c:v>
                    </c:pt>
                  </c:strCache>
                </c:strRef>
              </c:tx>
              <c:dLblPos val="l"/>
              <c:showVal val="1"/>
            </c:dLbl>
            <c:dLbl>
              <c:idx val="3"/>
              <c:layout>
                <c:manualLayout>
                  <c:x val="0.21106942085159502"/>
                  <c:y val="-3.0165489973344849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Расчетный </a:t>
                    </a:r>
                  </a:p>
                  <a:p>
                    <a:r>
                      <a:rPr lang="ru-RU"/>
                      <a:t>режим</a:t>
                    </a:r>
                  </a:p>
                </c:rich>
              </c:tx>
              <c:dLblPos val="l"/>
              <c:showVal val="1"/>
            </c:dLbl>
            <c:dLbl>
              <c:idx val="4"/>
              <c:delete val="1"/>
            </c:dLbl>
            <c:dLblPos val="l"/>
            <c:showVal val="1"/>
          </c:dLbls>
          <c:cat>
            <c:numRef>
              <c:f>БП!$D$56:$D$60</c:f>
              <c:numCache>
                <c:formatCode>dd/mm/yyyy</c:formatCode>
                <c:ptCount val="5"/>
                <c:pt idx="0">
                  <c:v>41518</c:v>
                </c:pt>
                <c:pt idx="1">
                  <c:v>41640</c:v>
                </c:pt>
                <c:pt idx="2">
                  <c:v>41821</c:v>
                </c:pt>
                <c:pt idx="3">
                  <c:v>42005</c:v>
                </c:pt>
                <c:pt idx="4">
                  <c:v>42186</c:v>
                </c:pt>
              </c:numCache>
            </c:numRef>
          </c:cat>
          <c:val>
            <c:numRef>
              <c:f>БП!$F$56:$F$60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7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dropLines/>
        <c:marker val="1"/>
        <c:axId val="129021824"/>
        <c:axId val="129023360"/>
      </c:lineChart>
      <c:lineChart>
        <c:grouping val="standard"/>
        <c:ser>
          <c:idx val="2"/>
          <c:order val="2"/>
          <c:spPr>
            <a:ln>
              <a:solidFill>
                <a:srgbClr val="1F497D">
                  <a:lumMod val="75000"/>
                  <a:alpha val="63000"/>
                </a:srgbClr>
              </a:solidFill>
            </a:ln>
          </c:spPr>
          <c:marker>
            <c:symbol val="none"/>
          </c:marker>
          <c:cat>
            <c:numRef>
              <c:f>БП!$D$56:$D$60</c:f>
              <c:numCache>
                <c:formatCode>dd/mm/yyyy</c:formatCode>
                <c:ptCount val="5"/>
                <c:pt idx="0">
                  <c:v>41518</c:v>
                </c:pt>
                <c:pt idx="1">
                  <c:v>41640</c:v>
                </c:pt>
                <c:pt idx="2">
                  <c:v>41821</c:v>
                </c:pt>
                <c:pt idx="3">
                  <c:v>42005</c:v>
                </c:pt>
                <c:pt idx="4">
                  <c:v>42186</c:v>
                </c:pt>
              </c:numCache>
            </c:numRef>
          </c:cat>
          <c:val>
            <c:numRef>
              <c:f>БП!$G$56:$G$60</c:f>
              <c:numCache>
                <c:formatCode>#,##0.00</c:formatCode>
                <c:ptCount val="5"/>
                <c:pt idx="0">
                  <c:v>0</c:v>
                </c:pt>
                <c:pt idx="1">
                  <c:v>0.6</c:v>
                </c:pt>
                <c:pt idx="2">
                  <c:v>4.5</c:v>
                </c:pt>
                <c:pt idx="3">
                  <c:v>7.3</c:v>
                </c:pt>
                <c:pt idx="4">
                  <c:v>7.5</c:v>
                </c:pt>
              </c:numCache>
            </c:numRef>
          </c:val>
        </c:ser>
        <c:marker val="1"/>
        <c:axId val="128912384"/>
        <c:axId val="128910464"/>
      </c:lineChart>
      <c:dateAx>
        <c:axId val="129021824"/>
        <c:scaling>
          <c:orientation val="minMax"/>
        </c:scaling>
        <c:axPos val="b"/>
        <c:numFmt formatCode="[$-F419]yyyy\,\ mmmm;@" sourceLinked="0"/>
        <c:majorTickMark val="none"/>
        <c:minorTickMark val="out"/>
        <c:tickLblPos val="nextTo"/>
        <c:spPr>
          <a:ln>
            <a:noFill/>
          </a:ln>
        </c:spPr>
        <c:txPr>
          <a:bodyPr rot="3000000" vert="horz"/>
          <a:lstStyle/>
          <a:p>
            <a:pPr>
              <a:defRPr/>
            </a:pPr>
            <a:endParaRPr lang="ru-RU"/>
          </a:p>
        </c:txPr>
        <c:crossAx val="129023360"/>
        <c:crosses val="autoZero"/>
        <c:lblOffset val="100"/>
        <c:baseTimeUnit val="months"/>
        <c:majorUnit val="2"/>
        <c:majorTimeUnit val="months"/>
      </c:dateAx>
      <c:valAx>
        <c:axId val="129023360"/>
        <c:scaling>
          <c:orientation val="minMax"/>
        </c:scaling>
        <c:delete val="1"/>
        <c:axPos val="l"/>
        <c:numFmt formatCode="General" sourceLinked="1"/>
        <c:tickLblPos val="nextTo"/>
        <c:crossAx val="129021824"/>
        <c:crosses val="autoZero"/>
        <c:crossBetween val="between"/>
      </c:valAx>
      <c:valAx>
        <c:axId val="128910464"/>
        <c:scaling>
          <c:orientation val="minMax"/>
        </c:scaling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 b="0"/>
                  <a:t>Кол-во платных </a:t>
                </a:r>
              </a:p>
              <a:p>
                <a:pPr>
                  <a:defRPr/>
                </a:pPr>
                <a:r>
                  <a:rPr lang="ru-RU" b="0"/>
                  <a:t>аккаунтов, тыс.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80172303893062835"/>
              <c:y val="2.6227034120734911E-2"/>
            </c:manualLayout>
          </c:layout>
        </c:title>
        <c:numFmt formatCode="#,##0.0" sourceLinked="0"/>
        <c:tickLblPos val="nextTo"/>
        <c:crossAx val="128912384"/>
        <c:crosses val="max"/>
        <c:crossBetween val="between"/>
      </c:valAx>
      <c:dateAx>
        <c:axId val="128912384"/>
        <c:scaling>
          <c:orientation val="minMax"/>
        </c:scaling>
        <c:delete val="1"/>
        <c:axPos val="b"/>
        <c:numFmt formatCode="dd/mm/yyyy" sourceLinked="1"/>
        <c:tickLblPos val="nextTo"/>
        <c:crossAx val="128910464"/>
        <c:crosses val="autoZero"/>
        <c:auto val="1"/>
        <c:lblOffset val="100"/>
      </c:date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13</xdr:row>
      <xdr:rowOff>123825</xdr:rowOff>
    </xdr:from>
    <xdr:to>
      <xdr:col>23</xdr:col>
      <xdr:colOff>161925</xdr:colOff>
      <xdr:row>30</xdr:row>
      <xdr:rowOff>9525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628649</xdr:colOff>
      <xdr:row>60</xdr:row>
      <xdr:rowOff>152400</xdr:rowOff>
    </xdr:from>
    <xdr:to>
      <xdr:col>14</xdr:col>
      <xdr:colOff>438150</xdr:colOff>
      <xdr:row>84</xdr:row>
      <xdr:rowOff>76200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62"/>
  <sheetViews>
    <sheetView tabSelected="1" topLeftCell="C1" workbookViewId="0">
      <selection activeCell="H23" sqref="H23"/>
    </sheetView>
  </sheetViews>
  <sheetFormatPr defaultRowHeight="12.75"/>
  <cols>
    <col min="1" max="1" width="4.28515625" customWidth="1"/>
    <col min="2" max="2" width="11.140625" customWidth="1"/>
    <col min="3" max="3" width="29.85546875" customWidth="1"/>
    <col min="4" max="4" width="10.28515625" customWidth="1"/>
    <col min="7" max="7" width="9.7109375" bestFit="1" customWidth="1"/>
    <col min="8" max="8" width="11.28515625" bestFit="1" customWidth="1"/>
    <col min="11" max="11" width="10.85546875" customWidth="1"/>
    <col min="12" max="12" width="10.28515625" customWidth="1"/>
    <col min="13" max="13" width="11.140625" customWidth="1"/>
    <col min="14" max="15" width="12.7109375" customWidth="1"/>
    <col min="16" max="16" width="13.140625" customWidth="1"/>
    <col min="17" max="17" width="12.140625" customWidth="1"/>
    <col min="19" max="19" width="25.5703125" customWidth="1"/>
    <col min="20" max="20" width="9.140625" style="42"/>
  </cols>
  <sheetData>
    <row r="1" spans="2:21" ht="13.5" thickBot="1">
      <c r="U1" s="18"/>
    </row>
    <row r="2" spans="2:21" ht="14.25" thickTop="1" thickBot="1">
      <c r="D2" s="33" t="s">
        <v>10</v>
      </c>
      <c r="E2" s="96" t="s">
        <v>42</v>
      </c>
      <c r="F2" s="94"/>
      <c r="G2" s="94"/>
      <c r="H2" s="94"/>
      <c r="I2" s="94"/>
      <c r="J2" s="97"/>
      <c r="K2" s="96" t="s">
        <v>43</v>
      </c>
      <c r="L2" s="94"/>
      <c r="M2" s="94"/>
      <c r="N2" s="94"/>
      <c r="O2" s="94"/>
      <c r="P2" s="97"/>
      <c r="U2" s="18"/>
    </row>
    <row r="3" spans="2:21" s="1" customFormat="1" ht="32.25" customHeight="1" thickTop="1" thickBot="1">
      <c r="D3" s="46" t="s">
        <v>54</v>
      </c>
      <c r="E3" s="26" t="s">
        <v>1</v>
      </c>
      <c r="F3" s="26" t="s">
        <v>2</v>
      </c>
      <c r="G3" s="26" t="s">
        <v>3</v>
      </c>
      <c r="H3" s="67" t="s">
        <v>4</v>
      </c>
      <c r="I3" s="19" t="s">
        <v>5</v>
      </c>
      <c r="J3" s="19" t="s">
        <v>6</v>
      </c>
      <c r="K3" s="19" t="s">
        <v>7</v>
      </c>
      <c r="L3" s="83" t="s">
        <v>8</v>
      </c>
      <c r="M3" s="84" t="s">
        <v>57</v>
      </c>
      <c r="N3" s="85" t="s">
        <v>58</v>
      </c>
      <c r="O3" s="85" t="s">
        <v>59</v>
      </c>
      <c r="P3" s="85" t="s">
        <v>60</v>
      </c>
      <c r="T3" s="43"/>
      <c r="U3" s="18"/>
    </row>
    <row r="4" spans="2:21" s="1" customFormat="1">
      <c r="D4" s="3"/>
      <c r="E4" s="27"/>
      <c r="F4" s="27"/>
      <c r="G4" s="59"/>
      <c r="H4" s="68"/>
      <c r="I4" s="47"/>
      <c r="J4" s="47"/>
      <c r="K4" s="20"/>
      <c r="L4" s="53"/>
      <c r="M4" s="34"/>
      <c r="N4" s="34"/>
      <c r="O4" s="34"/>
      <c r="P4" s="34"/>
      <c r="T4" s="43"/>
      <c r="U4" s="18"/>
    </row>
    <row r="5" spans="2:21" s="8" customFormat="1">
      <c r="B5" s="8" t="s">
        <v>52</v>
      </c>
      <c r="D5" s="8">
        <f t="shared" ref="D5:P5" si="0">SUM(D6:D7)</f>
        <v>360</v>
      </c>
      <c r="E5" s="28">
        <f t="shared" si="0"/>
        <v>0.5</v>
      </c>
      <c r="F5" s="28">
        <f t="shared" si="0"/>
        <v>5</v>
      </c>
      <c r="G5" s="60">
        <f t="shared" si="0"/>
        <v>50</v>
      </c>
      <c r="H5" s="69">
        <f t="shared" si="0"/>
        <v>250</v>
      </c>
      <c r="I5" s="48">
        <f t="shared" si="0"/>
        <v>900</v>
      </c>
      <c r="J5" s="48">
        <f t="shared" si="0"/>
        <v>2250</v>
      </c>
      <c r="K5" s="21">
        <f t="shared" si="0"/>
        <v>6750</v>
      </c>
      <c r="L5" s="54">
        <f t="shared" si="0"/>
        <v>10200</v>
      </c>
      <c r="M5" s="35">
        <f>SUM(M6:M7)</f>
        <v>10950</v>
      </c>
      <c r="N5" s="35">
        <f t="shared" si="0"/>
        <v>11100</v>
      </c>
      <c r="O5" s="35">
        <f t="shared" si="0"/>
        <v>11250</v>
      </c>
      <c r="P5" s="35">
        <f t="shared" si="0"/>
        <v>11250</v>
      </c>
      <c r="Q5" s="8">
        <f>SUM(M5:P5)</f>
        <v>44550</v>
      </c>
      <c r="T5" s="42"/>
      <c r="U5" s="18"/>
    </row>
    <row r="6" spans="2:21" s="6" customFormat="1">
      <c r="C6" s="6" t="s">
        <v>0</v>
      </c>
      <c r="D6" s="6">
        <f>D9</f>
        <v>360</v>
      </c>
      <c r="E6" s="29"/>
      <c r="F6" s="29"/>
      <c r="G6" s="61"/>
      <c r="H6" s="70"/>
      <c r="I6" s="49"/>
      <c r="J6" s="49"/>
      <c r="K6" s="22"/>
      <c r="L6" s="55"/>
      <c r="M6" s="36"/>
      <c r="N6" s="36"/>
      <c r="O6" s="36"/>
      <c r="P6" s="36"/>
      <c r="T6" s="42"/>
      <c r="U6" s="18"/>
    </row>
    <row r="7" spans="2:21" s="6" customFormat="1">
      <c r="C7" s="6" t="s">
        <v>16</v>
      </c>
      <c r="E7" s="29">
        <f>E44*E43</f>
        <v>0.5</v>
      </c>
      <c r="F7" s="29">
        <f t="shared" ref="F7:L7" si="1">F44*F43</f>
        <v>5</v>
      </c>
      <c r="G7" s="61">
        <f t="shared" si="1"/>
        <v>50</v>
      </c>
      <c r="H7" s="70">
        <f t="shared" si="1"/>
        <v>250</v>
      </c>
      <c r="I7" s="49">
        <f t="shared" si="1"/>
        <v>900</v>
      </c>
      <c r="J7" s="49">
        <f t="shared" si="1"/>
        <v>2250</v>
      </c>
      <c r="K7" s="22">
        <f t="shared" si="1"/>
        <v>6750</v>
      </c>
      <c r="L7" s="55">
        <f t="shared" si="1"/>
        <v>10200</v>
      </c>
      <c r="M7" s="36">
        <f t="shared" ref="M7:P7" si="2">M44*M43</f>
        <v>10950</v>
      </c>
      <c r="N7" s="36">
        <f t="shared" si="2"/>
        <v>11100</v>
      </c>
      <c r="O7" s="36">
        <f t="shared" si="2"/>
        <v>11250</v>
      </c>
      <c r="P7" s="36">
        <f t="shared" si="2"/>
        <v>11250</v>
      </c>
      <c r="T7" s="42"/>
      <c r="U7" s="18"/>
    </row>
    <row r="8" spans="2:21" s="6" customFormat="1">
      <c r="E8" s="29"/>
      <c r="F8" s="29"/>
      <c r="G8" s="61"/>
      <c r="H8" s="70"/>
      <c r="I8" s="49"/>
      <c r="J8" s="49"/>
      <c r="K8" s="22"/>
      <c r="L8" s="55"/>
      <c r="M8" s="36"/>
      <c r="N8" s="36"/>
      <c r="O8" s="36"/>
      <c r="P8" s="36"/>
      <c r="T8" s="42"/>
      <c r="U8" s="18"/>
    </row>
    <row r="9" spans="2:21" s="7" customFormat="1">
      <c r="B9" s="7" t="s">
        <v>9</v>
      </c>
      <c r="D9" s="7">
        <f>SUM(D10:D36)</f>
        <v>360</v>
      </c>
      <c r="E9" s="30">
        <f>SUM(E10:E36)</f>
        <v>456.03</v>
      </c>
      <c r="F9" s="30">
        <f>SUM(F10:F36)</f>
        <v>760.3</v>
      </c>
      <c r="G9" s="62">
        <f>SUM(G10:G36)</f>
        <v>1083</v>
      </c>
      <c r="H9" s="71">
        <f>SUM(H10:H36)</f>
        <v>805</v>
      </c>
      <c r="I9" s="50">
        <f t="shared" ref="I9:P9" si="3">SUM(I10:I39)</f>
        <v>2098</v>
      </c>
      <c r="J9" s="50">
        <f t="shared" si="3"/>
        <v>4269</v>
      </c>
      <c r="K9" s="23">
        <f t="shared" si="3"/>
        <v>3957</v>
      </c>
      <c r="L9" s="56">
        <f t="shared" si="3"/>
        <v>9614</v>
      </c>
      <c r="M9" s="37">
        <f t="shared" si="3"/>
        <v>2936</v>
      </c>
      <c r="N9" s="37">
        <f t="shared" si="3"/>
        <v>3715</v>
      </c>
      <c r="O9" s="37">
        <f t="shared" si="3"/>
        <v>2834</v>
      </c>
      <c r="P9" s="37">
        <f t="shared" si="3"/>
        <v>5184</v>
      </c>
      <c r="S9" s="6" t="s">
        <v>19</v>
      </c>
      <c r="T9" s="42">
        <f>SUM(D16:P22)</f>
        <v>22000</v>
      </c>
      <c r="U9" s="18"/>
    </row>
    <row r="10" spans="2:21" s="6" customFormat="1">
      <c r="C10" s="6" t="s">
        <v>11</v>
      </c>
      <c r="D10" s="6">
        <v>60</v>
      </c>
      <c r="E10" s="29"/>
      <c r="F10" s="29"/>
      <c r="G10" s="61"/>
      <c r="H10" s="70"/>
      <c r="I10" s="49"/>
      <c r="J10" s="49"/>
      <c r="K10" s="22"/>
      <c r="L10" s="55"/>
      <c r="M10" s="36"/>
      <c r="N10" s="36"/>
      <c r="O10" s="36"/>
      <c r="P10" s="36"/>
      <c r="S10" s="6" t="s">
        <v>27</v>
      </c>
      <c r="T10" s="42">
        <f>SUM(D24:P29)</f>
        <v>5780</v>
      </c>
      <c r="U10" s="18"/>
    </row>
    <row r="11" spans="2:21" s="6" customFormat="1">
      <c r="C11" s="6" t="s">
        <v>12</v>
      </c>
      <c r="D11" s="6">
        <v>30</v>
      </c>
      <c r="E11" s="29"/>
      <c r="F11" s="29"/>
      <c r="G11" s="61"/>
      <c r="H11" s="70"/>
      <c r="I11" s="49">
        <v>100</v>
      </c>
      <c r="J11" s="49"/>
      <c r="K11" s="22"/>
      <c r="L11" s="55"/>
      <c r="M11" s="36">
        <v>100</v>
      </c>
      <c r="N11" s="36"/>
      <c r="O11" s="36"/>
      <c r="P11" s="36"/>
      <c r="S11" s="6" t="s">
        <v>53</v>
      </c>
      <c r="T11" s="42">
        <f>SUM(D10:P14)</f>
        <v>1318</v>
      </c>
      <c r="U11" s="18"/>
    </row>
    <row r="12" spans="2:21" s="6" customFormat="1">
      <c r="C12" s="6" t="s">
        <v>13</v>
      </c>
      <c r="E12" s="29"/>
      <c r="F12" s="29"/>
      <c r="G12" s="61"/>
      <c r="H12" s="70"/>
      <c r="I12" s="49">
        <v>60</v>
      </c>
      <c r="J12" s="49">
        <v>60</v>
      </c>
      <c r="K12" s="22">
        <v>60</v>
      </c>
      <c r="L12" s="55">
        <v>60</v>
      </c>
      <c r="M12" s="36">
        <v>67</v>
      </c>
      <c r="N12" s="36">
        <v>67</v>
      </c>
      <c r="O12" s="36">
        <v>67</v>
      </c>
      <c r="P12" s="36">
        <v>67</v>
      </c>
      <c r="S12" s="6" t="s">
        <v>39</v>
      </c>
      <c r="T12" s="42">
        <f>SUM(E32:P33)</f>
        <v>5053.33</v>
      </c>
      <c r="U12" s="18"/>
    </row>
    <row r="13" spans="2:21" s="6" customFormat="1">
      <c r="C13" s="6" t="s">
        <v>14</v>
      </c>
      <c r="E13" s="29"/>
      <c r="F13" s="29"/>
      <c r="G13" s="61"/>
      <c r="H13" s="70"/>
      <c r="I13" s="49">
        <v>20</v>
      </c>
      <c r="J13" s="49">
        <v>20</v>
      </c>
      <c r="K13" s="22">
        <v>20</v>
      </c>
      <c r="L13" s="55">
        <v>20</v>
      </c>
      <c r="M13" s="36">
        <v>20</v>
      </c>
      <c r="N13" s="36">
        <v>20</v>
      </c>
      <c r="O13" s="36">
        <v>20</v>
      </c>
      <c r="P13" s="36">
        <v>20</v>
      </c>
      <c r="S13" s="6" t="s">
        <v>22</v>
      </c>
      <c r="T13" s="42">
        <f>SUM(E36:P39)</f>
        <v>3920</v>
      </c>
      <c r="U13" s="18"/>
    </row>
    <row r="14" spans="2:21" s="6" customFormat="1">
      <c r="C14" s="6" t="s">
        <v>15</v>
      </c>
      <c r="D14" s="6">
        <v>200</v>
      </c>
      <c r="E14" s="29"/>
      <c r="F14" s="29"/>
      <c r="G14" s="61"/>
      <c r="H14" s="70"/>
      <c r="I14" s="49">
        <v>20</v>
      </c>
      <c r="J14" s="49">
        <v>20</v>
      </c>
      <c r="K14" s="22">
        <v>20</v>
      </c>
      <c r="L14" s="55">
        <v>20</v>
      </c>
      <c r="M14" s="36">
        <v>20</v>
      </c>
      <c r="N14" s="36">
        <v>20</v>
      </c>
      <c r="O14" s="36">
        <v>20</v>
      </c>
      <c r="P14" s="36">
        <v>20</v>
      </c>
      <c r="T14" s="42"/>
      <c r="U14" s="18"/>
    </row>
    <row r="15" spans="2:21" s="6" customFormat="1">
      <c r="E15" s="29"/>
      <c r="F15" s="29"/>
      <c r="G15" s="61"/>
      <c r="H15" s="70"/>
      <c r="I15" s="49"/>
      <c r="J15" s="49"/>
      <c r="K15" s="22"/>
      <c r="L15" s="55"/>
      <c r="M15" s="36"/>
      <c r="N15" s="36"/>
      <c r="O15" s="36"/>
      <c r="P15" s="36"/>
      <c r="T15" s="42"/>
      <c r="U15" s="18"/>
    </row>
    <row r="16" spans="2:21" s="6" customFormat="1">
      <c r="B16" s="6" t="s">
        <v>19</v>
      </c>
      <c r="E16" s="29"/>
      <c r="F16" s="29"/>
      <c r="G16" s="61"/>
      <c r="H16" s="70"/>
      <c r="I16" s="49"/>
      <c r="J16" s="49"/>
      <c r="K16" s="22"/>
      <c r="L16" s="55"/>
      <c r="M16" s="36"/>
      <c r="N16" s="36"/>
      <c r="O16" s="36"/>
      <c r="P16" s="36"/>
      <c r="T16" s="42"/>
      <c r="U16" s="18"/>
    </row>
    <row r="17" spans="2:21" s="6" customFormat="1">
      <c r="C17" s="6" t="s">
        <v>18</v>
      </c>
      <c r="D17" s="6">
        <v>70</v>
      </c>
      <c r="E17" s="29"/>
      <c r="F17" s="29"/>
      <c r="G17" s="61"/>
      <c r="H17" s="70"/>
      <c r="I17" s="49">
        <v>120</v>
      </c>
      <c r="J17" s="49"/>
      <c r="K17" s="22"/>
      <c r="L17" s="55"/>
      <c r="M17" s="36">
        <v>120</v>
      </c>
      <c r="N17" s="36"/>
      <c r="O17" s="36"/>
      <c r="P17" s="36"/>
      <c r="T17" s="42"/>
      <c r="U17" s="18"/>
    </row>
    <row r="18" spans="2:21" s="6" customFormat="1">
      <c r="C18" s="6" t="s">
        <v>20</v>
      </c>
      <c r="E18" s="29">
        <v>50</v>
      </c>
      <c r="F18" s="29">
        <v>50</v>
      </c>
      <c r="G18" s="61">
        <v>50</v>
      </c>
      <c r="H18" s="70">
        <v>50</v>
      </c>
      <c r="I18" s="49">
        <v>50</v>
      </c>
      <c r="J18" s="49">
        <f>3*50</f>
        <v>150</v>
      </c>
      <c r="K18" s="22">
        <f>3*50</f>
        <v>150</v>
      </c>
      <c r="L18" s="55"/>
      <c r="M18" s="36">
        <v>50</v>
      </c>
      <c r="N18" s="36">
        <f>3*50</f>
        <v>150</v>
      </c>
      <c r="O18" s="36">
        <f>3*50</f>
        <v>150</v>
      </c>
      <c r="P18" s="36"/>
      <c r="T18" s="42"/>
      <c r="U18" s="18"/>
    </row>
    <row r="19" spans="2:21" s="6" customFormat="1">
      <c r="C19" s="6" t="s">
        <v>55</v>
      </c>
      <c r="E19" s="29">
        <v>100</v>
      </c>
      <c r="F19" s="29">
        <v>500</v>
      </c>
      <c r="G19" s="61">
        <v>500</v>
      </c>
      <c r="H19" s="70">
        <v>500</v>
      </c>
      <c r="I19" s="49">
        <v>600</v>
      </c>
      <c r="J19" s="49">
        <v>1800</v>
      </c>
      <c r="K19" s="22">
        <v>2000</v>
      </c>
      <c r="L19" s="55">
        <v>6000</v>
      </c>
      <c r="M19" s="36">
        <v>600</v>
      </c>
      <c r="N19" s="36">
        <v>600</v>
      </c>
      <c r="O19" s="36">
        <v>600</v>
      </c>
      <c r="P19" s="36">
        <v>1500</v>
      </c>
      <c r="T19" s="42"/>
      <c r="U19" s="18"/>
    </row>
    <row r="20" spans="2:21" s="6" customFormat="1">
      <c r="C20" s="6" t="s">
        <v>31</v>
      </c>
      <c r="E20" s="29">
        <v>200</v>
      </c>
      <c r="F20" s="29"/>
      <c r="G20" s="61"/>
      <c r="H20" s="70"/>
      <c r="I20" s="49"/>
      <c r="J20" s="49">
        <v>500</v>
      </c>
      <c r="K20" s="22"/>
      <c r="L20" s="55">
        <v>500</v>
      </c>
      <c r="M20" s="36"/>
      <c r="N20" s="36">
        <v>500</v>
      </c>
      <c r="O20" s="36"/>
      <c r="P20" s="36">
        <v>500</v>
      </c>
      <c r="T20" s="42"/>
      <c r="U20" s="18"/>
    </row>
    <row r="21" spans="2:21" s="6" customFormat="1">
      <c r="C21" s="6" t="s">
        <v>51</v>
      </c>
      <c r="E21" s="29"/>
      <c r="F21" s="29"/>
      <c r="G21" s="61"/>
      <c r="H21" s="70"/>
      <c r="I21" s="49"/>
      <c r="J21" s="49">
        <v>100</v>
      </c>
      <c r="K21" s="22"/>
      <c r="L21" s="55">
        <v>100</v>
      </c>
      <c r="M21" s="36"/>
      <c r="N21" s="36">
        <v>100</v>
      </c>
      <c r="O21" s="36"/>
      <c r="P21" s="36">
        <v>100</v>
      </c>
      <c r="T21" s="42"/>
      <c r="U21" s="18"/>
    </row>
    <row r="22" spans="2:21" s="6" customFormat="1">
      <c r="C22" s="6" t="s">
        <v>56</v>
      </c>
      <c r="E22" s="29"/>
      <c r="F22" s="29">
        <v>20</v>
      </c>
      <c r="G22" s="61">
        <f>120+80+90</f>
        <v>290</v>
      </c>
      <c r="H22" s="70"/>
      <c r="I22" s="49"/>
      <c r="J22" s="49">
        <v>290</v>
      </c>
      <c r="K22" s="22"/>
      <c r="L22" s="55">
        <v>1000</v>
      </c>
      <c r="M22" s="36"/>
      <c r="N22" s="36">
        <v>290</v>
      </c>
      <c r="O22" s="36"/>
      <c r="P22" s="36">
        <v>1000</v>
      </c>
      <c r="T22" s="42"/>
      <c r="U22" s="18"/>
    </row>
    <row r="23" spans="2:21" s="6" customFormat="1">
      <c r="E23" s="29"/>
      <c r="F23" s="29"/>
      <c r="G23" s="61"/>
      <c r="H23" s="70"/>
      <c r="I23" s="49"/>
      <c r="J23" s="49"/>
      <c r="K23" s="22"/>
      <c r="L23" s="55"/>
      <c r="M23" s="36"/>
      <c r="N23" s="36"/>
      <c r="O23" s="36"/>
      <c r="P23" s="36"/>
      <c r="T23" s="42"/>
      <c r="U23" s="18"/>
    </row>
    <row r="24" spans="2:21" s="6" customFormat="1">
      <c r="B24" s="6" t="s">
        <v>27</v>
      </c>
      <c r="E24" s="29"/>
      <c r="F24" s="29"/>
      <c r="G24" s="61"/>
      <c r="H24" s="70"/>
      <c r="I24" s="49"/>
      <c r="J24" s="49"/>
      <c r="K24" s="22"/>
      <c r="L24" s="55"/>
      <c r="M24" s="36"/>
      <c r="N24" s="36"/>
      <c r="O24" s="36"/>
      <c r="P24" s="36"/>
      <c r="T24" s="42"/>
      <c r="U24" s="18"/>
    </row>
    <row r="25" spans="2:21">
      <c r="C25" s="6" t="s">
        <v>28</v>
      </c>
      <c r="D25" s="4"/>
      <c r="E25" s="31">
        <v>80</v>
      </c>
      <c r="F25" s="31">
        <v>80</v>
      </c>
      <c r="G25" s="63">
        <v>80</v>
      </c>
      <c r="H25" s="72">
        <v>80</v>
      </c>
      <c r="I25" s="51">
        <f t="shared" ref="I25:P25" si="4">3*120</f>
        <v>360</v>
      </c>
      <c r="J25" s="51">
        <f t="shared" si="4"/>
        <v>360</v>
      </c>
      <c r="K25" s="24">
        <f t="shared" si="4"/>
        <v>360</v>
      </c>
      <c r="L25" s="57">
        <f t="shared" si="4"/>
        <v>360</v>
      </c>
      <c r="M25" s="38">
        <f t="shared" si="4"/>
        <v>360</v>
      </c>
      <c r="N25" s="38">
        <f t="shared" si="4"/>
        <v>360</v>
      </c>
      <c r="O25" s="38">
        <f t="shared" si="4"/>
        <v>360</v>
      </c>
      <c r="P25" s="38">
        <f t="shared" si="4"/>
        <v>360</v>
      </c>
      <c r="U25" s="18"/>
    </row>
    <row r="26" spans="2:21">
      <c r="C26" s="6" t="s">
        <v>62</v>
      </c>
      <c r="D26" s="4"/>
      <c r="E26" s="31"/>
      <c r="F26" s="31">
        <v>30</v>
      </c>
      <c r="G26" s="63">
        <v>30</v>
      </c>
      <c r="H26" s="72">
        <v>30</v>
      </c>
      <c r="I26" s="51">
        <f t="shared" ref="I26:P26" si="5">3*40</f>
        <v>120</v>
      </c>
      <c r="J26" s="51">
        <f t="shared" si="5"/>
        <v>120</v>
      </c>
      <c r="K26" s="24">
        <f t="shared" si="5"/>
        <v>120</v>
      </c>
      <c r="L26" s="57">
        <f t="shared" si="5"/>
        <v>120</v>
      </c>
      <c r="M26" s="38">
        <f t="shared" si="5"/>
        <v>120</v>
      </c>
      <c r="N26" s="38">
        <f t="shared" si="5"/>
        <v>120</v>
      </c>
      <c r="O26" s="38">
        <f t="shared" si="5"/>
        <v>120</v>
      </c>
      <c r="P26" s="38">
        <f t="shared" si="5"/>
        <v>120</v>
      </c>
      <c r="U26" s="18"/>
    </row>
    <row r="27" spans="2:21">
      <c r="C27" s="6" t="s">
        <v>38</v>
      </c>
      <c r="D27" s="4"/>
      <c r="E27" s="31"/>
      <c r="F27" s="31"/>
      <c r="G27" s="63">
        <v>25</v>
      </c>
      <c r="H27" s="72">
        <v>25</v>
      </c>
      <c r="I27" s="51"/>
      <c r="J27" s="51"/>
      <c r="K27" s="24"/>
      <c r="L27" s="57"/>
      <c r="M27" s="38"/>
      <c r="N27" s="38"/>
      <c r="O27" s="38"/>
      <c r="P27" s="38"/>
      <c r="U27" s="18"/>
    </row>
    <row r="28" spans="2:21">
      <c r="C28" s="6" t="s">
        <v>61</v>
      </c>
      <c r="D28" s="4"/>
      <c r="E28" s="31"/>
      <c r="F28" s="31">
        <v>40</v>
      </c>
      <c r="G28" s="63">
        <v>40</v>
      </c>
      <c r="H28" s="72">
        <v>40</v>
      </c>
      <c r="I28" s="51">
        <v>80</v>
      </c>
      <c r="J28" s="51">
        <v>80</v>
      </c>
      <c r="K28" s="24">
        <v>120</v>
      </c>
      <c r="L28" s="57">
        <v>120</v>
      </c>
      <c r="M28" s="38">
        <v>120</v>
      </c>
      <c r="N28" s="38">
        <v>120</v>
      </c>
      <c r="O28" s="38">
        <v>120</v>
      </c>
      <c r="P28" s="38">
        <v>120</v>
      </c>
      <c r="U28" s="18"/>
    </row>
    <row r="29" spans="2:21">
      <c r="C29" s="6" t="s">
        <v>49</v>
      </c>
      <c r="D29" s="4"/>
      <c r="E29" s="31"/>
      <c r="F29" s="31"/>
      <c r="G29" s="63"/>
      <c r="H29" s="72"/>
      <c r="I29" s="51">
        <f t="shared" ref="I29:P29" si="6">20*3</f>
        <v>60</v>
      </c>
      <c r="J29" s="51">
        <f t="shared" si="6"/>
        <v>60</v>
      </c>
      <c r="K29" s="24">
        <f t="shared" si="6"/>
        <v>60</v>
      </c>
      <c r="L29" s="57">
        <f t="shared" si="6"/>
        <v>60</v>
      </c>
      <c r="M29" s="38">
        <f t="shared" si="6"/>
        <v>60</v>
      </c>
      <c r="N29" s="38">
        <f t="shared" si="6"/>
        <v>60</v>
      </c>
      <c r="O29" s="38">
        <f t="shared" si="6"/>
        <v>60</v>
      </c>
      <c r="P29" s="38">
        <f t="shared" si="6"/>
        <v>60</v>
      </c>
      <c r="U29" s="18"/>
    </row>
    <row r="30" spans="2:21">
      <c r="C30" s="6"/>
      <c r="D30" s="4"/>
      <c r="E30" s="31"/>
      <c r="F30" s="31"/>
      <c r="G30" s="63"/>
      <c r="H30" s="72"/>
      <c r="I30" s="51"/>
      <c r="J30" s="51"/>
      <c r="K30" s="24"/>
      <c r="L30" s="57"/>
      <c r="M30" s="38"/>
      <c r="N30" s="38"/>
      <c r="O30" s="38"/>
      <c r="P30" s="38"/>
      <c r="U30" s="18"/>
    </row>
    <row r="31" spans="2:21">
      <c r="B31" t="s">
        <v>39</v>
      </c>
      <c r="C31" s="6"/>
      <c r="D31" s="4"/>
      <c r="E31" s="31"/>
      <c r="F31" s="31"/>
      <c r="G31" s="63"/>
      <c r="H31" s="72"/>
      <c r="I31" s="51"/>
      <c r="J31" s="51"/>
      <c r="K31" s="24"/>
      <c r="L31" s="57"/>
      <c r="M31" s="38"/>
      <c r="N31" s="38"/>
      <c r="O31" s="38"/>
      <c r="P31" s="38"/>
      <c r="U31" s="18"/>
    </row>
    <row r="32" spans="2:21">
      <c r="C32" s="6" t="s">
        <v>40</v>
      </c>
      <c r="D32" s="4"/>
      <c r="E32" s="31">
        <f>E7*0.06</f>
        <v>0.03</v>
      </c>
      <c r="F32" s="31">
        <f t="shared" ref="F32:L32" si="7">F7*0.06</f>
        <v>0.3</v>
      </c>
      <c r="G32" s="63">
        <f t="shared" si="7"/>
        <v>3</v>
      </c>
      <c r="H32" s="72">
        <f t="shared" si="7"/>
        <v>15</v>
      </c>
      <c r="I32" s="51">
        <f t="shared" si="7"/>
        <v>54</v>
      </c>
      <c r="J32" s="51">
        <f t="shared" si="7"/>
        <v>135</v>
      </c>
      <c r="K32" s="24">
        <f t="shared" si="7"/>
        <v>405</v>
      </c>
      <c r="L32" s="57">
        <f t="shared" si="7"/>
        <v>612</v>
      </c>
      <c r="M32" s="38">
        <f t="shared" ref="M32:P32" si="8">M7*0.06</f>
        <v>657</v>
      </c>
      <c r="N32" s="38">
        <f t="shared" si="8"/>
        <v>666</v>
      </c>
      <c r="O32" s="38">
        <f t="shared" si="8"/>
        <v>675</v>
      </c>
      <c r="P32" s="38">
        <f t="shared" si="8"/>
        <v>675</v>
      </c>
      <c r="U32" s="18"/>
    </row>
    <row r="33" spans="2:21">
      <c r="C33" s="6" t="s">
        <v>41</v>
      </c>
      <c r="D33" s="4"/>
      <c r="E33" s="31">
        <f t="shared" ref="E33:P33" si="9">SUM(E25:E29)*0.2</f>
        <v>16</v>
      </c>
      <c r="F33" s="31">
        <f t="shared" si="9"/>
        <v>30</v>
      </c>
      <c r="G33" s="63">
        <f t="shared" si="9"/>
        <v>35</v>
      </c>
      <c r="H33" s="72">
        <f t="shared" si="9"/>
        <v>35</v>
      </c>
      <c r="I33" s="51">
        <f t="shared" si="9"/>
        <v>124</v>
      </c>
      <c r="J33" s="51">
        <f t="shared" si="9"/>
        <v>124</v>
      </c>
      <c r="K33" s="24">
        <f t="shared" si="9"/>
        <v>132</v>
      </c>
      <c r="L33" s="57">
        <f t="shared" si="9"/>
        <v>132</v>
      </c>
      <c r="M33" s="38">
        <f t="shared" si="9"/>
        <v>132</v>
      </c>
      <c r="N33" s="38">
        <f t="shared" si="9"/>
        <v>132</v>
      </c>
      <c r="O33" s="38">
        <f t="shared" si="9"/>
        <v>132</v>
      </c>
      <c r="P33" s="38">
        <f t="shared" si="9"/>
        <v>132</v>
      </c>
      <c r="U33" s="18"/>
    </row>
    <row r="34" spans="2:21">
      <c r="C34" s="6"/>
      <c r="D34" s="4"/>
      <c r="E34" s="31"/>
      <c r="F34" s="31"/>
      <c r="G34" s="63"/>
      <c r="H34" s="72"/>
      <c r="I34" s="51"/>
      <c r="J34" s="51"/>
      <c r="K34" s="24"/>
      <c r="L34" s="57"/>
      <c r="M34" s="38"/>
      <c r="N34" s="38"/>
      <c r="O34" s="38"/>
      <c r="P34" s="38"/>
      <c r="S34" s="5"/>
      <c r="U34" s="18"/>
    </row>
    <row r="35" spans="2:21">
      <c r="B35" t="s">
        <v>22</v>
      </c>
      <c r="D35" s="4"/>
      <c r="E35" s="31"/>
      <c r="F35" s="31"/>
      <c r="G35" s="63"/>
      <c r="H35" s="72"/>
      <c r="I35" s="51"/>
      <c r="J35" s="51"/>
      <c r="K35" s="24"/>
      <c r="L35" s="57"/>
      <c r="M35" s="38"/>
      <c r="N35" s="38"/>
      <c r="O35" s="38"/>
      <c r="P35" s="38"/>
      <c r="U35" s="18"/>
    </row>
    <row r="36" spans="2:21">
      <c r="C36" t="s">
        <v>23</v>
      </c>
      <c r="D36" s="4"/>
      <c r="E36" s="31">
        <v>10</v>
      </c>
      <c r="F36" s="31">
        <v>10</v>
      </c>
      <c r="G36" s="63">
        <v>30</v>
      </c>
      <c r="H36" s="72">
        <v>30</v>
      </c>
      <c r="I36" s="51">
        <f t="shared" ref="I36:P36" si="10">30*3</f>
        <v>90</v>
      </c>
      <c r="J36" s="51">
        <f t="shared" si="10"/>
        <v>90</v>
      </c>
      <c r="K36" s="24">
        <f t="shared" si="10"/>
        <v>90</v>
      </c>
      <c r="L36" s="57">
        <f t="shared" si="10"/>
        <v>90</v>
      </c>
      <c r="M36" s="38">
        <f t="shared" si="10"/>
        <v>90</v>
      </c>
      <c r="N36" s="38">
        <f t="shared" si="10"/>
        <v>90</v>
      </c>
      <c r="O36" s="38">
        <f t="shared" si="10"/>
        <v>90</v>
      </c>
      <c r="P36" s="38">
        <f t="shared" si="10"/>
        <v>90</v>
      </c>
      <c r="U36" s="18"/>
    </row>
    <row r="37" spans="2:21">
      <c r="C37" s="6" t="s">
        <v>45</v>
      </c>
      <c r="D37" s="4"/>
      <c r="E37" s="31"/>
      <c r="F37" s="31"/>
      <c r="G37" s="63"/>
      <c r="H37" s="72"/>
      <c r="I37" s="51">
        <v>60</v>
      </c>
      <c r="J37" s="51">
        <v>180</v>
      </c>
      <c r="K37" s="24">
        <v>240</v>
      </c>
      <c r="L37" s="57">
        <v>240</v>
      </c>
      <c r="M37" s="38">
        <v>240</v>
      </c>
      <c r="N37" s="38">
        <v>240</v>
      </c>
      <c r="O37" s="38">
        <v>240</v>
      </c>
      <c r="P37" s="38">
        <v>240</v>
      </c>
      <c r="U37" s="18"/>
    </row>
    <row r="38" spans="2:21">
      <c r="C38" s="6" t="s">
        <v>50</v>
      </c>
      <c r="D38" s="4"/>
      <c r="E38" s="31"/>
      <c r="F38" s="31"/>
      <c r="G38" s="63"/>
      <c r="H38" s="72"/>
      <c r="I38" s="51">
        <v>30</v>
      </c>
      <c r="J38" s="51">
        <v>30</v>
      </c>
      <c r="K38" s="24">
        <v>30</v>
      </c>
      <c r="L38" s="57">
        <v>30</v>
      </c>
      <c r="M38" s="38">
        <v>30</v>
      </c>
      <c r="N38" s="38">
        <v>30</v>
      </c>
      <c r="O38" s="38">
        <v>30</v>
      </c>
      <c r="P38" s="38">
        <v>30</v>
      </c>
      <c r="U38" s="18"/>
    </row>
    <row r="39" spans="2:21">
      <c r="C39" s="6" t="s">
        <v>48</v>
      </c>
      <c r="D39" s="4"/>
      <c r="E39" s="31"/>
      <c r="F39" s="31"/>
      <c r="G39" s="63"/>
      <c r="H39" s="72"/>
      <c r="I39" s="51">
        <v>150</v>
      </c>
      <c r="J39" s="51">
        <v>150</v>
      </c>
      <c r="K39" s="24">
        <v>150</v>
      </c>
      <c r="L39" s="57">
        <v>150</v>
      </c>
      <c r="M39" s="38">
        <v>150</v>
      </c>
      <c r="N39" s="38">
        <v>150</v>
      </c>
      <c r="O39" s="38">
        <v>150</v>
      </c>
      <c r="P39" s="38">
        <v>150</v>
      </c>
      <c r="U39" s="18"/>
    </row>
    <row r="40" spans="2:21">
      <c r="D40" s="4"/>
      <c r="E40" s="31"/>
      <c r="F40" s="31"/>
      <c r="G40" s="63"/>
      <c r="H40" s="72"/>
      <c r="I40" s="51"/>
      <c r="J40" s="51"/>
      <c r="K40" s="24"/>
      <c r="L40" s="57"/>
      <c r="M40" s="38"/>
      <c r="N40" s="38"/>
      <c r="O40" s="38"/>
      <c r="P40" s="38"/>
      <c r="U40" s="18"/>
    </row>
    <row r="41" spans="2:21">
      <c r="B41" t="s">
        <v>24</v>
      </c>
      <c r="D41" s="4"/>
      <c r="E41" s="31">
        <v>100</v>
      </c>
      <c r="F41" s="31">
        <v>1000</v>
      </c>
      <c r="G41" s="63">
        <v>10000</v>
      </c>
      <c r="H41" s="72">
        <v>50000</v>
      </c>
      <c r="I41" s="51">
        <v>60000</v>
      </c>
      <c r="J41" s="51">
        <v>150000</v>
      </c>
      <c r="K41" s="24">
        <v>450000</v>
      </c>
      <c r="L41" s="57">
        <v>680000</v>
      </c>
      <c r="M41" s="38">
        <v>730000</v>
      </c>
      <c r="N41" s="38">
        <v>740000</v>
      </c>
      <c r="O41" s="38">
        <v>750000</v>
      </c>
      <c r="P41" s="38">
        <v>750000</v>
      </c>
      <c r="U41" s="18"/>
    </row>
    <row r="42" spans="2:21" s="5" customFormat="1">
      <c r="B42" s="5" t="s">
        <v>25</v>
      </c>
      <c r="D42" s="44"/>
      <c r="E42" s="74">
        <v>0.01</v>
      </c>
      <c r="F42" s="74">
        <v>0.01</v>
      </c>
      <c r="G42" s="75">
        <v>0.01</v>
      </c>
      <c r="H42" s="76">
        <v>0.01</v>
      </c>
      <c r="I42" s="77">
        <v>0.01</v>
      </c>
      <c r="J42" s="77">
        <v>0.01</v>
      </c>
      <c r="K42" s="79">
        <v>0.01</v>
      </c>
      <c r="L42" s="78">
        <v>0.01</v>
      </c>
      <c r="M42" s="80">
        <v>0.01</v>
      </c>
      <c r="N42" s="80">
        <v>0.01</v>
      </c>
      <c r="O42" s="80">
        <v>0.01</v>
      </c>
      <c r="P42" s="80">
        <v>0.01</v>
      </c>
      <c r="Q42" s="44"/>
      <c r="R42" s="44"/>
      <c r="T42" s="42"/>
      <c r="U42" s="18"/>
    </row>
    <row r="43" spans="2:21">
      <c r="B43" t="s">
        <v>17</v>
      </c>
      <c r="D43" s="4"/>
      <c r="E43" s="31">
        <f>E41*E42</f>
        <v>1</v>
      </c>
      <c r="F43" s="31">
        <f t="shared" ref="F43:K43" si="11">F41*F42</f>
        <v>10</v>
      </c>
      <c r="G43" s="63">
        <f t="shared" si="11"/>
        <v>100</v>
      </c>
      <c r="H43" s="72">
        <f t="shared" si="11"/>
        <v>500</v>
      </c>
      <c r="I43" s="51">
        <f t="shared" si="11"/>
        <v>600</v>
      </c>
      <c r="J43" s="51">
        <f t="shared" si="11"/>
        <v>1500</v>
      </c>
      <c r="K43" s="24">
        <f t="shared" si="11"/>
        <v>4500</v>
      </c>
      <c r="L43" s="57">
        <f>L41*L42</f>
        <v>6800</v>
      </c>
      <c r="M43" s="38">
        <f t="shared" ref="M43:O43" si="12">M41*M42</f>
        <v>7300</v>
      </c>
      <c r="N43" s="38">
        <f t="shared" si="12"/>
        <v>7400</v>
      </c>
      <c r="O43" s="38">
        <f t="shared" si="12"/>
        <v>7500</v>
      </c>
      <c r="P43" s="38">
        <f>P41*P42</f>
        <v>7500</v>
      </c>
      <c r="U43" s="18"/>
    </row>
    <row r="44" spans="2:21" s="6" customFormat="1">
      <c r="B44" s="6" t="s">
        <v>26</v>
      </c>
      <c r="E44" s="29">
        <v>0.5</v>
      </c>
      <c r="F44" s="29">
        <v>0.5</v>
      </c>
      <c r="G44" s="61">
        <v>0.5</v>
      </c>
      <c r="H44" s="70">
        <v>0.5</v>
      </c>
      <c r="I44" s="49">
        <v>1.5</v>
      </c>
      <c r="J44" s="49">
        <v>1.5</v>
      </c>
      <c r="K44" s="22">
        <v>1.5</v>
      </c>
      <c r="L44" s="55">
        <v>1.5</v>
      </c>
      <c r="M44" s="36">
        <v>1.5</v>
      </c>
      <c r="N44" s="36">
        <v>1.5</v>
      </c>
      <c r="O44" s="36">
        <v>1.5</v>
      </c>
      <c r="P44" s="36">
        <v>1.5</v>
      </c>
      <c r="T44" s="42"/>
      <c r="U44" s="18"/>
    </row>
    <row r="45" spans="2:21">
      <c r="D45" s="4"/>
      <c r="E45" s="31"/>
      <c r="F45" s="31"/>
      <c r="G45" s="63"/>
      <c r="H45" s="72"/>
      <c r="I45" s="51"/>
      <c r="J45" s="51"/>
      <c r="K45" s="24"/>
      <c r="L45" s="57"/>
      <c r="M45" s="38"/>
      <c r="N45" s="38"/>
      <c r="O45" s="38"/>
      <c r="P45" s="38"/>
      <c r="U45" s="18"/>
    </row>
    <row r="46" spans="2:21" s="2" customFormat="1">
      <c r="B46" s="2" t="s">
        <v>29</v>
      </c>
      <c r="D46" s="9"/>
      <c r="E46" s="32">
        <f>E5-E9</f>
        <v>-455.53</v>
      </c>
      <c r="F46" s="32">
        <f t="shared" ref="F46:L46" si="13">F5-F9</f>
        <v>-755.3</v>
      </c>
      <c r="G46" s="64">
        <f t="shared" si="13"/>
        <v>-1033</v>
      </c>
      <c r="H46" s="73">
        <f t="shared" si="13"/>
        <v>-555</v>
      </c>
      <c r="I46" s="52">
        <f t="shared" si="13"/>
        <v>-1198</v>
      </c>
      <c r="J46" s="52">
        <f t="shared" si="13"/>
        <v>-2019</v>
      </c>
      <c r="K46" s="25">
        <f t="shared" si="13"/>
        <v>2793</v>
      </c>
      <c r="L46" s="58">
        <f t="shared" si="13"/>
        <v>586</v>
      </c>
      <c r="M46" s="39">
        <f t="shared" ref="M46:P46" si="14">M5-M9</f>
        <v>8014</v>
      </c>
      <c r="N46" s="39">
        <f t="shared" si="14"/>
        <v>7385</v>
      </c>
      <c r="O46" s="39">
        <f t="shared" si="14"/>
        <v>8416</v>
      </c>
      <c r="P46" s="39">
        <f t="shared" si="14"/>
        <v>6066</v>
      </c>
      <c r="T46" s="42"/>
      <c r="U46" s="18"/>
    </row>
    <row r="47" spans="2:21" s="2" customFormat="1">
      <c r="B47" s="2" t="s">
        <v>30</v>
      </c>
      <c r="D47" s="9">
        <f>-D5</f>
        <v>-360</v>
      </c>
      <c r="E47" s="32">
        <f>E46/(1+$C$53)^1</f>
        <v>-451.019801980198</v>
      </c>
      <c r="F47" s="32">
        <f>F46/(1+$C$53)^2</f>
        <v>-740.41760611704728</v>
      </c>
      <c r="G47" s="64">
        <f>G46/(1+$C$53)^3</f>
        <v>-1002.6196228092568</v>
      </c>
      <c r="H47" s="73">
        <f>H46/(1+$C$53)^4</f>
        <v>-533.34409118796304</v>
      </c>
      <c r="I47" s="52">
        <f>I46/(1+$C$53)^7</f>
        <v>-1117.3962295391484</v>
      </c>
      <c r="J47" s="52">
        <f>J46/(1+$C$53)^10</f>
        <v>-1827.7743615251329</v>
      </c>
      <c r="K47" s="25">
        <f>K46/(1+$C$53)^13</f>
        <v>2454.1046397678952</v>
      </c>
      <c r="L47" s="58">
        <f>L46/(1+$C$53)^16</f>
        <v>499.75325965290097</v>
      </c>
      <c r="M47" s="39">
        <f>M46/(1+$C$53)^7</f>
        <v>7474.8024904229842</v>
      </c>
      <c r="N47" s="39">
        <f>N46/(1+$C$53)^10</f>
        <v>6685.5441604076805</v>
      </c>
      <c r="O47" s="39">
        <f>O46/(1+$C$53)^13</f>
        <v>7394.8244354767658</v>
      </c>
      <c r="P47" s="39">
        <f>P46/(1+$C$53)^16</f>
        <v>5173.2137765435109</v>
      </c>
      <c r="T47" s="42"/>
      <c r="U47" s="18"/>
    </row>
    <row r="48" spans="2:21" s="2" customFormat="1">
      <c r="B48" s="2" t="s">
        <v>46</v>
      </c>
      <c r="D48" s="9">
        <f>D47</f>
        <v>-360</v>
      </c>
      <c r="E48" s="32">
        <f t="shared" ref="E48:L48" si="15">D48+E47</f>
        <v>-811.01980198019805</v>
      </c>
      <c r="F48" s="32">
        <f t="shared" si="15"/>
        <v>-1551.4374080972452</v>
      </c>
      <c r="G48" s="64">
        <f t="shared" si="15"/>
        <v>-2554.057030906502</v>
      </c>
      <c r="H48" s="73">
        <f t="shared" si="15"/>
        <v>-3087.4011220944649</v>
      </c>
      <c r="I48" s="52">
        <f t="shared" si="15"/>
        <v>-4204.7973516336133</v>
      </c>
      <c r="J48" s="52">
        <f t="shared" si="15"/>
        <v>-6032.5717131587462</v>
      </c>
      <c r="K48" s="25">
        <f t="shared" si="15"/>
        <v>-3578.4670733908511</v>
      </c>
      <c r="L48" s="58">
        <f t="shared" si="15"/>
        <v>-3078.7138137379502</v>
      </c>
      <c r="M48" s="39">
        <f t="shared" ref="M48" si="16">L48+M47</f>
        <v>4396.0886766850344</v>
      </c>
      <c r="N48" s="39">
        <f t="shared" ref="N48" si="17">M48+N47</f>
        <v>11081.632837092715</v>
      </c>
      <c r="O48" s="39">
        <f t="shared" ref="O48" si="18">N48+O47</f>
        <v>18476.457272569482</v>
      </c>
      <c r="P48" s="39">
        <f t="shared" ref="P48" si="19">O48+P47</f>
        <v>23649.671049112992</v>
      </c>
      <c r="T48" s="42"/>
      <c r="U48" s="18"/>
    </row>
    <row r="49" spans="2:21" s="2" customFormat="1">
      <c r="B49" s="45"/>
      <c r="C49" s="45"/>
      <c r="D49" s="9"/>
      <c r="E49" s="32"/>
      <c r="F49" s="32"/>
      <c r="G49" s="64"/>
      <c r="H49" s="73"/>
      <c r="I49" s="52"/>
      <c r="J49" s="52"/>
      <c r="K49" s="25"/>
      <c r="L49" s="81"/>
      <c r="M49" s="41"/>
      <c r="N49" s="41"/>
      <c r="O49" s="41"/>
      <c r="P49" s="41"/>
      <c r="T49" s="42"/>
      <c r="U49" s="18"/>
    </row>
    <row r="50" spans="2:21" s="2" customFormat="1">
      <c r="B50" s="45"/>
      <c r="C50" s="45"/>
      <c r="D50" s="9"/>
      <c r="E50" s="9"/>
      <c r="F50" s="9"/>
      <c r="G50" s="65"/>
      <c r="H50" s="65"/>
      <c r="I50" s="65"/>
      <c r="J50" s="65"/>
      <c r="K50" s="9"/>
      <c r="L50" s="82"/>
      <c r="T50" s="42"/>
      <c r="U50" s="18"/>
    </row>
    <row r="51" spans="2:21" ht="27.75" customHeight="1" thickBot="1">
      <c r="D51" s="4"/>
      <c r="E51" s="4"/>
      <c r="F51" s="4"/>
      <c r="H51" s="66"/>
      <c r="I51" s="66"/>
      <c r="J51" s="66"/>
      <c r="L51" s="95" t="s">
        <v>44</v>
      </c>
      <c r="M51" s="95"/>
      <c r="U51" s="18"/>
    </row>
    <row r="52" spans="2:21" ht="15">
      <c r="D52" s="4"/>
      <c r="E52" s="4"/>
      <c r="F52" s="4"/>
      <c r="G52" s="4"/>
      <c r="H52" s="4"/>
      <c r="I52" s="4"/>
      <c r="J52" s="4"/>
      <c r="K52" s="4"/>
      <c r="L52" s="4"/>
      <c r="P52" s="86" t="s">
        <v>0</v>
      </c>
      <c r="Q52" s="87">
        <f>ABS(MIN(D48:L48))</f>
        <v>6032.5717131587462</v>
      </c>
      <c r="U52" s="18"/>
    </row>
    <row r="53" spans="2:21" ht="15">
      <c r="B53" t="s">
        <v>47</v>
      </c>
      <c r="C53" s="11">
        <f>0.01</f>
        <v>0.01</v>
      </c>
      <c r="P53" s="88" t="s">
        <v>63</v>
      </c>
      <c r="Q53" s="89">
        <f>P48/Q52</f>
        <v>3.9203298648777545</v>
      </c>
      <c r="U53" s="18"/>
    </row>
    <row r="54" spans="2:21" ht="15.75" thickBot="1">
      <c r="P54" s="90" t="s">
        <v>64</v>
      </c>
      <c r="Q54" s="91">
        <f>4*IRR(E47:P47)</f>
        <v>1.2659161764963347</v>
      </c>
    </row>
    <row r="55" spans="2:21">
      <c r="D55" s="40"/>
    </row>
    <row r="56" spans="2:21">
      <c r="C56" t="s">
        <v>65</v>
      </c>
      <c r="D56" s="92">
        <v>41518</v>
      </c>
      <c r="E56">
        <v>0.1</v>
      </c>
      <c r="F56">
        <v>2</v>
      </c>
      <c r="G56" s="93">
        <v>0</v>
      </c>
    </row>
    <row r="57" spans="2:21">
      <c r="D57" s="92">
        <v>41640</v>
      </c>
      <c r="E57">
        <v>0.1</v>
      </c>
      <c r="F57">
        <v>0</v>
      </c>
      <c r="G57" s="93">
        <f>I43/1000</f>
        <v>0.6</v>
      </c>
    </row>
    <row r="58" spans="2:21">
      <c r="C58" t="s">
        <v>66</v>
      </c>
      <c r="D58" s="92">
        <v>41821</v>
      </c>
      <c r="E58">
        <v>0.1</v>
      </c>
      <c r="F58">
        <v>7</v>
      </c>
      <c r="G58" s="93">
        <f>K43/1000</f>
        <v>4.5</v>
      </c>
    </row>
    <row r="59" spans="2:21">
      <c r="C59" t="s">
        <v>67</v>
      </c>
      <c r="D59" s="92">
        <v>42005</v>
      </c>
      <c r="E59">
        <v>0.1</v>
      </c>
      <c r="F59">
        <v>10</v>
      </c>
      <c r="G59" s="93">
        <f>M43/1000</f>
        <v>7.3</v>
      </c>
    </row>
    <row r="60" spans="2:21">
      <c r="C60" t="s">
        <v>68</v>
      </c>
      <c r="D60" s="92">
        <v>42186</v>
      </c>
      <c r="E60">
        <v>0.1</v>
      </c>
      <c r="F60">
        <v>10</v>
      </c>
      <c r="G60" s="93">
        <f>O43/1000</f>
        <v>7.5</v>
      </c>
    </row>
    <row r="61" spans="2:21">
      <c r="H61" s="5"/>
    </row>
    <row r="62" spans="2:21">
      <c r="H62" s="44"/>
    </row>
  </sheetData>
  <mergeCells count="3">
    <mergeCell ref="L51:M51"/>
    <mergeCell ref="K2:P2"/>
    <mergeCell ref="E2:J2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3:K17"/>
  <sheetViews>
    <sheetView workbookViewId="0">
      <selection activeCell="J21" sqref="J21"/>
    </sheetView>
  </sheetViews>
  <sheetFormatPr defaultRowHeight="12.75"/>
  <cols>
    <col min="3" max="3" width="18.7109375" customWidth="1"/>
  </cols>
  <sheetData>
    <row r="3" spans="2:11" ht="26.25" thickBot="1">
      <c r="D3" s="10" t="s">
        <v>1</v>
      </c>
      <c r="E3" s="10" t="s">
        <v>2</v>
      </c>
      <c r="F3" s="13" t="s">
        <v>3</v>
      </c>
      <c r="G3" s="10" t="s">
        <v>4</v>
      </c>
      <c r="H3" s="10" t="s">
        <v>5</v>
      </c>
      <c r="I3" s="10" t="s">
        <v>6</v>
      </c>
      <c r="J3" s="10" t="s">
        <v>7</v>
      </c>
      <c r="K3" s="10" t="s">
        <v>8</v>
      </c>
    </row>
    <row r="4" spans="2:11">
      <c r="F4" s="14"/>
    </row>
    <row r="5" spans="2:11" s="2" customFormat="1">
      <c r="B5" s="2" t="s">
        <v>24</v>
      </c>
      <c r="D5" s="12">
        <v>100</v>
      </c>
      <c r="E5" s="12">
        <v>1000</v>
      </c>
      <c r="F5" s="15">
        <v>10000</v>
      </c>
      <c r="G5" s="12">
        <v>50000</v>
      </c>
      <c r="H5" s="12">
        <v>60000</v>
      </c>
      <c r="I5" s="12">
        <v>100000</v>
      </c>
      <c r="J5" s="12">
        <v>250000</v>
      </c>
      <c r="K5" s="12">
        <v>700000</v>
      </c>
    </row>
    <row r="6" spans="2:11">
      <c r="D6" s="4"/>
      <c r="E6" s="4"/>
      <c r="F6" s="16"/>
      <c r="G6" s="4"/>
      <c r="H6" s="4"/>
      <c r="I6" s="4"/>
      <c r="J6" s="4"/>
      <c r="K6" s="4"/>
    </row>
    <row r="7" spans="2:11">
      <c r="B7" t="s">
        <v>21</v>
      </c>
      <c r="F7" s="14"/>
    </row>
    <row r="8" spans="2:11" s="6" customFormat="1">
      <c r="C8" s="6" t="s">
        <v>34</v>
      </c>
      <c r="D8" s="6">
        <v>10</v>
      </c>
      <c r="E8" s="6">
        <v>20</v>
      </c>
      <c r="F8" s="17">
        <v>30</v>
      </c>
      <c r="G8" s="6">
        <v>40</v>
      </c>
      <c r="H8" s="6">
        <v>120</v>
      </c>
      <c r="I8" s="6">
        <v>120</v>
      </c>
      <c r="J8" s="6">
        <v>120</v>
      </c>
      <c r="K8" s="6">
        <v>120</v>
      </c>
    </row>
    <row r="9" spans="2:11">
      <c r="F9" s="14"/>
    </row>
    <row r="10" spans="2:11">
      <c r="C10" t="s">
        <v>32</v>
      </c>
      <c r="D10">
        <v>1020</v>
      </c>
      <c r="E10">
        <v>1488</v>
      </c>
      <c r="F10" s="14">
        <v>1798</v>
      </c>
      <c r="G10">
        <v>2077</v>
      </c>
      <c r="H10">
        <f>2.5*2077</f>
        <v>5192.5</v>
      </c>
      <c r="I10">
        <f>3*2077</f>
        <v>6231</v>
      </c>
      <c r="J10">
        <f>3*2077</f>
        <v>6231</v>
      </c>
      <c r="K10">
        <f>3*2077</f>
        <v>6231</v>
      </c>
    </row>
    <row r="11" spans="2:11">
      <c r="C11" t="s">
        <v>35</v>
      </c>
      <c r="D11">
        <v>206</v>
      </c>
      <c r="E11">
        <v>262</v>
      </c>
      <c r="F11" s="14">
        <v>255</v>
      </c>
      <c r="G11">
        <v>270</v>
      </c>
      <c r="H11">
        <f>270*2.5</f>
        <v>675</v>
      </c>
      <c r="I11">
        <f>270*3</f>
        <v>810</v>
      </c>
      <c r="J11">
        <f>270*3</f>
        <v>810</v>
      </c>
      <c r="K11">
        <f>270*3</f>
        <v>810</v>
      </c>
    </row>
    <row r="12" spans="2:11">
      <c r="C12" t="s">
        <v>36</v>
      </c>
      <c r="D12">
        <v>0.5</v>
      </c>
      <c r="E12">
        <v>0.6</v>
      </c>
      <c r="F12" s="14">
        <v>0.7</v>
      </c>
      <c r="G12">
        <v>0.8</v>
      </c>
      <c r="H12">
        <v>0.8</v>
      </c>
      <c r="I12">
        <v>0.8</v>
      </c>
      <c r="J12">
        <v>0.8</v>
      </c>
      <c r="K12">
        <v>0.8</v>
      </c>
    </row>
    <row r="13" spans="2:11">
      <c r="F13" s="14"/>
    </row>
    <row r="14" spans="2:11">
      <c r="C14" t="s">
        <v>33</v>
      </c>
      <c r="D14">
        <f>D10</f>
        <v>1020</v>
      </c>
      <c r="E14">
        <f>E10+D14</f>
        <v>2508</v>
      </c>
      <c r="F14" s="14">
        <f t="shared" ref="F14:K14" si="0">F10+E14</f>
        <v>4306</v>
      </c>
      <c r="G14">
        <f t="shared" si="0"/>
        <v>6383</v>
      </c>
      <c r="H14">
        <f t="shared" si="0"/>
        <v>11575.5</v>
      </c>
      <c r="I14">
        <f t="shared" si="0"/>
        <v>17806.5</v>
      </c>
      <c r="J14">
        <f t="shared" si="0"/>
        <v>24037.5</v>
      </c>
      <c r="K14">
        <f t="shared" si="0"/>
        <v>30268.5</v>
      </c>
    </row>
    <row r="15" spans="2:11">
      <c r="F15" s="14"/>
    </row>
    <row r="16" spans="2:11">
      <c r="F16" s="14"/>
    </row>
    <row r="17" spans="6:6">
      <c r="F17" s="14" t="s">
        <v>37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БП</vt:lpstr>
      <vt:lpstr>Анализ рекламы</vt:lpstr>
    </vt:vector>
  </TitlesOfParts>
  <Company>Gelicon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</dc:creator>
  <cp:lastModifiedBy>Kluev Andrey</cp:lastModifiedBy>
  <dcterms:created xsi:type="dcterms:W3CDTF">2013-04-01T08:20:30Z</dcterms:created>
  <dcterms:modified xsi:type="dcterms:W3CDTF">2013-07-23T13:08:51Z</dcterms:modified>
</cp:coreProperties>
</file>