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drawings/drawing21.xml" ContentType="application/vnd.openxmlformats-officedocument.drawing+xml"/>
  <Override PartName="/xl/comments21.xml" ContentType="application/vnd.openxmlformats-officedocument.spreadsheetml.comments+xml"/>
  <Override PartName="/xl/drawings/drawing22.xml" ContentType="application/vnd.openxmlformats-officedocument.drawing+xml"/>
  <Override PartName="/xl/comments22.xml" ContentType="application/vnd.openxmlformats-officedocument.spreadsheetml.comments+xml"/>
  <Override PartName="/xl/drawings/drawing23.xml" ContentType="application/vnd.openxmlformats-officedocument.drawing+xml"/>
  <Override PartName="/xl/comments23.xml" ContentType="application/vnd.openxmlformats-officedocument.spreadsheetml.comments+xml"/>
  <Override PartName="/xl/drawings/drawing24.xml" ContentType="application/vnd.openxmlformats-officedocument.drawing+xml"/>
  <Override PartName="/xl/comments24.xml" ContentType="application/vnd.openxmlformats-officedocument.spreadsheetml.comments+xml"/>
  <Override PartName="/xl/drawings/drawing25.xml" ContentType="application/vnd.openxmlformats-officedocument.drawing+xml"/>
  <Override PartName="/xl/comments25.xml" ContentType="application/vnd.openxmlformats-officedocument.spreadsheetml.comments+xml"/>
  <Override PartName="/xl/drawings/drawing26.xml" ContentType="application/vnd.openxmlformats-officedocument.drawing+xml"/>
  <Override PartName="/xl/comments26.xml" ContentType="application/vnd.openxmlformats-officedocument.spreadsheetml.comments+xml"/>
  <Override PartName="/xl/drawings/drawing27.xml" ContentType="application/vnd.openxmlformats-officedocument.drawing+xml"/>
  <Override PartName="/xl/comments27.xml" ContentType="application/vnd.openxmlformats-officedocument.spreadsheetml.comments+xml"/>
  <Override PartName="/xl/drawings/drawing28.xml" ContentType="application/vnd.openxmlformats-officedocument.drawing+xml"/>
  <Override PartName="/xl/comments28.xml" ContentType="application/vnd.openxmlformats-officedocument.spreadsheetml.comments+xml"/>
  <Override PartName="/xl/drawings/drawing29.xml" ContentType="application/vnd.openxmlformats-officedocument.drawing+xml"/>
  <Override PartName="/xl/comments2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600" windowWidth="25140" windowHeight="11625" firstSheet="182" activeTab="184"/>
  </bookViews>
  <sheets>
    <sheet name="Цены на 13.01.2017" sheetId="95" r:id="rId1"/>
    <sheet name="Цены на 01.02.2017" sheetId="96" r:id="rId2"/>
    <sheet name="Цены на 01.03.2017" sheetId="97" r:id="rId3"/>
    <sheet name="Цены на 13.03.2017" sheetId="98" r:id="rId4"/>
    <sheet name="Цены на 26.03.2017" sheetId="99" r:id="rId5"/>
    <sheet name="Цены на 03.04.2017" sheetId="100" r:id="rId6"/>
    <sheet name="Цены на 11.04.2017" sheetId="101" r:id="rId7"/>
    <sheet name="Цены на 17.04.2017" sheetId="102" r:id="rId8"/>
    <sheet name="Цены на 18.05.2017" sheetId="103" r:id="rId9"/>
    <sheet name="Цены на 02.06.2017" sheetId="104" r:id="rId10"/>
    <sheet name="Цены на 06.07.2017" sheetId="105" r:id="rId11"/>
    <sheet name="Цены на 07.08.2017" sheetId="106" r:id="rId12"/>
    <sheet name="Цены на 31.08.2017" sheetId="107" r:id="rId13"/>
    <sheet name="Цены на 25.09.2017" sheetId="108" r:id="rId14"/>
    <sheet name="Цены на 12.10.2017" sheetId="109" r:id="rId15"/>
    <sheet name="Цены на 15.11.2017" sheetId="110" r:id="rId16"/>
    <sheet name="Цены на 22.11.2017" sheetId="111" r:id="rId17"/>
    <sheet name="Цены на 27.11.2017" sheetId="112" r:id="rId18"/>
    <sheet name="Цены на 04.12.2017" sheetId="113" r:id="rId19"/>
    <sheet name="Цены на 11.12.2017" sheetId="114" r:id="rId20"/>
    <sheet name="Цены на 18.12.2017" sheetId="115" r:id="rId21"/>
    <sheet name="Цены на 26.12.2017" sheetId="116" r:id="rId22"/>
    <sheet name="Цены на 03.01.2018" sheetId="1" r:id="rId23"/>
    <sheet name="Цены на 08.01.2018" sheetId="2" r:id="rId24"/>
    <sheet name="Цены на 15.01.2018" sheetId="3" r:id="rId25"/>
    <sheet name="Цены на 22.01.2018" sheetId="4" r:id="rId26"/>
    <sheet name="Цены на 29.01.2018" sheetId="5" r:id="rId27"/>
    <sheet name="Цены на 05.02.2018" sheetId="6" r:id="rId28"/>
    <sheet name="Цены на 12.02.2018" sheetId="7" r:id="rId29"/>
    <sheet name="Цены на 19.02.2018" sheetId="8" r:id="rId30"/>
    <sheet name="Цены на 26.02.2018" sheetId="9" r:id="rId31"/>
    <sheet name="Цены на 05.03.2018" sheetId="10" r:id="rId32"/>
    <sheet name="Цены на 12.03.2018" sheetId="11" r:id="rId33"/>
    <sheet name="Цены на 19.03.2018 (2)" sheetId="12" r:id="rId34"/>
    <sheet name="Цены на 26.03.2018 (3)" sheetId="13" r:id="rId35"/>
    <sheet name="Цены на 02.04.2018" sheetId="14" r:id="rId36"/>
    <sheet name="Цены на 09.04.2018" sheetId="15" r:id="rId37"/>
    <sheet name="Цены на 13.04.2018" sheetId="16" r:id="rId38"/>
    <sheet name="Цены на 18.04.2018" sheetId="17" r:id="rId39"/>
    <sheet name="Цены на 20.04.2018" sheetId="18" r:id="rId40"/>
    <sheet name="Цены на 23.04.2018" sheetId="19" r:id="rId41"/>
    <sheet name="Цены на 25.04.2018" sheetId="20" r:id="rId42"/>
    <sheet name="Цены на 02.05.2018" sheetId="21" r:id="rId43"/>
    <sheet name="Цены на 07.05.2018" sheetId="22" r:id="rId44"/>
    <sheet name="Цены на 14.05.2018" sheetId="23" r:id="rId45"/>
    <sheet name="Цены на 17.05.2018" sheetId="24" r:id="rId46"/>
    <sheet name="Цены на 21.05.2018" sheetId="25" r:id="rId47"/>
    <sheet name="Цены на 28.05.2018" sheetId="26" r:id="rId48"/>
    <sheet name="Цены на 31.05.2018" sheetId="27" r:id="rId49"/>
    <sheet name="Цены на 03.06.2018" sheetId="28" r:id="rId50"/>
    <sheet name="Цены на 11.06.2018" sheetId="29" r:id="rId51"/>
    <sheet name="Цены на 18.06.2018" sheetId="30" r:id="rId52"/>
    <sheet name="Цены на 25.06.2018" sheetId="31" r:id="rId53"/>
    <sheet name="Цены на 04.07.2018" sheetId="32" r:id="rId54"/>
    <sheet name="Цены на 09.07.2018" sheetId="33" r:id="rId55"/>
    <sheet name="Цены на 16.07.2018" sheetId="34" r:id="rId56"/>
    <sheet name="Цены на 23.07.2018" sheetId="35" r:id="rId57"/>
    <sheet name="Цены на 30.07.2018" sheetId="36" r:id="rId58"/>
    <sheet name="Цены на 06.08.2018" sheetId="37" r:id="rId59"/>
    <sheet name="Цены на 13.08.2018" sheetId="38" r:id="rId60"/>
    <sheet name="Цены на 20.08.2018" sheetId="39" r:id="rId61"/>
    <sheet name="Цены на 27.08.2018" sheetId="40" r:id="rId62"/>
    <sheet name="Цены на 03.09.2018" sheetId="41" r:id="rId63"/>
    <sheet name="Цены  на 10.09.2018" sheetId="42" r:id="rId64"/>
    <sheet name="Цены на 17.09.2018" sheetId="43" r:id="rId65"/>
    <sheet name="Цены на 24.09.2018" sheetId="44" r:id="rId66"/>
    <sheet name="Цены на 01.10.2018" sheetId="45" r:id="rId67"/>
    <sheet name="Цены на 08.10.2018" sheetId="46" r:id="rId68"/>
    <sheet name="Цены на 15.10.2018" sheetId="47" r:id="rId69"/>
    <sheet name="Цены на 22.10.2018" sheetId="48" r:id="rId70"/>
    <sheet name="Цены на 29.10.2018" sheetId="49" r:id="rId71"/>
    <sheet name="Цены на 05.11.2018" sheetId="50" r:id="rId72"/>
    <sheet name="Цены на 12.11.2018" sheetId="51" r:id="rId73"/>
    <sheet name="Цены на 19.11.2018" sheetId="52" r:id="rId74"/>
    <sheet name="Цены на 26.11.2018" sheetId="53" r:id="rId75"/>
    <sheet name="Цены на 03.12.2018" sheetId="54" r:id="rId76"/>
    <sheet name="Цены на 10.12.2018" sheetId="55" r:id="rId77"/>
    <sheet name="Цены на 17.12.2018" sheetId="56" r:id="rId78"/>
    <sheet name="Цены на 27.12.2018" sheetId="57" r:id="rId79"/>
    <sheet name="Цены на 02.01.2019" sheetId="58" r:id="rId80"/>
    <sheet name="Цены на 08.01.2019" sheetId="59" r:id="rId81"/>
    <sheet name="Цены на 14.01.2019" sheetId="60" r:id="rId82"/>
    <sheet name="Цены на 21.01.2019" sheetId="61" r:id="rId83"/>
    <sheet name="Цены на 28.01.2019" sheetId="62" r:id="rId84"/>
    <sheet name="Цены на 04.02.2019" sheetId="63" r:id="rId85"/>
    <sheet name="Цены на 11.02.2019" sheetId="64" r:id="rId86"/>
    <sheet name="Цены на 18.02.2019" sheetId="65" r:id="rId87"/>
    <sheet name="Цены на 25.02.2019" sheetId="66" r:id="rId88"/>
    <sheet name="Цены на 04.03.2019" sheetId="67" r:id="rId89"/>
    <sheet name="Цены на 11.03.2019" sheetId="68" r:id="rId90"/>
    <sheet name="Цены на 18.03.2019" sheetId="69" r:id="rId91"/>
    <sheet name="Цены на 25.03.2019" sheetId="70" r:id="rId92"/>
    <sheet name="Цены на 01.04.2019" sheetId="71" r:id="rId93"/>
    <sheet name="Цены на 08.04.2019" sheetId="72" r:id="rId94"/>
    <sheet name="Цены на 15.04.2019" sheetId="73" r:id="rId95"/>
    <sheet name="Цены на 22.04.2019" sheetId="74" r:id="rId96"/>
    <sheet name="Цены на 29.04.2019" sheetId="75" r:id="rId97"/>
    <sheet name="Цены на 10.05.2019" sheetId="76" r:id="rId98"/>
    <sheet name="Цены на 20.05.2019" sheetId="77" r:id="rId99"/>
    <sheet name="Цены на 27.05.2019" sheetId="78" r:id="rId100"/>
    <sheet name="Цены на 03.06.2019" sheetId="79" r:id="rId101"/>
    <sheet name="Цены на 10.06.2019" sheetId="80" r:id="rId102"/>
    <sheet name="Цены на 17.06.2019" sheetId="81" r:id="rId103"/>
    <sheet name="Цены на 24.06.2019" sheetId="82" r:id="rId104"/>
    <sheet name="Цены на 01.07.2019" sheetId="83" r:id="rId105"/>
    <sheet name="Цены на 08.07.2019" sheetId="84" r:id="rId106"/>
    <sheet name="Цены на 15.07.2019" sheetId="85" r:id="rId107"/>
    <sheet name="Цены на 22.07.2019" sheetId="86" r:id="rId108"/>
    <sheet name="Цены на 29.07.2019" sheetId="88" r:id="rId109"/>
    <sheet name="Цены на 05.08.2019" sheetId="89" r:id="rId110"/>
    <sheet name="Цены на 12.08.2019" sheetId="90" r:id="rId111"/>
    <sheet name="Цены на 19.08.2019" sheetId="91" r:id="rId112"/>
    <sheet name="Цены на 26.08.2019" sheetId="92" r:id="rId113"/>
    <sheet name="Цены на 02.09.2019" sheetId="93" r:id="rId114"/>
    <sheet name="Цены на 09.09.2019" sheetId="94" r:id="rId115"/>
    <sheet name="Цены на 16.09.2019" sheetId="117" r:id="rId116"/>
    <sheet name="Цены на 22.09.2019" sheetId="118" r:id="rId117"/>
    <sheet name="Цены на 29.09.2019" sheetId="119" r:id="rId118"/>
    <sheet name="Цены на 07.10.2019" sheetId="120" r:id="rId119"/>
    <sheet name="Цены на 14.10.2019" sheetId="121" r:id="rId120"/>
    <sheet name="Цены на 21.10.2019" sheetId="122" r:id="rId121"/>
    <sheet name="Цены на 28.10.2019" sheetId="123" r:id="rId122"/>
    <sheet name="Цены на 04.11.2019" sheetId="124" r:id="rId123"/>
    <sheet name="Цены на 11.11.2019" sheetId="125" r:id="rId124"/>
    <sheet name="Цены на 18.11.2019" sheetId="126" r:id="rId125"/>
    <sheet name="Цены на 25.11.2019" sheetId="127" r:id="rId126"/>
    <sheet name="Цены на 02.12.2019" sheetId="128" r:id="rId127"/>
    <sheet name="Цены на 09.12.2019" sheetId="129" r:id="rId128"/>
    <sheet name="Цены на 16.12.2019" sheetId="130" r:id="rId129"/>
    <sheet name="Цены на 23.12.2019" sheetId="131" r:id="rId130"/>
    <sheet name="Цены на 30.12.2019" sheetId="132" r:id="rId131"/>
    <sheet name="Цены на 08.01.2020" sheetId="133" r:id="rId132"/>
    <sheet name="Цены на 13.01.2020" sheetId="134" r:id="rId133"/>
    <sheet name="Цены на 20.01.2020" sheetId="135" r:id="rId134"/>
    <sheet name="Цены на 27.01.2020" sheetId="136" r:id="rId135"/>
    <sheet name="Цены на 03.02.2020" sheetId="137" r:id="rId136"/>
    <sheet name="Цены на 10.02.2020" sheetId="138" r:id="rId137"/>
    <sheet name="Цены на 17.02.2020" sheetId="139" r:id="rId138"/>
    <sheet name="Цены на 24.02.2020" sheetId="140" r:id="rId139"/>
    <sheet name="Цены на 02.03.2020" sheetId="141" r:id="rId140"/>
    <sheet name="Цены на 09.03.2020" sheetId="142" r:id="rId141"/>
    <sheet name="Цены на 10.03.2020" sheetId="143" r:id="rId142"/>
    <sheet name="Цены на 16.03.2020" sheetId="144" r:id="rId143"/>
    <sheet name="Цены на 23.03.2020" sheetId="145" r:id="rId144"/>
    <sheet name="Цены на 30.03.2020" sheetId="146" r:id="rId145"/>
    <sheet name="Цены на 06.04.2020" sheetId="147" r:id="rId146"/>
    <sheet name="Цены на 13.04.2020" sheetId="148" r:id="rId147"/>
    <sheet name="Цены на 20.04.2020" sheetId="149" r:id="rId148"/>
    <sheet name="Цены на 29.04.2020" sheetId="150" r:id="rId149"/>
    <sheet name="Цены на 04.05.2020" sheetId="151" r:id="rId150"/>
    <sheet name="Цены на 11.05.2020" sheetId="152" r:id="rId151"/>
    <sheet name="Цены на 18.05.2020" sheetId="153" r:id="rId152"/>
    <sheet name="Цены на 25.05.2020" sheetId="154" r:id="rId153"/>
    <sheet name="Цены на 01.06.2020" sheetId="155" r:id="rId154"/>
    <sheet name="Цены на 08.06.2020" sheetId="156" r:id="rId155"/>
    <sheet name="Цены на 15.06.2020" sheetId="157" r:id="rId156"/>
    <sheet name="Цены на 22.06.2020" sheetId="158" r:id="rId157"/>
    <sheet name="Цены на 29.06.2020" sheetId="159" r:id="rId158"/>
    <sheet name="Цены на 06.07.2020" sheetId="160" r:id="rId159"/>
    <sheet name="Цены на 13.07.2020" sheetId="161" r:id="rId160"/>
    <sheet name="Цены на 20.07.2020" sheetId="162" r:id="rId161"/>
    <sheet name="Цены на 27.07.2020" sheetId="163" r:id="rId162"/>
    <sheet name="Цены на 03.08.2020" sheetId="164" r:id="rId163"/>
    <sheet name="Цены на 10.08.2020" sheetId="165" r:id="rId164"/>
    <sheet name="Цены на 17.08.2020" sheetId="166" r:id="rId165"/>
    <sheet name="Цены на 24.08.2020" sheetId="167" r:id="rId166"/>
    <sheet name="Цены на 31.08.2020" sheetId="168" r:id="rId167"/>
    <sheet name="Цены на 07.09.2020" sheetId="169" r:id="rId168"/>
    <sheet name="Цены на 14.09.2020" sheetId="170" r:id="rId169"/>
    <sheet name="Цены на 21.09.2020" sheetId="171" r:id="rId170"/>
    <sheet name="Цены на 28.09.2020" sheetId="172" r:id="rId171"/>
    <sheet name="Цены на 05.10.2020" sheetId="173" r:id="rId172"/>
    <sheet name="Цены на 12.10.2020" sheetId="174" r:id="rId173"/>
    <sheet name="Цены на 19.10.2020" sheetId="175" r:id="rId174"/>
    <sheet name="Цены на 26.10.2020" sheetId="176" r:id="rId175"/>
    <sheet name="Цены на 02.11.2020" sheetId="177" r:id="rId176"/>
    <sheet name="Цены на 09.11.2020" sheetId="178" r:id="rId177"/>
    <sheet name="Цены на 16.11.2020" sheetId="179" r:id="rId178"/>
    <sheet name="Цены на 23.11.2020" sheetId="180" r:id="rId179"/>
    <sheet name="Цены на 30.11.2020" sheetId="181" r:id="rId180"/>
    <sheet name="Цены на 07.12.2020" sheetId="182" r:id="rId181"/>
    <sheet name="Цены на 14.12.2020" sheetId="183" r:id="rId182"/>
    <sheet name="Цены на 21.12.2020" sheetId="184" r:id="rId183"/>
    <sheet name="Цены на 28.12.2020" sheetId="185" r:id="rId184"/>
    <sheet name="Свод" sheetId="87" r:id="rId185"/>
  </sheets>
  <definedNames>
    <definedName name="_xlnm.Print_Area" localSheetId="1">'Цены на 01.02.2017'!$A$1:$L$14</definedName>
    <definedName name="_xlnm.Print_Area" localSheetId="2">'Цены на 01.03.2017'!$A$1:$L$14</definedName>
    <definedName name="_xlnm.Print_Area" localSheetId="35">'Цены на 02.04.2018'!$A$1:$P$14</definedName>
    <definedName name="_xlnm.Print_Area" localSheetId="42">'Цены на 02.05.2018'!$A$1:$P$14</definedName>
    <definedName name="_xlnm.Print_Area" localSheetId="9">'Цены на 02.06.2017'!$A$1:$L$14</definedName>
    <definedName name="_xlnm.Print_Area" localSheetId="22">'Цены на 03.01.2018'!$A$1:$L$14</definedName>
    <definedName name="_xlnm.Print_Area" localSheetId="5">'Цены на 03.04.2017'!$A$1:$L$14</definedName>
    <definedName name="_xlnm.Print_Area" localSheetId="49">'Цены на 03.06.2018'!$A$1:$P$14</definedName>
    <definedName name="_xlnm.Print_Area" localSheetId="53">'Цены на 04.07.2018'!$A$1:$P$14</definedName>
    <definedName name="_xlnm.Print_Area" localSheetId="18">'Цены на 04.12.2017'!$A$1:$L$14</definedName>
    <definedName name="_xlnm.Print_Area" localSheetId="27">'Цены на 05.02.2018'!$A$1:$L$14</definedName>
    <definedName name="_xlnm.Print_Area" localSheetId="31">'Цены на 05.03.2018'!$A$1:$P$14</definedName>
    <definedName name="_xlnm.Print_Area" localSheetId="10">'Цены на 06.07.2017'!$A$1:$L$14</definedName>
    <definedName name="_xlnm.Print_Area" localSheetId="58">'Цены на 06.08.2018'!$A$1:$P$14</definedName>
    <definedName name="_xlnm.Print_Area" localSheetId="43">'Цены на 07.05.2018'!$A$1:$P$14</definedName>
    <definedName name="_xlnm.Print_Area" localSheetId="11">'Цены на 07.08.2017'!$A$1:$L$14</definedName>
    <definedName name="_xlnm.Print_Area" localSheetId="23">'Цены на 08.01.2018'!$A$1:$L$14</definedName>
    <definedName name="_xlnm.Print_Area" localSheetId="36">'Цены на 09.04.2018'!$A$1:$P$14</definedName>
    <definedName name="_xlnm.Print_Area" localSheetId="54">'Цены на 09.07.2018'!$A$1:$P$14</definedName>
    <definedName name="_xlnm.Print_Area" localSheetId="6">'Цены на 11.04.2017'!$A$1:$L$14</definedName>
    <definedName name="_xlnm.Print_Area" localSheetId="50">'Цены на 11.06.2018'!$A$1:$P$14</definedName>
    <definedName name="_xlnm.Print_Area" localSheetId="19">'Цены на 11.12.2017'!$A$1:$L$14</definedName>
    <definedName name="_xlnm.Print_Area" localSheetId="28">'Цены на 12.02.2018'!$A$1:$L$14</definedName>
    <definedName name="_xlnm.Print_Area" localSheetId="32">'Цены на 12.03.2018'!$A$1:$P$14</definedName>
    <definedName name="_xlnm.Print_Area" localSheetId="14">'Цены на 12.10.2017'!$A$1:$L$14</definedName>
    <definedName name="_xlnm.Print_Area" localSheetId="0">'Цены на 13.01.2017'!$A$1:$L$14</definedName>
    <definedName name="_xlnm.Print_Area" localSheetId="3">'Цены на 13.03.2017'!$A$1:$L$14</definedName>
    <definedName name="_xlnm.Print_Area" localSheetId="37">'Цены на 13.04.2018'!$A$1:$P$14</definedName>
    <definedName name="_xlnm.Print_Area" localSheetId="59">'Цены на 13.08.2018'!$A$1:$P$14</definedName>
    <definedName name="_xlnm.Print_Area" localSheetId="44">'Цены на 14.05.2018'!$A$1:$P$14</definedName>
    <definedName name="_xlnm.Print_Area" localSheetId="24">'Цены на 15.01.2018'!$A$1:$L$14</definedName>
    <definedName name="_xlnm.Print_Area" localSheetId="15">'Цены на 15.11.2017'!$A$1:$L$14</definedName>
    <definedName name="_xlnm.Print_Area" localSheetId="55">'Цены на 16.07.2018'!$A$1:$P$14</definedName>
    <definedName name="_xlnm.Print_Area" localSheetId="7">'Цены на 17.04.2017'!$A$1:$L$14</definedName>
    <definedName name="_xlnm.Print_Area" localSheetId="45">'Цены на 17.05.2018'!$A$1:$P$14</definedName>
    <definedName name="_xlnm.Print_Area" localSheetId="38">'Цены на 18.04.2018'!$A$1:$P$14</definedName>
    <definedName name="_xlnm.Print_Area" localSheetId="8">'Цены на 18.05.2017'!$A$1:$L$14</definedName>
    <definedName name="_xlnm.Print_Area" localSheetId="51">'Цены на 18.06.2018'!$A$1:$P$14</definedName>
    <definedName name="_xlnm.Print_Area" localSheetId="20">'Цены на 18.12.2017'!$A$1:$L$14</definedName>
    <definedName name="_xlnm.Print_Area" localSheetId="29">'Цены на 19.02.2018'!$A$1:$P$14</definedName>
    <definedName name="_xlnm.Print_Area" localSheetId="33">'Цены на 19.03.2018 (2)'!$A$1:$P$14</definedName>
    <definedName name="_xlnm.Print_Area" localSheetId="39">'Цены на 20.04.2018'!$A$1:$P$14</definedName>
    <definedName name="_xlnm.Print_Area" localSheetId="60">'Цены на 20.08.2018'!$A$1:$P$14</definedName>
    <definedName name="_xlnm.Print_Area" localSheetId="46">'Цены на 21.05.2018'!$A$1:$P$14</definedName>
    <definedName name="_xlnm.Print_Area" localSheetId="25">'Цены на 22.01.2018'!$A$1:$L$14</definedName>
    <definedName name="_xlnm.Print_Area" localSheetId="16">'Цены на 22.11.2017'!$A$1:$L$14</definedName>
    <definedName name="_xlnm.Print_Area" localSheetId="40">'Цены на 23.04.2018'!$A$1:$P$14</definedName>
    <definedName name="_xlnm.Print_Area" localSheetId="56">'Цены на 23.07.2018'!$A$1:$P$14</definedName>
    <definedName name="_xlnm.Print_Area" localSheetId="41">'Цены на 25.04.2018'!$A$1:$P$14</definedName>
    <definedName name="_xlnm.Print_Area" localSheetId="52">'Цены на 25.06.2018'!$A$1:$P$14</definedName>
    <definedName name="_xlnm.Print_Area" localSheetId="13">'Цены на 25.09.2017'!$A$1:$L$14</definedName>
    <definedName name="_xlnm.Print_Area" localSheetId="30">'Цены на 26.02.2018'!$A$1:$P$14</definedName>
    <definedName name="_xlnm.Print_Area" localSheetId="4">'Цены на 26.03.2017'!$A$1:$L$14</definedName>
    <definedName name="_xlnm.Print_Area" localSheetId="34">'Цены на 26.03.2018 (3)'!$A$1:$P$14</definedName>
    <definedName name="_xlnm.Print_Area" localSheetId="21">'Цены на 26.12.2017'!$A$1:$L$14</definedName>
    <definedName name="_xlnm.Print_Area" localSheetId="17">'Цены на 27.11.2017'!$A$1:$L$14</definedName>
    <definedName name="_xlnm.Print_Area" localSheetId="47">'Цены на 28.05.2018'!$A$1:$P$14</definedName>
    <definedName name="_xlnm.Print_Area" localSheetId="26">'Цены на 29.01.2018'!$A$1:$L$14</definedName>
    <definedName name="_xlnm.Print_Area" localSheetId="57">'Цены на 30.07.2018'!$A$1:$P$14</definedName>
    <definedName name="_xlnm.Print_Area" localSheetId="48">'Цены на 31.05.2018'!$A$1:$P$14</definedName>
    <definedName name="_xlnm.Print_Area" localSheetId="12">'Цены на 31.08.2017'!$A$1:$L$14</definedName>
    <definedName name="Оглавление">GET.WORKBOOK(1)</definedName>
  </definedNames>
  <calcPr calcId="145621"/>
</workbook>
</file>

<file path=xl/calcChain.xml><?xml version="1.0" encoding="utf-8"?>
<calcChain xmlns="http://schemas.openxmlformats.org/spreadsheetml/2006/main">
  <c r="N15" i="185" l="1"/>
  <c r="AD15" i="185" s="1"/>
  <c r="K15" i="185"/>
  <c r="L15" i="185" s="1"/>
  <c r="H15" i="185"/>
  <c r="AB15" i="185" s="1"/>
  <c r="E15" i="185"/>
  <c r="F15" i="185" s="1"/>
  <c r="N14" i="185"/>
  <c r="AD14" i="185" s="1"/>
  <c r="K14" i="185"/>
  <c r="L14" i="185" s="1"/>
  <c r="H14" i="185"/>
  <c r="AB14" i="185" s="1"/>
  <c r="E14" i="185"/>
  <c r="F14" i="185" s="1"/>
  <c r="N13" i="185"/>
  <c r="AD13" i="185" s="1"/>
  <c r="K13" i="185"/>
  <c r="M13" i="185" s="1"/>
  <c r="H13" i="185"/>
  <c r="AB13" i="185" s="1"/>
  <c r="E13" i="185"/>
  <c r="G13" i="185" s="1"/>
  <c r="N12" i="185"/>
  <c r="P12" i="185" s="1"/>
  <c r="K12" i="185"/>
  <c r="M12" i="185" s="1"/>
  <c r="H12" i="185"/>
  <c r="J12" i="185" s="1"/>
  <c r="E12" i="185"/>
  <c r="G12" i="185" s="1"/>
  <c r="B12" i="185"/>
  <c r="D12" i="185" s="1"/>
  <c r="N10" i="185"/>
  <c r="P10" i="185" s="1"/>
  <c r="K10" i="185"/>
  <c r="M10" i="185" s="1"/>
  <c r="H10" i="185"/>
  <c r="J10" i="185" s="1"/>
  <c r="E10" i="185"/>
  <c r="G10" i="185" s="1"/>
  <c r="B10" i="185"/>
  <c r="D10" i="185" s="1"/>
  <c r="N9" i="185"/>
  <c r="P9" i="185" s="1"/>
  <c r="L9" i="185"/>
  <c r="K9" i="185"/>
  <c r="M9" i="185" s="1"/>
  <c r="H9" i="185"/>
  <c r="J9" i="185" s="1"/>
  <c r="E9" i="185"/>
  <c r="G9" i="185" s="1"/>
  <c r="B9" i="185"/>
  <c r="D9" i="185" s="1"/>
  <c r="N8" i="185"/>
  <c r="P8" i="185" s="1"/>
  <c r="K8" i="185"/>
  <c r="M8" i="185" s="1"/>
  <c r="H8" i="185"/>
  <c r="J8" i="185" s="1"/>
  <c r="E8" i="185"/>
  <c r="G8" i="185" s="1"/>
  <c r="B8" i="185"/>
  <c r="D8" i="185" s="1"/>
  <c r="N7" i="185"/>
  <c r="P7" i="185" s="1"/>
  <c r="K7" i="185"/>
  <c r="K11" i="185" s="1"/>
  <c r="M11" i="185" s="1"/>
  <c r="H7" i="185"/>
  <c r="H11" i="185" s="1"/>
  <c r="E7" i="185"/>
  <c r="E11" i="185" s="1"/>
  <c r="G11" i="185" s="1"/>
  <c r="B7" i="185"/>
  <c r="D7" i="185" s="1"/>
  <c r="AC6" i="185"/>
  <c r="AA6" i="185"/>
  <c r="N6" i="185"/>
  <c r="K6" i="185"/>
  <c r="H6" i="185"/>
  <c r="E6" i="185"/>
  <c r="B6" i="185"/>
  <c r="Z6" i="185" s="1"/>
  <c r="AD3" i="185"/>
  <c r="AC3" i="185"/>
  <c r="AB3" i="185"/>
  <c r="AA3" i="185"/>
  <c r="Z3" i="185"/>
  <c r="A184" i="87"/>
  <c r="L12" i="185" l="1"/>
  <c r="AC12" i="185"/>
  <c r="AA12" i="185"/>
  <c r="F12" i="185"/>
  <c r="L10" i="185"/>
  <c r="AC10" i="185"/>
  <c r="F10" i="185"/>
  <c r="AA10" i="185"/>
  <c r="AC9" i="185"/>
  <c r="AA9" i="185"/>
  <c r="F9" i="185"/>
  <c r="L8" i="185"/>
  <c r="AC8" i="185"/>
  <c r="F8" i="185"/>
  <c r="AA8" i="185"/>
  <c r="L7" i="185"/>
  <c r="AC7" i="185"/>
  <c r="AA7" i="185"/>
  <c r="F7" i="185"/>
  <c r="AB11" i="185"/>
  <c r="I11" i="185"/>
  <c r="J11" i="185"/>
  <c r="AB6" i="185"/>
  <c r="I15" i="185"/>
  <c r="I14" i="185"/>
  <c r="AD6" i="185"/>
  <c r="O15" i="185"/>
  <c r="O14" i="185"/>
  <c r="O13" i="185"/>
  <c r="J7" i="185"/>
  <c r="L11" i="185"/>
  <c r="AC11" i="185"/>
  <c r="I13" i="185"/>
  <c r="Z7" i="185"/>
  <c r="C7" i="185"/>
  <c r="AB7" i="185"/>
  <c r="I7" i="185"/>
  <c r="AD7" i="185"/>
  <c r="O7" i="185"/>
  <c r="Z8" i="185"/>
  <c r="C8" i="185"/>
  <c r="AB8" i="185"/>
  <c r="I8" i="185"/>
  <c r="AD8" i="185"/>
  <c r="O8" i="185"/>
  <c r="Z9" i="185"/>
  <c r="C9" i="185"/>
  <c r="AB9" i="185"/>
  <c r="I9" i="185"/>
  <c r="AD9" i="185"/>
  <c r="O9" i="185"/>
  <c r="Z10" i="185"/>
  <c r="C10" i="185"/>
  <c r="AB10" i="185"/>
  <c r="I10" i="185"/>
  <c r="AD10" i="185"/>
  <c r="O10" i="185"/>
  <c r="B11" i="185"/>
  <c r="F11" i="185"/>
  <c r="N11" i="185"/>
  <c r="AA11" i="185"/>
  <c r="Z12" i="185"/>
  <c r="C12" i="185"/>
  <c r="AB12" i="185"/>
  <c r="I12" i="185"/>
  <c r="AD12" i="185"/>
  <c r="O12" i="185"/>
  <c r="F13" i="185"/>
  <c r="AA13" i="185"/>
  <c r="L13" i="185"/>
  <c r="AC13" i="185"/>
  <c r="AC15" i="185"/>
  <c r="G14" i="185"/>
  <c r="M14" i="185"/>
  <c r="AA14" i="185"/>
  <c r="AC14" i="185"/>
  <c r="G15" i="185"/>
  <c r="M15" i="185"/>
  <c r="AA15" i="185"/>
  <c r="G7" i="185"/>
  <c r="M7" i="185"/>
  <c r="J13" i="185"/>
  <c r="P13" i="185"/>
  <c r="J14" i="185"/>
  <c r="P14" i="185"/>
  <c r="J15" i="185"/>
  <c r="P15" i="185"/>
  <c r="F184" i="87"/>
  <c r="V184" i="87"/>
  <c r="AL184" i="87"/>
  <c r="G184" i="87"/>
  <c r="W184" i="87"/>
  <c r="AM184" i="87"/>
  <c r="L184" i="87"/>
  <c r="AB184" i="87"/>
  <c r="AR184" i="87"/>
  <c r="M184" i="87"/>
  <c r="AC184" i="87"/>
  <c r="AS184" i="87"/>
  <c r="AA184" i="87"/>
  <c r="AF184" i="87"/>
  <c r="Q184" i="87"/>
  <c r="AW184" i="87"/>
  <c r="AI184" i="87"/>
  <c r="AO184" i="87"/>
  <c r="J184" i="87"/>
  <c r="Z184" i="87"/>
  <c r="AP184" i="87"/>
  <c r="K184" i="87"/>
  <c r="AQ184" i="87"/>
  <c r="P184" i="87"/>
  <c r="AV184" i="87"/>
  <c r="AG184" i="87"/>
  <c r="X184" i="87"/>
  <c r="N184" i="87"/>
  <c r="AD184" i="87"/>
  <c r="AT184" i="87"/>
  <c r="O184" i="87"/>
  <c r="AE184" i="87"/>
  <c r="AU184" i="87"/>
  <c r="T184" i="87"/>
  <c r="AJ184" i="87"/>
  <c r="E184" i="87"/>
  <c r="U184" i="87"/>
  <c r="AK184" i="87"/>
  <c r="D184" i="87"/>
  <c r="AH184" i="87"/>
  <c r="S184" i="87"/>
  <c r="AN184" i="87"/>
  <c r="Y184" i="87"/>
  <c r="B184" i="87"/>
  <c r="R184" i="87"/>
  <c r="C184" i="87"/>
  <c r="H184" i="87"/>
  <c r="I184" i="87"/>
  <c r="AD11" i="185" l="1"/>
  <c r="O11" i="185"/>
  <c r="P11" i="185"/>
  <c r="Z11" i="185"/>
  <c r="C11" i="185"/>
  <c r="D11" i="185"/>
  <c r="N15" i="184" l="1"/>
  <c r="AD15" i="184" s="1"/>
  <c r="K15" i="184"/>
  <c r="AC15" i="184" s="1"/>
  <c r="H15" i="184"/>
  <c r="AB15" i="184" s="1"/>
  <c r="E15" i="184"/>
  <c r="AA15" i="184" s="1"/>
  <c r="N14" i="184"/>
  <c r="AD14" i="184" s="1"/>
  <c r="K14" i="184"/>
  <c r="AC14" i="184" s="1"/>
  <c r="H14" i="184"/>
  <c r="AB14" i="184" s="1"/>
  <c r="E14" i="184"/>
  <c r="AA14" i="184" s="1"/>
  <c r="N13" i="184"/>
  <c r="AD13" i="184" s="1"/>
  <c r="K13" i="184"/>
  <c r="H13" i="184"/>
  <c r="AB13" i="184" s="1"/>
  <c r="E13" i="184"/>
  <c r="N12" i="184"/>
  <c r="AD12" i="184" s="1"/>
  <c r="K12" i="184"/>
  <c r="H12" i="184"/>
  <c r="AB12" i="184" s="1"/>
  <c r="E12" i="184"/>
  <c r="B12" i="184"/>
  <c r="N10" i="184"/>
  <c r="AD10" i="184" s="1"/>
  <c r="K10" i="184"/>
  <c r="H10" i="184"/>
  <c r="AB10" i="184" s="1"/>
  <c r="E10" i="184"/>
  <c r="B10" i="184"/>
  <c r="Z10" i="184" s="1"/>
  <c r="N9" i="184"/>
  <c r="AD9" i="184" s="1"/>
  <c r="K9" i="184"/>
  <c r="H9" i="184"/>
  <c r="AB9" i="184" s="1"/>
  <c r="E9" i="184"/>
  <c r="B9" i="184"/>
  <c r="Z9" i="184" s="1"/>
  <c r="N8" i="184"/>
  <c r="AD8" i="184" s="1"/>
  <c r="K8" i="184"/>
  <c r="H8" i="184"/>
  <c r="AB8" i="184" s="1"/>
  <c r="E8" i="184"/>
  <c r="B8" i="184"/>
  <c r="Z8" i="184" s="1"/>
  <c r="N7" i="184"/>
  <c r="AD7" i="184" s="1"/>
  <c r="K7" i="184"/>
  <c r="H7" i="184"/>
  <c r="AB7" i="184" s="1"/>
  <c r="E7" i="184"/>
  <c r="B7" i="184"/>
  <c r="Z7" i="184" s="1"/>
  <c r="N6" i="184"/>
  <c r="AD6" i="184" s="1"/>
  <c r="K6" i="184"/>
  <c r="H6" i="184"/>
  <c r="AB6" i="184" s="1"/>
  <c r="E6" i="184"/>
  <c r="B6" i="184"/>
  <c r="Z6" i="184" s="1"/>
  <c r="AD3" i="184"/>
  <c r="AC3" i="184"/>
  <c r="AB3" i="184"/>
  <c r="AA3" i="184"/>
  <c r="Z3" i="184"/>
  <c r="A183" i="87"/>
  <c r="A182" i="87"/>
  <c r="G9" i="184" l="1"/>
  <c r="M9" i="184"/>
  <c r="G12" i="184"/>
  <c r="M12" i="184"/>
  <c r="F13" i="184"/>
  <c r="E11" i="184"/>
  <c r="AA11" i="184" s="1"/>
  <c r="K11" i="184"/>
  <c r="AC11" i="184" s="1"/>
  <c r="L13" i="184"/>
  <c r="AA7" i="184"/>
  <c r="AC7" i="184"/>
  <c r="AA9" i="184"/>
  <c r="AC9" i="184"/>
  <c r="AA12" i="184"/>
  <c r="AA13" i="184"/>
  <c r="AC13" i="184"/>
  <c r="F15" i="184"/>
  <c r="L15" i="184"/>
  <c r="G8" i="184"/>
  <c r="M8" i="184"/>
  <c r="G10" i="184"/>
  <c r="M10" i="184"/>
  <c r="D12" i="184"/>
  <c r="AA6" i="184"/>
  <c r="AC6" i="184"/>
  <c r="AA8" i="184"/>
  <c r="AC8" i="184"/>
  <c r="AA10" i="184"/>
  <c r="AC10" i="184"/>
  <c r="AC12" i="184"/>
  <c r="C12" i="184"/>
  <c r="I12" i="184"/>
  <c r="O12" i="184"/>
  <c r="Z12" i="184"/>
  <c r="G11" i="184"/>
  <c r="L11" i="184"/>
  <c r="D7" i="184"/>
  <c r="F7" i="184"/>
  <c r="J7" i="184"/>
  <c r="L7" i="184"/>
  <c r="P7" i="184"/>
  <c r="D8" i="184"/>
  <c r="F8" i="184"/>
  <c r="J8" i="184"/>
  <c r="L8" i="184"/>
  <c r="P8" i="184"/>
  <c r="D9" i="184"/>
  <c r="F9" i="184"/>
  <c r="J9" i="184"/>
  <c r="L9" i="184"/>
  <c r="P9" i="184"/>
  <c r="D10" i="184"/>
  <c r="F10" i="184"/>
  <c r="J10" i="184"/>
  <c r="L10" i="184"/>
  <c r="P10" i="184"/>
  <c r="B11" i="184"/>
  <c r="Z11" i="184" s="1"/>
  <c r="H11" i="184"/>
  <c r="AB11" i="184" s="1"/>
  <c r="N11" i="184"/>
  <c r="AD11" i="184" s="1"/>
  <c r="F12" i="184"/>
  <c r="J12" i="184"/>
  <c r="L12" i="184"/>
  <c r="P12" i="184"/>
  <c r="G13" i="184"/>
  <c r="I13" i="184"/>
  <c r="M13" i="184"/>
  <c r="O13" i="184"/>
  <c r="G14" i="184"/>
  <c r="I14" i="184"/>
  <c r="M14" i="184"/>
  <c r="O14" i="184"/>
  <c r="G15" i="184"/>
  <c r="I15" i="184"/>
  <c r="M15" i="184"/>
  <c r="O15" i="184"/>
  <c r="C7" i="184"/>
  <c r="G7" i="184"/>
  <c r="I7" i="184"/>
  <c r="M7" i="184"/>
  <c r="O7" i="184"/>
  <c r="C8" i="184"/>
  <c r="I8" i="184"/>
  <c r="O8" i="184"/>
  <c r="C9" i="184"/>
  <c r="I9" i="184"/>
  <c r="O9" i="184"/>
  <c r="C10" i="184"/>
  <c r="I10" i="184"/>
  <c r="O10" i="184"/>
  <c r="J13" i="184"/>
  <c r="P13" i="184"/>
  <c r="F14" i="184"/>
  <c r="J14" i="184"/>
  <c r="L14" i="184"/>
  <c r="P14" i="184"/>
  <c r="J15" i="184"/>
  <c r="P15" i="184"/>
  <c r="AD12" i="183"/>
  <c r="Z12" i="183"/>
  <c r="AC7" i="183"/>
  <c r="AD6" i="183"/>
  <c r="AB6" i="183"/>
  <c r="Z6" i="183"/>
  <c r="N15" i="183"/>
  <c r="AD15" i="183" s="1"/>
  <c r="K15" i="183"/>
  <c r="AC15" i="183" s="1"/>
  <c r="H15" i="183"/>
  <c r="AB15" i="183" s="1"/>
  <c r="E15" i="183"/>
  <c r="AA15" i="183" s="1"/>
  <c r="N14" i="183"/>
  <c r="AD14" i="183" s="1"/>
  <c r="K14" i="183"/>
  <c r="AC14" i="183" s="1"/>
  <c r="H14" i="183"/>
  <c r="AB14" i="183" s="1"/>
  <c r="E14" i="183"/>
  <c r="N13" i="183"/>
  <c r="AD13" i="183" s="1"/>
  <c r="K13" i="183"/>
  <c r="H13" i="183"/>
  <c r="AB13" i="183" s="1"/>
  <c r="E13" i="183"/>
  <c r="N12" i="183"/>
  <c r="K12" i="183"/>
  <c r="H12" i="183"/>
  <c r="AB12" i="183" s="1"/>
  <c r="E12" i="183"/>
  <c r="B12" i="183"/>
  <c r="N10" i="183"/>
  <c r="AD10" i="183" s="1"/>
  <c r="K10" i="183"/>
  <c r="H10" i="183"/>
  <c r="AB10" i="183" s="1"/>
  <c r="E10" i="183"/>
  <c r="B10" i="183"/>
  <c r="Z10" i="183" s="1"/>
  <c r="N9" i="183"/>
  <c r="K9" i="183"/>
  <c r="H9" i="183"/>
  <c r="E9" i="183"/>
  <c r="B9" i="183"/>
  <c r="N8" i="183"/>
  <c r="P8" i="183" s="1"/>
  <c r="K8" i="183"/>
  <c r="H8" i="183"/>
  <c r="J8" i="183" s="1"/>
  <c r="E8" i="183"/>
  <c r="B8" i="183"/>
  <c r="D8" i="183" s="1"/>
  <c r="N7" i="183"/>
  <c r="N11" i="183" s="1"/>
  <c r="AD11" i="183" s="1"/>
  <c r="K7" i="183"/>
  <c r="I7" i="183"/>
  <c r="H7" i="183"/>
  <c r="E7" i="183"/>
  <c r="E11" i="183" s="1"/>
  <c r="AA11" i="183" s="1"/>
  <c r="B7" i="183"/>
  <c r="N6" i="183"/>
  <c r="O12" i="183" s="1"/>
  <c r="K6" i="183"/>
  <c r="L15" i="183" s="1"/>
  <c r="H6" i="183"/>
  <c r="I12" i="183" s="1"/>
  <c r="E6" i="183"/>
  <c r="F15" i="183" s="1"/>
  <c r="B6" i="183"/>
  <c r="C12" i="183" s="1"/>
  <c r="AD3" i="183"/>
  <c r="AC3" i="183"/>
  <c r="AB3" i="183"/>
  <c r="AA3" i="183"/>
  <c r="Z3" i="183"/>
  <c r="J183" i="87"/>
  <c r="Z183" i="87"/>
  <c r="AP183" i="87"/>
  <c r="K183" i="87"/>
  <c r="AA183" i="87"/>
  <c r="AQ183" i="87"/>
  <c r="K182" i="87"/>
  <c r="AA182" i="87"/>
  <c r="AQ182" i="87"/>
  <c r="J182" i="87"/>
  <c r="Z182" i="87"/>
  <c r="AP182" i="87"/>
  <c r="L183" i="87"/>
  <c r="AB183" i="87"/>
  <c r="AR183" i="87"/>
  <c r="M183" i="87"/>
  <c r="AC183" i="87"/>
  <c r="AS183" i="87"/>
  <c r="M182" i="87"/>
  <c r="AC182" i="87"/>
  <c r="AS182" i="87"/>
  <c r="L182" i="87"/>
  <c r="AB182" i="87"/>
  <c r="AR182" i="87"/>
  <c r="AD183" i="87"/>
  <c r="O183" i="87"/>
  <c r="AU183" i="87"/>
  <c r="O182" i="87"/>
  <c r="AU182" i="87"/>
  <c r="N182" i="87"/>
  <c r="AD182" i="87"/>
  <c r="P183" i="87"/>
  <c r="AV183" i="87"/>
  <c r="Q183" i="87"/>
  <c r="AW183" i="87"/>
  <c r="AG182" i="87"/>
  <c r="AW182" i="87"/>
  <c r="AF182" i="87"/>
  <c r="AV182" i="87"/>
  <c r="E182" i="87"/>
  <c r="AK182" i="87"/>
  <c r="AJ182" i="87"/>
  <c r="N183" i="87"/>
  <c r="AT183" i="87"/>
  <c r="AE183" i="87"/>
  <c r="AE182" i="87"/>
  <c r="AT182" i="87"/>
  <c r="AF183" i="87"/>
  <c r="AG183" i="87"/>
  <c r="Q182" i="87"/>
  <c r="P182" i="87"/>
  <c r="U183" i="87"/>
  <c r="D182" i="87"/>
  <c r="B183" i="87"/>
  <c r="R183" i="87"/>
  <c r="AH183" i="87"/>
  <c r="C183" i="87"/>
  <c r="S183" i="87"/>
  <c r="AI183" i="87"/>
  <c r="C182" i="87"/>
  <c r="S182" i="87"/>
  <c r="AI182" i="87"/>
  <c r="B182" i="87"/>
  <c r="R182" i="87"/>
  <c r="AH182" i="87"/>
  <c r="D183" i="87"/>
  <c r="T183" i="87"/>
  <c r="AJ183" i="87"/>
  <c r="E183" i="87"/>
  <c r="AK183" i="87"/>
  <c r="U182" i="87"/>
  <c r="T182" i="87"/>
  <c r="F183" i="87"/>
  <c r="V183" i="87"/>
  <c r="AL183" i="87"/>
  <c r="G183" i="87"/>
  <c r="W183" i="87"/>
  <c r="AM183" i="87"/>
  <c r="G182" i="87"/>
  <c r="W182" i="87"/>
  <c r="AM182" i="87"/>
  <c r="F182" i="87"/>
  <c r="V182" i="87"/>
  <c r="AL182" i="87"/>
  <c r="H183" i="87"/>
  <c r="X183" i="87"/>
  <c r="AN183" i="87"/>
  <c r="I183" i="87"/>
  <c r="Y183" i="87"/>
  <c r="AO183" i="87"/>
  <c r="I182" i="87"/>
  <c r="Y182" i="87"/>
  <c r="AO182" i="87"/>
  <c r="H182" i="87"/>
  <c r="X182" i="87"/>
  <c r="AN182" i="87"/>
  <c r="F11" i="184" l="1"/>
  <c r="M11" i="184"/>
  <c r="I11" i="184"/>
  <c r="J11" i="184"/>
  <c r="O11" i="184"/>
  <c r="P11" i="184"/>
  <c r="C11" i="184"/>
  <c r="D11" i="184"/>
  <c r="B11" i="183"/>
  <c r="Z11" i="183" s="1"/>
  <c r="G9" i="183"/>
  <c r="M9" i="183"/>
  <c r="G12" i="183"/>
  <c r="M12" i="183"/>
  <c r="F13" i="183"/>
  <c r="L13" i="183"/>
  <c r="F14" i="183"/>
  <c r="AA7" i="183"/>
  <c r="Z8" i="183"/>
  <c r="AB8" i="183"/>
  <c r="AD8" i="183"/>
  <c r="AA9" i="183"/>
  <c r="AC9" i="183"/>
  <c r="C7" i="183"/>
  <c r="H11" i="183"/>
  <c r="AB11" i="183" s="1"/>
  <c r="K11" i="183"/>
  <c r="AC11" i="183" s="1"/>
  <c r="O7" i="183"/>
  <c r="G8" i="183"/>
  <c r="M8" i="183"/>
  <c r="D9" i="183"/>
  <c r="J9" i="183"/>
  <c r="P9" i="183"/>
  <c r="G10" i="183"/>
  <c r="M10" i="183"/>
  <c r="D12" i="183"/>
  <c r="AA6" i="183"/>
  <c r="AC6" i="183"/>
  <c r="Z7" i="183"/>
  <c r="AB7" i="183"/>
  <c r="AD7" i="183"/>
  <c r="AA8" i="183"/>
  <c r="AC8" i="183"/>
  <c r="Z9" i="183"/>
  <c r="AB9" i="183"/>
  <c r="AD9" i="183"/>
  <c r="AA10" i="183"/>
  <c r="AC10" i="183"/>
  <c r="AA13" i="183"/>
  <c r="AC13" i="183"/>
  <c r="AA14" i="183"/>
  <c r="AA12" i="183"/>
  <c r="AC12" i="183"/>
  <c r="D11" i="183"/>
  <c r="G11" i="183"/>
  <c r="F11" i="183"/>
  <c r="O11" i="183"/>
  <c r="P11" i="183"/>
  <c r="I11" i="183"/>
  <c r="J11" i="183"/>
  <c r="D7" i="183"/>
  <c r="F7" i="183"/>
  <c r="J7" i="183"/>
  <c r="L7" i="183"/>
  <c r="P7" i="183"/>
  <c r="F8" i="183"/>
  <c r="L8" i="183"/>
  <c r="F9" i="183"/>
  <c r="L9" i="183"/>
  <c r="D10" i="183"/>
  <c r="F10" i="183"/>
  <c r="J10" i="183"/>
  <c r="L10" i="183"/>
  <c r="P10" i="183"/>
  <c r="F12" i="183"/>
  <c r="J12" i="183"/>
  <c r="L12" i="183"/>
  <c r="P12" i="183"/>
  <c r="G13" i="183"/>
  <c r="I13" i="183"/>
  <c r="M13" i="183"/>
  <c r="O13" i="183"/>
  <c r="G14" i="183"/>
  <c r="I14" i="183"/>
  <c r="M14" i="183"/>
  <c r="O14" i="183"/>
  <c r="G15" i="183"/>
  <c r="I15" i="183"/>
  <c r="M15" i="183"/>
  <c r="O15" i="183"/>
  <c r="G7" i="183"/>
  <c r="M7" i="183"/>
  <c r="C8" i="183"/>
  <c r="I8" i="183"/>
  <c r="O8" i="183"/>
  <c r="C9" i="183"/>
  <c r="I9" i="183"/>
  <c r="O9" i="183"/>
  <c r="C10" i="183"/>
  <c r="I10" i="183"/>
  <c r="O10" i="183"/>
  <c r="J13" i="183"/>
  <c r="P13" i="183"/>
  <c r="J14" i="183"/>
  <c r="L14" i="183"/>
  <c r="P14" i="183"/>
  <c r="J15" i="183"/>
  <c r="P15" i="183"/>
  <c r="AD15" i="182"/>
  <c r="AD14" i="182"/>
  <c r="AB14" i="182"/>
  <c r="AA14" i="182"/>
  <c r="AD13" i="182"/>
  <c r="AC13" i="182"/>
  <c r="AB13" i="182"/>
  <c r="AA13" i="182"/>
  <c r="AD12" i="182"/>
  <c r="AB12" i="182"/>
  <c r="AA12" i="182"/>
  <c r="AD10" i="182"/>
  <c r="AB10" i="182"/>
  <c r="Z10" i="182"/>
  <c r="AD9" i="182"/>
  <c r="AC9" i="182"/>
  <c r="AB9" i="182"/>
  <c r="AA9" i="182"/>
  <c r="Z9" i="182"/>
  <c r="AD8" i="182"/>
  <c r="AB7" i="182"/>
  <c r="AA7" i="182"/>
  <c r="AD6" i="182"/>
  <c r="AC6" i="182"/>
  <c r="AB6" i="182"/>
  <c r="AA6" i="182"/>
  <c r="Z6" i="182"/>
  <c r="N15" i="182"/>
  <c r="K15" i="182"/>
  <c r="AC15" i="182" s="1"/>
  <c r="H15" i="182"/>
  <c r="AB15" i="182" s="1"/>
  <c r="E15" i="182"/>
  <c r="AA15" i="182" s="1"/>
  <c r="N14" i="182"/>
  <c r="K14" i="182"/>
  <c r="AC14" i="182" s="1"/>
  <c r="H14" i="182"/>
  <c r="E14" i="182"/>
  <c r="N13" i="182"/>
  <c r="K13" i="182"/>
  <c r="H13" i="182"/>
  <c r="E13" i="182"/>
  <c r="N12" i="182"/>
  <c r="K12" i="182"/>
  <c r="AC12" i="182" s="1"/>
  <c r="H12" i="182"/>
  <c r="E12" i="182"/>
  <c r="B12" i="182"/>
  <c r="Z12" i="182" s="1"/>
  <c r="N10" i="182"/>
  <c r="K10" i="182"/>
  <c r="AC10" i="182" s="1"/>
  <c r="H10" i="182"/>
  <c r="E10" i="182"/>
  <c r="AA10" i="182" s="1"/>
  <c r="B10" i="182"/>
  <c r="N9" i="182"/>
  <c r="K9" i="182"/>
  <c r="H9" i="182"/>
  <c r="E9" i="182"/>
  <c r="B9" i="182"/>
  <c r="N8" i="182"/>
  <c r="K8" i="182"/>
  <c r="AC8" i="182" s="1"/>
  <c r="H8" i="182"/>
  <c r="AB8" i="182" s="1"/>
  <c r="E8" i="182"/>
  <c r="AA8" i="182" s="1"/>
  <c r="B8" i="182"/>
  <c r="Z8" i="182" s="1"/>
  <c r="N7" i="182"/>
  <c r="AD7" i="182" s="1"/>
  <c r="K7" i="182"/>
  <c r="AC7" i="182" s="1"/>
  <c r="H7" i="182"/>
  <c r="E7" i="182"/>
  <c r="B7" i="182"/>
  <c r="Z7" i="182" s="1"/>
  <c r="N6" i="182"/>
  <c r="K6" i="182"/>
  <c r="M10" i="182" s="1"/>
  <c r="H6" i="182"/>
  <c r="I10" i="182" s="1"/>
  <c r="E6" i="182"/>
  <c r="G10" i="182" s="1"/>
  <c r="B6" i="182"/>
  <c r="AD3" i="182"/>
  <c r="AC3" i="182"/>
  <c r="AB3" i="182"/>
  <c r="AA3" i="182"/>
  <c r="Z3" i="182"/>
  <c r="A181" i="87"/>
  <c r="A180" i="87"/>
  <c r="R180" i="87"/>
  <c r="B181" i="87"/>
  <c r="AH181" i="87"/>
  <c r="S180" i="87"/>
  <c r="C181" i="87"/>
  <c r="AI181" i="87"/>
  <c r="X180" i="87"/>
  <c r="H181" i="87"/>
  <c r="AN181" i="87"/>
  <c r="Y180" i="87"/>
  <c r="I181" i="87"/>
  <c r="AO181" i="87"/>
  <c r="AD180" i="87"/>
  <c r="N181" i="87"/>
  <c r="AT181" i="87"/>
  <c r="AE180" i="87"/>
  <c r="O181" i="87"/>
  <c r="AU181" i="87"/>
  <c r="AJ180" i="87"/>
  <c r="T181" i="87"/>
  <c r="E180" i="87"/>
  <c r="AK180" i="87"/>
  <c r="U181" i="87"/>
  <c r="D180" i="87"/>
  <c r="AB181" i="87"/>
  <c r="AS180" i="87"/>
  <c r="AW181" i="87"/>
  <c r="T180" i="87"/>
  <c r="U180" i="87"/>
  <c r="Z180" i="87"/>
  <c r="J181" i="87"/>
  <c r="AP181" i="87"/>
  <c r="AA180" i="87"/>
  <c r="K181" i="87"/>
  <c r="AQ181" i="87"/>
  <c r="AF180" i="87"/>
  <c r="P181" i="87"/>
  <c r="AV181" i="87"/>
  <c r="AG180" i="87"/>
  <c r="Q181" i="87"/>
  <c r="F180" i="87"/>
  <c r="AL180" i="87"/>
  <c r="V181" i="87"/>
  <c r="G180" i="87"/>
  <c r="AM180" i="87"/>
  <c r="W181" i="87"/>
  <c r="L180" i="87"/>
  <c r="AR180" i="87"/>
  <c r="M180" i="87"/>
  <c r="AC181" i="87"/>
  <c r="AU180" i="87"/>
  <c r="D181" i="87"/>
  <c r="E181" i="87"/>
  <c r="B180" i="87"/>
  <c r="AH180" i="87"/>
  <c r="R181" i="87"/>
  <c r="C180" i="87"/>
  <c r="AI180" i="87"/>
  <c r="S181" i="87"/>
  <c r="H180" i="87"/>
  <c r="AN180" i="87"/>
  <c r="X181" i="87"/>
  <c r="I180" i="87"/>
  <c r="AO180" i="87"/>
  <c r="Y181" i="87"/>
  <c r="N180" i="87"/>
  <c r="AT180" i="87"/>
  <c r="AD181" i="87"/>
  <c r="O180" i="87"/>
  <c r="AE181" i="87"/>
  <c r="AJ181" i="87"/>
  <c r="AK181" i="87"/>
  <c r="J180" i="87"/>
  <c r="AP180" i="87"/>
  <c r="Z181" i="87"/>
  <c r="K180" i="87"/>
  <c r="AQ180" i="87"/>
  <c r="AA181" i="87"/>
  <c r="P180" i="87"/>
  <c r="AV180" i="87"/>
  <c r="AF181" i="87"/>
  <c r="Q180" i="87"/>
  <c r="AW180" i="87"/>
  <c r="AG181" i="87"/>
  <c r="V180" i="87"/>
  <c r="F181" i="87"/>
  <c r="AL181" i="87"/>
  <c r="W180" i="87"/>
  <c r="G181" i="87"/>
  <c r="AM181" i="87"/>
  <c r="AB180" i="87"/>
  <c r="L181" i="87"/>
  <c r="AR181" i="87"/>
  <c r="AC180" i="87"/>
  <c r="M181" i="87"/>
  <c r="AS181" i="87"/>
  <c r="C11" i="183" l="1"/>
  <c r="L11" i="183"/>
  <c r="M11" i="183"/>
  <c r="B11" i="182"/>
  <c r="Z11" i="182" s="1"/>
  <c r="H11" i="182"/>
  <c r="AB11" i="182" s="1"/>
  <c r="N11" i="182"/>
  <c r="AD11" i="182" s="1"/>
  <c r="I7" i="182"/>
  <c r="P11" i="182"/>
  <c r="C8" i="182"/>
  <c r="G8" i="182"/>
  <c r="I8" i="182"/>
  <c r="M8" i="182"/>
  <c r="O8" i="182"/>
  <c r="D9" i="182"/>
  <c r="I9" i="182"/>
  <c r="P9" i="182"/>
  <c r="C10" i="182"/>
  <c r="O10" i="182"/>
  <c r="D12" i="182"/>
  <c r="J12" i="182"/>
  <c r="C7" i="182"/>
  <c r="O7" i="182"/>
  <c r="D8" i="182"/>
  <c r="J8" i="182"/>
  <c r="P8" i="182"/>
  <c r="C9" i="182"/>
  <c r="J9" i="182"/>
  <c r="O9" i="182"/>
  <c r="D10" i="182"/>
  <c r="J10" i="182"/>
  <c r="P10" i="182"/>
  <c r="I12" i="182"/>
  <c r="P12" i="182"/>
  <c r="I13" i="182"/>
  <c r="O13" i="182"/>
  <c r="I14" i="182"/>
  <c r="O14" i="182"/>
  <c r="I15" i="182"/>
  <c r="O15" i="182"/>
  <c r="C12" i="182"/>
  <c r="O12" i="182"/>
  <c r="F7" i="182"/>
  <c r="L7" i="182"/>
  <c r="F9" i="182"/>
  <c r="L9" i="182"/>
  <c r="K11" i="182"/>
  <c r="AC11" i="182" s="1"/>
  <c r="F12" i="182"/>
  <c r="G12" i="182"/>
  <c r="F15" i="182"/>
  <c r="F14" i="182"/>
  <c r="F13" i="182"/>
  <c r="L15" i="182"/>
  <c r="L14" i="182"/>
  <c r="L13" i="182"/>
  <c r="G7" i="182"/>
  <c r="M7" i="182"/>
  <c r="F8" i="182"/>
  <c r="L8" i="182"/>
  <c r="G9" i="182"/>
  <c r="M9" i="182"/>
  <c r="F10" i="182"/>
  <c r="L10" i="182"/>
  <c r="E11" i="182"/>
  <c r="AA11" i="182" s="1"/>
  <c r="I11" i="182"/>
  <c r="M12" i="182"/>
  <c r="J13" i="182"/>
  <c r="P13" i="182"/>
  <c r="J14" i="182"/>
  <c r="P14" i="182"/>
  <c r="J15" i="182"/>
  <c r="P15" i="182"/>
  <c r="D7" i="182"/>
  <c r="J7" i="182"/>
  <c r="P7" i="182"/>
  <c r="L12" i="182"/>
  <c r="G13" i="182"/>
  <c r="M13" i="182"/>
  <c r="G14" i="182"/>
  <c r="M14" i="182"/>
  <c r="G15" i="182"/>
  <c r="M15" i="182"/>
  <c r="AD7" i="181"/>
  <c r="AD8" i="181"/>
  <c r="AD9" i="181"/>
  <c r="AD10" i="181"/>
  <c r="AD11" i="181"/>
  <c r="AD12" i="181"/>
  <c r="AD13" i="181"/>
  <c r="AD14" i="181"/>
  <c r="AD15" i="181"/>
  <c r="AD6" i="181"/>
  <c r="AC7" i="181"/>
  <c r="AC8" i="181"/>
  <c r="AC9" i="181"/>
  <c r="AC10" i="181"/>
  <c r="AC11" i="181"/>
  <c r="AC12" i="181"/>
  <c r="AC13" i="181"/>
  <c r="AC14" i="181"/>
  <c r="AC15" i="181"/>
  <c r="AC6" i="181"/>
  <c r="AB7" i="181"/>
  <c r="AB8" i="181"/>
  <c r="AB9" i="181"/>
  <c r="AB10" i="181"/>
  <c r="AB11" i="181"/>
  <c r="AB12" i="181"/>
  <c r="AB13" i="181"/>
  <c r="AB14" i="181"/>
  <c r="AB15" i="181"/>
  <c r="AB6" i="181"/>
  <c r="AA7" i="181"/>
  <c r="AA8" i="181"/>
  <c r="AA9" i="181"/>
  <c r="AA10" i="181"/>
  <c r="AA11" i="181"/>
  <c r="AA12" i="181"/>
  <c r="AA13" i="181"/>
  <c r="AA14" i="181"/>
  <c r="AA15" i="181"/>
  <c r="AA6" i="181"/>
  <c r="Z7" i="181"/>
  <c r="Z8" i="181"/>
  <c r="Z9" i="181"/>
  <c r="Z10" i="181"/>
  <c r="Z11" i="181"/>
  <c r="Z12" i="181"/>
  <c r="Z6" i="181"/>
  <c r="AD3" i="181"/>
  <c r="AC3" i="181"/>
  <c r="AB3" i="181"/>
  <c r="AA3" i="181"/>
  <c r="Z3" i="181"/>
  <c r="N15" i="181"/>
  <c r="K15" i="181"/>
  <c r="H15" i="181"/>
  <c r="E15" i="181"/>
  <c r="N14" i="181"/>
  <c r="O14" i="181" s="1"/>
  <c r="K14" i="181"/>
  <c r="H14" i="181"/>
  <c r="E14" i="181"/>
  <c r="N13" i="181"/>
  <c r="O13" i="181" s="1"/>
  <c r="K13" i="181"/>
  <c r="H13" i="181"/>
  <c r="E13" i="181"/>
  <c r="N12" i="181"/>
  <c r="K12" i="181"/>
  <c r="H12" i="181"/>
  <c r="E12" i="181"/>
  <c r="B12" i="181"/>
  <c r="N10" i="181"/>
  <c r="K10" i="181"/>
  <c r="H10" i="181"/>
  <c r="I10" i="181" s="1"/>
  <c r="E10" i="181"/>
  <c r="B10" i="181"/>
  <c r="N9" i="181"/>
  <c r="K9" i="181"/>
  <c r="H9" i="181"/>
  <c r="E9" i="181"/>
  <c r="B9" i="181"/>
  <c r="N8" i="181"/>
  <c r="O8" i="181" s="1"/>
  <c r="K8" i="181"/>
  <c r="H8" i="181"/>
  <c r="E8" i="181"/>
  <c r="B8" i="181"/>
  <c r="C8" i="181" s="1"/>
  <c r="N7" i="181"/>
  <c r="K7" i="181"/>
  <c r="K11" i="181" s="1"/>
  <c r="H7" i="181"/>
  <c r="E7" i="181"/>
  <c r="B7" i="181"/>
  <c r="N6" i="181"/>
  <c r="K6" i="181"/>
  <c r="H6" i="181"/>
  <c r="E6" i="181"/>
  <c r="B6" i="181"/>
  <c r="J11" i="182" l="1"/>
  <c r="C11" i="182"/>
  <c r="O11" i="182"/>
  <c r="D11" i="182"/>
  <c r="F11" i="182"/>
  <c r="G11" i="182"/>
  <c r="L11" i="182"/>
  <c r="M11" i="182"/>
  <c r="E11" i="181"/>
  <c r="F9" i="181"/>
  <c r="L9" i="181"/>
  <c r="C7" i="181"/>
  <c r="I7" i="181"/>
  <c r="O7" i="181"/>
  <c r="J8" i="181"/>
  <c r="L8" i="181"/>
  <c r="G9" i="181"/>
  <c r="M9" i="181"/>
  <c r="D10" i="181"/>
  <c r="F10" i="181"/>
  <c r="P10" i="181"/>
  <c r="D12" i="181"/>
  <c r="J12" i="181"/>
  <c r="P12" i="181"/>
  <c r="J13" i="181"/>
  <c r="L13" i="181"/>
  <c r="J14" i="181"/>
  <c r="L14" i="181"/>
  <c r="J15" i="181"/>
  <c r="L15" i="181"/>
  <c r="D8" i="181"/>
  <c r="F8" i="181"/>
  <c r="I8" i="181"/>
  <c r="P8" i="181"/>
  <c r="C9" i="181"/>
  <c r="I9" i="181"/>
  <c r="O9" i="181"/>
  <c r="C10" i="181"/>
  <c r="J10" i="181"/>
  <c r="L10" i="181"/>
  <c r="O10" i="181"/>
  <c r="F12" i="181"/>
  <c r="L12" i="181"/>
  <c r="F13" i="181"/>
  <c r="I13" i="181"/>
  <c r="P13" i="181"/>
  <c r="F14" i="181"/>
  <c r="I14" i="181"/>
  <c r="P14" i="181"/>
  <c r="F15" i="181"/>
  <c r="I15" i="181"/>
  <c r="P15" i="181"/>
  <c r="C12" i="181"/>
  <c r="O12" i="181"/>
  <c r="I12" i="181"/>
  <c r="G11" i="181"/>
  <c r="F11" i="181"/>
  <c r="M11" i="181"/>
  <c r="L11" i="181"/>
  <c r="O15" i="181"/>
  <c r="D7" i="181"/>
  <c r="F7" i="181"/>
  <c r="J7" i="181"/>
  <c r="L7" i="181"/>
  <c r="P7" i="181"/>
  <c r="G8" i="181"/>
  <c r="M8" i="181"/>
  <c r="D9" i="181"/>
  <c r="J9" i="181"/>
  <c r="P9" i="181"/>
  <c r="G10" i="181"/>
  <c r="M10" i="181"/>
  <c r="B11" i="181"/>
  <c r="H11" i="181"/>
  <c r="N11" i="181"/>
  <c r="G12" i="181"/>
  <c r="M12" i="181"/>
  <c r="G13" i="181"/>
  <c r="M13" i="181"/>
  <c r="G14" i="181"/>
  <c r="M14" i="181"/>
  <c r="G15" i="181"/>
  <c r="M15" i="181"/>
  <c r="G7" i="181"/>
  <c r="M7" i="181"/>
  <c r="N15" i="180"/>
  <c r="K15" i="180"/>
  <c r="M15" i="180" s="1"/>
  <c r="H15" i="180"/>
  <c r="J15" i="180" s="1"/>
  <c r="E15" i="180"/>
  <c r="F15" i="180" s="1"/>
  <c r="N14" i="180"/>
  <c r="K14" i="180"/>
  <c r="M14" i="180" s="1"/>
  <c r="H14" i="180"/>
  <c r="E14" i="180"/>
  <c r="F14" i="180" s="1"/>
  <c r="N13" i="180"/>
  <c r="P13" i="180" s="1"/>
  <c r="K13" i="180"/>
  <c r="L13" i="180" s="1"/>
  <c r="H13" i="180"/>
  <c r="E13" i="180"/>
  <c r="F13" i="180" s="1"/>
  <c r="N12" i="180"/>
  <c r="P12" i="180" s="1"/>
  <c r="M12" i="180"/>
  <c r="K12" i="180"/>
  <c r="H12" i="180"/>
  <c r="E12" i="180"/>
  <c r="B12" i="180"/>
  <c r="D12" i="180" s="1"/>
  <c r="N10" i="180"/>
  <c r="P10" i="180" s="1"/>
  <c r="K10" i="180"/>
  <c r="L10" i="180" s="1"/>
  <c r="H10" i="180"/>
  <c r="E10" i="180"/>
  <c r="F10" i="180" s="1"/>
  <c r="B10" i="180"/>
  <c r="D10" i="180" s="1"/>
  <c r="N9" i="180"/>
  <c r="P9" i="180" s="1"/>
  <c r="K9" i="180"/>
  <c r="H9" i="180"/>
  <c r="I9" i="180" s="1"/>
  <c r="E9" i="180"/>
  <c r="B9" i="180"/>
  <c r="N8" i="180"/>
  <c r="P8" i="180" s="1"/>
  <c r="K8" i="180"/>
  <c r="M8" i="180" s="1"/>
  <c r="H8" i="180"/>
  <c r="E8" i="180"/>
  <c r="F8" i="180" s="1"/>
  <c r="B8" i="180"/>
  <c r="D8" i="180" s="1"/>
  <c r="N7" i="180"/>
  <c r="P7" i="180" s="1"/>
  <c r="K7" i="180"/>
  <c r="H7" i="180"/>
  <c r="E7" i="180"/>
  <c r="B7" i="180"/>
  <c r="N6" i="180"/>
  <c r="K6" i="180"/>
  <c r="H6" i="180"/>
  <c r="J9" i="180" s="1"/>
  <c r="E6" i="180"/>
  <c r="B6" i="180"/>
  <c r="O11" i="181" l="1"/>
  <c r="P11" i="181"/>
  <c r="C11" i="181"/>
  <c r="D11" i="181"/>
  <c r="I11" i="181"/>
  <c r="J11" i="181"/>
  <c r="G15" i="180"/>
  <c r="M13" i="180"/>
  <c r="L8" i="180"/>
  <c r="M10" i="180"/>
  <c r="H11" i="180"/>
  <c r="I7" i="180"/>
  <c r="L14" i="180"/>
  <c r="J7" i="180"/>
  <c r="M9" i="180"/>
  <c r="L15" i="180"/>
  <c r="M7" i="180"/>
  <c r="J10" i="180"/>
  <c r="F12" i="180"/>
  <c r="P14" i="180"/>
  <c r="B11" i="180"/>
  <c r="C11" i="180" s="1"/>
  <c r="N11" i="180"/>
  <c r="P11" i="180" s="1"/>
  <c r="J8" i="180"/>
  <c r="G9" i="180"/>
  <c r="O9" i="180"/>
  <c r="J12" i="180"/>
  <c r="J13" i="180"/>
  <c r="P15" i="180"/>
  <c r="D9" i="180"/>
  <c r="G7" i="180"/>
  <c r="O7" i="180"/>
  <c r="L12" i="180"/>
  <c r="J14" i="180"/>
  <c r="D11" i="180"/>
  <c r="J11" i="180"/>
  <c r="I11" i="180"/>
  <c r="C7" i="180"/>
  <c r="C9" i="180"/>
  <c r="D7" i="180"/>
  <c r="G8" i="180"/>
  <c r="G10" i="180"/>
  <c r="G12" i="180"/>
  <c r="G13" i="180"/>
  <c r="G14" i="180"/>
  <c r="E11" i="180"/>
  <c r="K11" i="180"/>
  <c r="F7" i="180"/>
  <c r="L7" i="180"/>
  <c r="C8" i="180"/>
  <c r="I8" i="180"/>
  <c r="O8" i="180"/>
  <c r="F9" i="180"/>
  <c r="L9" i="180"/>
  <c r="C10" i="180"/>
  <c r="I10" i="180"/>
  <c r="O10" i="180"/>
  <c r="C12" i="180"/>
  <c r="I12" i="180"/>
  <c r="O12" i="180"/>
  <c r="I13" i="180"/>
  <c r="O13" i="180"/>
  <c r="I14" i="180"/>
  <c r="O14" i="180"/>
  <c r="I15" i="180"/>
  <c r="O15" i="180"/>
  <c r="N15" i="179"/>
  <c r="K15" i="179"/>
  <c r="M15" i="179" s="1"/>
  <c r="H15" i="179"/>
  <c r="E15" i="179"/>
  <c r="N14" i="179"/>
  <c r="K14" i="179"/>
  <c r="H14" i="179"/>
  <c r="E14" i="179"/>
  <c r="N13" i="179"/>
  <c r="K13" i="179"/>
  <c r="M13" i="179" s="1"/>
  <c r="H13" i="179"/>
  <c r="E13" i="179"/>
  <c r="N12" i="179"/>
  <c r="K12" i="179"/>
  <c r="M12" i="179" s="1"/>
  <c r="H12" i="179"/>
  <c r="E12" i="179"/>
  <c r="B12" i="179"/>
  <c r="N10" i="179"/>
  <c r="K10" i="179"/>
  <c r="H10" i="179"/>
  <c r="E10" i="179"/>
  <c r="B10" i="179"/>
  <c r="N9" i="179"/>
  <c r="K9" i="179"/>
  <c r="M9" i="179" s="1"/>
  <c r="H9" i="179"/>
  <c r="E9" i="179"/>
  <c r="B9" i="179"/>
  <c r="N8" i="179"/>
  <c r="K8" i="179"/>
  <c r="H8" i="179"/>
  <c r="E8" i="179"/>
  <c r="B8" i="179"/>
  <c r="N7" i="179"/>
  <c r="K7" i="179"/>
  <c r="K11" i="179" s="1"/>
  <c r="H7" i="179"/>
  <c r="E7" i="179"/>
  <c r="E11" i="179" s="1"/>
  <c r="B7" i="179"/>
  <c r="N6" i="179"/>
  <c r="K6" i="179"/>
  <c r="H6" i="179"/>
  <c r="E6" i="179"/>
  <c r="B6" i="179"/>
  <c r="O11" i="180" l="1"/>
  <c r="M11" i="180"/>
  <c r="L11" i="180"/>
  <c r="G11" i="180"/>
  <c r="F11" i="180"/>
  <c r="G13" i="179"/>
  <c r="M14" i="179"/>
  <c r="G12" i="179"/>
  <c r="G15" i="179"/>
  <c r="G9" i="179"/>
  <c r="G14" i="179"/>
  <c r="D8" i="179"/>
  <c r="J8" i="179"/>
  <c r="P8" i="179"/>
  <c r="D10" i="179"/>
  <c r="J10" i="179"/>
  <c r="P10" i="179"/>
  <c r="F15" i="179"/>
  <c r="L15" i="179"/>
  <c r="C7" i="179"/>
  <c r="I7" i="179"/>
  <c r="O7" i="179"/>
  <c r="F8" i="179"/>
  <c r="L8" i="179"/>
  <c r="C9" i="179"/>
  <c r="I9" i="179"/>
  <c r="O9" i="179"/>
  <c r="F10" i="179"/>
  <c r="L10" i="179"/>
  <c r="D12" i="179"/>
  <c r="J12" i="179"/>
  <c r="P12" i="179"/>
  <c r="J13" i="179"/>
  <c r="P13" i="179"/>
  <c r="J14" i="179"/>
  <c r="P14" i="179"/>
  <c r="J15" i="179"/>
  <c r="P15" i="179"/>
  <c r="M11" i="179"/>
  <c r="L11" i="179"/>
  <c r="G11" i="179"/>
  <c r="F11" i="179"/>
  <c r="D7" i="179"/>
  <c r="F7" i="179"/>
  <c r="J7" i="179"/>
  <c r="L7" i="179"/>
  <c r="P7" i="179"/>
  <c r="C8" i="179"/>
  <c r="G8" i="179"/>
  <c r="I8" i="179"/>
  <c r="M8" i="179"/>
  <c r="O8" i="179"/>
  <c r="D9" i="179"/>
  <c r="F9" i="179"/>
  <c r="J9" i="179"/>
  <c r="L9" i="179"/>
  <c r="P9" i="179"/>
  <c r="C10" i="179"/>
  <c r="G10" i="179"/>
  <c r="I10" i="179"/>
  <c r="M10" i="179"/>
  <c r="O10" i="179"/>
  <c r="B11" i="179"/>
  <c r="H11" i="179"/>
  <c r="N11" i="179"/>
  <c r="C12" i="179"/>
  <c r="I12" i="179"/>
  <c r="O12" i="179"/>
  <c r="I13" i="179"/>
  <c r="O13" i="179"/>
  <c r="I14" i="179"/>
  <c r="O14" i="179"/>
  <c r="I15" i="179"/>
  <c r="O15" i="179"/>
  <c r="G7" i="179"/>
  <c r="M7" i="179"/>
  <c r="F12" i="179"/>
  <c r="L12" i="179"/>
  <c r="F13" i="179"/>
  <c r="L13" i="179"/>
  <c r="F14" i="179"/>
  <c r="L14" i="179"/>
  <c r="N15" i="178"/>
  <c r="K15" i="178"/>
  <c r="H15" i="178"/>
  <c r="E15" i="178"/>
  <c r="N14" i="178"/>
  <c r="K14" i="178"/>
  <c r="H14" i="178"/>
  <c r="E14" i="178"/>
  <c r="N13" i="178"/>
  <c r="K13" i="178"/>
  <c r="H13" i="178"/>
  <c r="E13" i="178"/>
  <c r="F13" i="178" s="1"/>
  <c r="N12" i="178"/>
  <c r="K12" i="178"/>
  <c r="H12" i="178"/>
  <c r="E12" i="178"/>
  <c r="B12" i="178"/>
  <c r="N10" i="178"/>
  <c r="K10" i="178"/>
  <c r="L10" i="178" s="1"/>
  <c r="H10" i="178"/>
  <c r="E10" i="178"/>
  <c r="B10" i="178"/>
  <c r="N9" i="178"/>
  <c r="K9" i="178"/>
  <c r="H9" i="178"/>
  <c r="E9" i="178"/>
  <c r="B9" i="178"/>
  <c r="N8" i="178"/>
  <c r="K8" i="178"/>
  <c r="H8" i="178"/>
  <c r="E8" i="178"/>
  <c r="F8" i="178" s="1"/>
  <c r="B8" i="178"/>
  <c r="N7" i="178"/>
  <c r="K7" i="178"/>
  <c r="H7" i="178"/>
  <c r="E7" i="178"/>
  <c r="B7" i="178"/>
  <c r="N6" i="178"/>
  <c r="K6" i="178"/>
  <c r="H6" i="178"/>
  <c r="E6" i="178"/>
  <c r="B6" i="178"/>
  <c r="C10" i="178" s="1"/>
  <c r="A219" i="87"/>
  <c r="A331" i="87"/>
  <c r="A261" i="87"/>
  <c r="A382" i="87"/>
  <c r="A287" i="87"/>
  <c r="A248" i="87"/>
  <c r="A268" i="87"/>
  <c r="A460" i="87"/>
  <c r="A258" i="87"/>
  <c r="A393" i="87"/>
  <c r="A94" i="87"/>
  <c r="A49" i="87"/>
  <c r="A176" i="87"/>
  <c r="A297" i="87"/>
  <c r="A64" i="87"/>
  <c r="A19" i="87"/>
  <c r="A267" i="87"/>
  <c r="A443" i="87"/>
  <c r="A341" i="87"/>
  <c r="A494" i="87"/>
  <c r="A367" i="87"/>
  <c r="A217" i="87"/>
  <c r="A380" i="87"/>
  <c r="A54" i="87"/>
  <c r="A506" i="87"/>
  <c r="A44" i="87"/>
  <c r="A9" i="87"/>
  <c r="A137" i="87"/>
  <c r="A397" i="87"/>
  <c r="A496" i="87"/>
  <c r="A152" i="87"/>
  <c r="A107" i="87"/>
  <c r="A230" i="87"/>
  <c r="A491" i="87"/>
  <c r="A437" i="87"/>
  <c r="A209" i="87"/>
  <c r="A463" i="87"/>
  <c r="A514" i="87"/>
  <c r="A364" i="87"/>
  <c r="A46" i="87"/>
  <c r="A442" i="87"/>
  <c r="A28" i="87"/>
  <c r="A174" i="87"/>
  <c r="A129" i="87"/>
  <c r="A264" i="87"/>
  <c r="A464" i="87"/>
  <c r="A144" i="87"/>
  <c r="A99" i="87"/>
  <c r="A278" i="87"/>
  <c r="A334" i="87"/>
  <c r="A328" i="87"/>
  <c r="A191" i="87"/>
  <c r="A205" i="87"/>
  <c r="A321" i="87"/>
  <c r="A412" i="87"/>
  <c r="A215" i="87"/>
  <c r="A196" i="87"/>
  <c r="A70" i="87"/>
  <c r="A25" i="87"/>
  <c r="A153" i="87"/>
  <c r="A394" i="87"/>
  <c r="A16" i="87"/>
  <c r="A168" i="87"/>
  <c r="A115" i="87"/>
  <c r="A324" i="87"/>
  <c r="A289" i="87"/>
  <c r="A305" i="87"/>
  <c r="A199" i="87"/>
  <c r="A66" i="87"/>
  <c r="A149" i="87"/>
  <c r="A40" i="87"/>
  <c r="A127" i="87"/>
  <c r="A419" i="87"/>
  <c r="A502" i="87"/>
  <c r="A434" i="87"/>
  <c r="A26" i="87"/>
  <c r="A283" i="87"/>
  <c r="A395" i="87"/>
  <c r="A240" i="87"/>
  <c r="A446" i="87"/>
  <c r="A266" i="87"/>
  <c r="A509" i="87"/>
  <c r="A401" i="87"/>
  <c r="A524" i="87"/>
  <c r="A519" i="87"/>
  <c r="A392" i="87"/>
  <c r="A126" i="87"/>
  <c r="A81" i="87"/>
  <c r="A274" i="87"/>
  <c r="A409" i="87"/>
  <c r="A96" i="87"/>
  <c r="A51" i="87"/>
  <c r="A246" i="87"/>
  <c r="A507" i="87"/>
  <c r="A469" i="87"/>
  <c r="A241" i="87"/>
  <c r="A495" i="87"/>
  <c r="A236" i="87"/>
  <c r="A444" i="87"/>
  <c r="A194" i="87"/>
  <c r="A329" i="87"/>
  <c r="A86" i="87"/>
  <c r="A41" i="87"/>
  <c r="A169" i="87"/>
  <c r="A522" i="87"/>
  <c r="A48" i="87"/>
  <c r="A11" i="87"/>
  <c r="A187" i="87"/>
  <c r="A294" i="87"/>
  <c r="A197" i="87"/>
  <c r="A350" i="87"/>
  <c r="A223" i="87"/>
  <c r="A269" i="87"/>
  <c r="A204" i="87"/>
  <c r="A428" i="87"/>
  <c r="A279" i="87"/>
  <c r="A260" i="87"/>
  <c r="A78" i="87"/>
  <c r="A33" i="87"/>
  <c r="A161" i="87"/>
  <c r="A458" i="87"/>
  <c r="A32" i="87"/>
  <c r="A3" i="87"/>
  <c r="A235" i="87"/>
  <c r="A347" i="87"/>
  <c r="A293" i="87"/>
  <c r="A398" i="87"/>
  <c r="A319" i="87"/>
  <c r="A312" i="87"/>
  <c r="A300" i="87"/>
  <c r="A476" i="87"/>
  <c r="A326" i="87"/>
  <c r="A457" i="87"/>
  <c r="A102" i="87"/>
  <c r="A57" i="87"/>
  <c r="A231" i="87"/>
  <c r="A212" i="87"/>
  <c r="A72" i="87"/>
  <c r="A198" i="87"/>
  <c r="A459" i="87"/>
  <c r="A373" i="87"/>
  <c r="A510" i="87"/>
  <c r="A399" i="87"/>
  <c r="A450" i="87"/>
  <c r="A320" i="87"/>
  <c r="A30" i="87"/>
  <c r="A493" i="87"/>
  <c r="A520" i="87"/>
  <c r="A158" i="87"/>
  <c r="A113" i="87"/>
  <c r="A330" i="87"/>
  <c r="A400" i="87"/>
  <c r="A128" i="87"/>
  <c r="A83" i="87"/>
  <c r="A310" i="87"/>
  <c r="A229" i="87"/>
  <c r="A366" i="87"/>
  <c r="A255" i="87"/>
  <c r="A445" i="87"/>
  <c r="A369" i="87"/>
  <c r="A508" i="87"/>
  <c r="A455" i="87"/>
  <c r="A360" i="87"/>
  <c r="A118" i="87"/>
  <c r="A73" i="87"/>
  <c r="A210" i="87"/>
  <c r="A345" i="87"/>
  <c r="A88" i="87"/>
  <c r="A43" i="87"/>
  <c r="A251" i="87"/>
  <c r="A363" i="87"/>
  <c r="A325" i="87"/>
  <c r="A414" i="87"/>
  <c r="A202" i="87"/>
  <c r="A381" i="87"/>
  <c r="A337" i="87"/>
  <c r="A492" i="87"/>
  <c r="A391" i="87"/>
  <c r="A521" i="87"/>
  <c r="A110" i="87"/>
  <c r="A65" i="87"/>
  <c r="A295" i="87"/>
  <c r="A276" i="87"/>
  <c r="A80" i="87"/>
  <c r="A35" i="87"/>
  <c r="A299" i="87"/>
  <c r="A411" i="87"/>
  <c r="A272" i="87"/>
  <c r="A462" i="87"/>
  <c r="A298" i="87"/>
  <c r="A354" i="87"/>
  <c r="A433" i="87"/>
  <c r="A6" i="87"/>
  <c r="A253" i="87"/>
  <c r="A424" i="87"/>
  <c r="A134" i="87"/>
  <c r="A89" i="87"/>
  <c r="A343" i="87"/>
  <c r="A473" i="87"/>
  <c r="A104" i="87"/>
  <c r="A59" i="87"/>
  <c r="A270" i="87"/>
  <c r="A517" i="87"/>
  <c r="A338" i="87"/>
  <c r="A404" i="87"/>
  <c r="A313" i="87"/>
  <c r="A21" i="87"/>
  <c r="A362" i="87"/>
  <c r="A7" i="87"/>
  <c r="A307" i="87"/>
  <c r="A357" i="87"/>
  <c r="A383" i="87"/>
  <c r="A513" i="87"/>
  <c r="A429" i="87"/>
  <c r="A154" i="87"/>
  <c r="A503" i="87"/>
  <c r="A124" i="87"/>
  <c r="A435" i="87"/>
  <c r="A486" i="87"/>
  <c r="A402" i="87"/>
  <c r="A18" i="87"/>
  <c r="A472" i="87"/>
  <c r="A101" i="87"/>
  <c r="A416" i="87"/>
  <c r="A87" i="87"/>
  <c r="A190" i="87"/>
  <c r="A421" i="87"/>
  <c r="A447" i="87"/>
  <c r="A356" i="87"/>
  <c r="A410" i="87"/>
  <c r="A170" i="87"/>
  <c r="A200" i="87"/>
  <c r="A227" i="87"/>
  <c r="A277" i="87"/>
  <c r="A303" i="87"/>
  <c r="A284" i="87"/>
  <c r="A290" i="87"/>
  <c r="A98" i="87"/>
  <c r="A178" i="87"/>
  <c r="A84" i="87"/>
  <c r="A143" i="87"/>
  <c r="A355" i="87"/>
  <c r="A438" i="87"/>
  <c r="A477" i="87"/>
  <c r="A516" i="87"/>
  <c r="A376" i="87"/>
  <c r="A77" i="87"/>
  <c r="A377" i="87"/>
  <c r="A259" i="87"/>
  <c r="A192" i="87"/>
  <c r="A218" i="87"/>
  <c r="A353" i="87"/>
  <c r="A423" i="87"/>
  <c r="A114" i="87"/>
  <c r="A327" i="87"/>
  <c r="A100" i="87"/>
  <c r="A151" i="87"/>
  <c r="A387" i="87"/>
  <c r="A470" i="87"/>
  <c r="A370" i="87"/>
  <c r="A10" i="87"/>
  <c r="A440" i="87"/>
  <c r="A93" i="87"/>
  <c r="A505" i="87"/>
  <c r="A31" i="87"/>
  <c r="A273" i="87"/>
  <c r="A62" i="87"/>
  <c r="A145" i="87"/>
  <c r="A203" i="87"/>
  <c r="A234" i="87"/>
  <c r="A365" i="87"/>
  <c r="A471" i="87"/>
  <c r="A315" i="87"/>
  <c r="A335" i="87"/>
  <c r="A232" i="87"/>
  <c r="A407" i="87"/>
  <c r="A214" i="87"/>
  <c r="A431" i="87"/>
  <c r="A378" i="87"/>
  <c r="A285" i="87"/>
  <c r="A91" i="87"/>
  <c r="A454" i="87"/>
  <c r="A2" i="87"/>
  <c r="A85" i="87"/>
  <c r="A71" i="87"/>
  <c r="A374" i="87"/>
  <c r="A452" i="87"/>
  <c r="A90" i="87"/>
  <c r="A233" i="87"/>
  <c r="A323" i="87"/>
  <c r="A358" i="87"/>
  <c r="A220" i="87"/>
  <c r="A296" i="87"/>
  <c r="A37" i="87"/>
  <c r="A68" i="87"/>
  <c r="A167" i="87"/>
  <c r="A309" i="87"/>
  <c r="A349" i="87"/>
  <c r="A42" i="87"/>
  <c r="A106" i="87"/>
  <c r="A244" i="87"/>
  <c r="A339" i="87"/>
  <c r="A518" i="87"/>
  <c r="A340" i="87"/>
  <c r="A425" i="87"/>
  <c r="A117" i="87"/>
  <c r="A148" i="87"/>
  <c r="A243" i="87"/>
  <c r="A485" i="87"/>
  <c r="A249" i="87"/>
  <c r="A487" i="87"/>
  <c r="A13" i="87"/>
  <c r="A512" i="87"/>
  <c r="A371" i="87"/>
  <c r="A225" i="87"/>
  <c r="A372" i="87"/>
  <c r="A344" i="87"/>
  <c r="A133" i="87"/>
  <c r="A164" i="87"/>
  <c r="A275" i="87"/>
  <c r="A342" i="87"/>
  <c r="A29" i="87"/>
  <c r="A45" i="87"/>
  <c r="A406" i="87"/>
  <c r="A467" i="87"/>
  <c r="A221" i="87"/>
  <c r="A385" i="87"/>
  <c r="A141" i="87"/>
  <c r="A479" i="87"/>
  <c r="A333" i="87"/>
  <c r="A449" i="87"/>
  <c r="A171" i="87"/>
  <c r="A163" i="87"/>
  <c r="A523" i="87"/>
  <c r="A281" i="87"/>
  <c r="A60" i="87"/>
  <c r="A528" i="87"/>
  <c r="A208" i="87"/>
  <c r="A497" i="87"/>
  <c r="A150" i="87"/>
  <c r="A120" i="87"/>
  <c r="A304" i="87"/>
  <c r="A465" i="87"/>
  <c r="A142" i="87"/>
  <c r="A112" i="87"/>
  <c r="A405" i="87"/>
  <c r="A348" i="87"/>
  <c r="A166" i="87"/>
  <c r="A136" i="87"/>
  <c r="A403" i="87"/>
  <c r="A336" i="87"/>
  <c r="A408" i="87"/>
  <c r="A352" i="87"/>
  <c r="A286" i="87"/>
  <c r="A216" i="87"/>
  <c r="A361" i="87"/>
  <c r="A109" i="87"/>
  <c r="A56" i="87"/>
  <c r="A213" i="87"/>
  <c r="A351" i="87"/>
  <c r="A436" i="87"/>
  <c r="A82" i="87"/>
  <c r="A439" i="87"/>
  <c r="A23" i="87"/>
  <c r="A318" i="87"/>
  <c r="A193" i="87"/>
  <c r="A316" i="87"/>
  <c r="A489" i="87"/>
  <c r="A125" i="87"/>
  <c r="A76" i="87"/>
  <c r="A389" i="87"/>
  <c r="A280" i="87"/>
  <c r="A34" i="87"/>
  <c r="A162" i="87"/>
  <c r="A308" i="87"/>
  <c r="A103" i="87"/>
  <c r="A483" i="87"/>
  <c r="A250" i="87"/>
  <c r="A388" i="87"/>
  <c r="A52" i="87"/>
  <c r="A242" i="87"/>
  <c r="A156" i="87"/>
  <c r="A453" i="87"/>
  <c r="A413" i="87"/>
  <c r="A50" i="87"/>
  <c r="A5" i="87"/>
  <c r="A441" i="87"/>
  <c r="A119" i="87"/>
  <c r="A515" i="87"/>
  <c r="A314" i="87"/>
  <c r="A420" i="87"/>
  <c r="A74" i="87"/>
  <c r="A375" i="87"/>
  <c r="A140" i="87"/>
  <c r="A47" i="87"/>
  <c r="A172" i="87"/>
  <c r="A15" i="87"/>
  <c r="A501" i="87"/>
  <c r="A396" i="87"/>
  <c r="A17" i="87"/>
  <c r="A160" i="87"/>
  <c r="A430" i="87"/>
  <c r="A22" i="87"/>
  <c r="A105" i="87"/>
  <c r="A75" i="87"/>
  <c r="A478" i="87"/>
  <c r="A14" i="87"/>
  <c r="A97" i="87"/>
  <c r="A67" i="87"/>
  <c r="A526" i="87"/>
  <c r="A38" i="87"/>
  <c r="A121" i="87"/>
  <c r="A27" i="87"/>
  <c r="A256" i="87"/>
  <c r="A417" i="87"/>
  <c r="A130" i="87"/>
  <c r="A116" i="87"/>
  <c r="A245" i="87"/>
  <c r="A252" i="87"/>
  <c r="A504" i="87"/>
  <c r="A173" i="87"/>
  <c r="A195" i="87"/>
  <c r="A322" i="87"/>
  <c r="A301" i="87"/>
  <c r="A311" i="87"/>
  <c r="A146" i="87"/>
  <c r="A490" i="87"/>
  <c r="A135" i="87"/>
  <c r="A451" i="87"/>
  <c r="A186" i="87"/>
  <c r="A484" i="87"/>
  <c r="A20" i="87"/>
  <c r="A263" i="87"/>
  <c r="A206" i="87"/>
  <c r="A390" i="87"/>
  <c r="A466" i="87"/>
  <c r="A346" i="87"/>
  <c r="A53" i="87"/>
  <c r="A480" i="87"/>
  <c r="A175" i="87"/>
  <c r="A224" i="87"/>
  <c r="A511" i="87"/>
  <c r="A58" i="87"/>
  <c r="A122" i="87"/>
  <c r="A461" i="87"/>
  <c r="A238" i="87"/>
  <c r="A422" i="87"/>
  <c r="A185" i="87"/>
  <c r="A474" i="87"/>
  <c r="A69" i="87"/>
  <c r="A8" i="87"/>
  <c r="A179" i="87"/>
  <c r="A288" i="87"/>
  <c r="A237" i="87"/>
  <c r="A247" i="87"/>
  <c r="A138" i="87"/>
  <c r="A426" i="87"/>
  <c r="A95" i="87"/>
  <c r="A111" i="87"/>
  <c r="A63" i="87"/>
  <c r="A79" i="87"/>
  <c r="A188" i="87"/>
  <c r="A317" i="87"/>
  <c r="A24" i="87"/>
  <c r="A139" i="87"/>
  <c r="A147" i="87"/>
  <c r="A123" i="87"/>
  <c r="A131" i="87"/>
  <c r="A262" i="87"/>
  <c r="A527" i="87"/>
  <c r="A265" i="87"/>
  <c r="A525" i="87"/>
  <c r="A379" i="87"/>
  <c r="A418" i="87"/>
  <c r="A488" i="87"/>
  <c r="A368" i="87"/>
  <c r="A427" i="87"/>
  <c r="A386" i="87"/>
  <c r="A456" i="87"/>
  <c r="A332" i="87"/>
  <c r="A475" i="87"/>
  <c r="A482" i="87"/>
  <c r="A12" i="87"/>
  <c r="A432" i="87"/>
  <c r="A291" i="87"/>
  <c r="A282" i="87"/>
  <c r="A189" i="87"/>
  <c r="A306" i="87"/>
  <c r="A159" i="87"/>
  <c r="A271" i="87"/>
  <c r="A226" i="87"/>
  <c r="A384" i="87"/>
  <c r="A302" i="87"/>
  <c r="A239" i="87"/>
  <c r="A481" i="87"/>
  <c r="A292" i="87"/>
  <c r="A165" i="87"/>
  <c r="A132" i="87"/>
  <c r="A211" i="87"/>
  <c r="A498" i="87"/>
  <c r="A359" i="87"/>
  <c r="A61" i="87"/>
  <c r="A448" i="87"/>
  <c r="A415" i="87"/>
  <c r="A468" i="87"/>
  <c r="A4" i="87"/>
  <c r="A39" i="87"/>
  <c r="A222" i="87"/>
  <c r="A257" i="87"/>
  <c r="A201" i="87"/>
  <c r="A92" i="87"/>
  <c r="A499" i="87"/>
  <c r="A500" i="87"/>
  <c r="A36" i="87"/>
  <c r="A55" i="87"/>
  <c r="A254" i="87"/>
  <c r="A207" i="87"/>
  <c r="A228" i="87"/>
  <c r="A157" i="87"/>
  <c r="A108" i="87"/>
  <c r="A177" i="87"/>
  <c r="A155" i="87"/>
  <c r="F15" i="178" l="1"/>
  <c r="F12" i="178"/>
  <c r="O10" i="178"/>
  <c r="L12" i="178"/>
  <c r="F14" i="178"/>
  <c r="I11" i="179"/>
  <c r="J11" i="179"/>
  <c r="O11" i="179"/>
  <c r="P11" i="179"/>
  <c r="C11" i="179"/>
  <c r="D11" i="179"/>
  <c r="L9" i="178"/>
  <c r="F9" i="178"/>
  <c r="E11" i="178"/>
  <c r="G11" i="178" s="1"/>
  <c r="K11" i="178"/>
  <c r="L11" i="178" s="1"/>
  <c r="I15" i="178"/>
  <c r="D8" i="178"/>
  <c r="I8" i="178"/>
  <c r="P8" i="178"/>
  <c r="C9" i="178"/>
  <c r="I9" i="178"/>
  <c r="O9" i="178"/>
  <c r="J10" i="178"/>
  <c r="I13" i="178"/>
  <c r="P13" i="178"/>
  <c r="I14" i="178"/>
  <c r="P14" i="178"/>
  <c r="P15" i="178"/>
  <c r="C7" i="178"/>
  <c r="I7" i="178"/>
  <c r="O7" i="178"/>
  <c r="C8" i="178"/>
  <c r="J8" i="178"/>
  <c r="L8" i="178"/>
  <c r="O8" i="178"/>
  <c r="G9" i="178"/>
  <c r="M9" i="178"/>
  <c r="D10" i="178"/>
  <c r="F10" i="178"/>
  <c r="I10" i="178"/>
  <c r="P10" i="178"/>
  <c r="D12" i="178"/>
  <c r="J12" i="178"/>
  <c r="P12" i="178"/>
  <c r="J13" i="178"/>
  <c r="L13" i="178"/>
  <c r="O13" i="178"/>
  <c r="J14" i="178"/>
  <c r="L14" i="178"/>
  <c r="O14" i="178"/>
  <c r="J15" i="178"/>
  <c r="L15" i="178"/>
  <c r="O15" i="178"/>
  <c r="I12" i="178"/>
  <c r="C12" i="178"/>
  <c r="O12" i="178"/>
  <c r="D7" i="178"/>
  <c r="F7" i="178"/>
  <c r="J7" i="178"/>
  <c r="L7" i="178"/>
  <c r="P7" i="178"/>
  <c r="G8" i="178"/>
  <c r="M8" i="178"/>
  <c r="D9" i="178"/>
  <c r="J9" i="178"/>
  <c r="P9" i="178"/>
  <c r="G10" i="178"/>
  <c r="M10" i="178"/>
  <c r="B11" i="178"/>
  <c r="H11" i="178"/>
  <c r="N11" i="178"/>
  <c r="G12" i="178"/>
  <c r="M12" i="178"/>
  <c r="G13" i="178"/>
  <c r="M13" i="178"/>
  <c r="G14" i="178"/>
  <c r="M14" i="178"/>
  <c r="G15" i="178"/>
  <c r="M15" i="178"/>
  <c r="G7" i="178"/>
  <c r="M7" i="178"/>
  <c r="M11" i="178" l="1"/>
  <c r="F11" i="178"/>
  <c r="I11" i="178"/>
  <c r="J11" i="178"/>
  <c r="O11" i="178"/>
  <c r="P11" i="178"/>
  <c r="C11" i="178"/>
  <c r="D11" i="178"/>
  <c r="N15" i="177" l="1"/>
  <c r="K15" i="177"/>
  <c r="H15" i="177"/>
  <c r="E15" i="177"/>
  <c r="N14" i="177"/>
  <c r="K14" i="177"/>
  <c r="H14" i="177"/>
  <c r="E14" i="177"/>
  <c r="N13" i="177"/>
  <c r="K13" i="177"/>
  <c r="H13" i="177"/>
  <c r="E13" i="177"/>
  <c r="N12" i="177"/>
  <c r="K12" i="177"/>
  <c r="H12" i="177"/>
  <c r="E12" i="177"/>
  <c r="B12" i="177"/>
  <c r="N10" i="177"/>
  <c r="K10" i="177"/>
  <c r="H10" i="177"/>
  <c r="E10" i="177"/>
  <c r="B10" i="177"/>
  <c r="N9" i="177"/>
  <c r="K9" i="177"/>
  <c r="H9" i="177"/>
  <c r="E9" i="177"/>
  <c r="B9" i="177"/>
  <c r="N8" i="177"/>
  <c r="K8" i="177"/>
  <c r="H8" i="177"/>
  <c r="E8" i="177"/>
  <c r="B8" i="177"/>
  <c r="N7" i="177"/>
  <c r="K7" i="177"/>
  <c r="H7" i="177"/>
  <c r="H11" i="177" s="1"/>
  <c r="E7" i="177"/>
  <c r="B7" i="177"/>
  <c r="N6" i="177"/>
  <c r="K6" i="177"/>
  <c r="H6" i="177"/>
  <c r="E6" i="177"/>
  <c r="B6" i="177"/>
  <c r="C9" i="177" s="1"/>
  <c r="C32" i="87"/>
  <c r="G44" i="87"/>
  <c r="F57" i="87"/>
  <c r="E70" i="87"/>
  <c r="F36" i="87"/>
  <c r="D62" i="87"/>
  <c r="D36" i="87"/>
  <c r="G61" i="87"/>
  <c r="G34" i="87"/>
  <c r="E60" i="87"/>
  <c r="D42" i="87"/>
  <c r="G41" i="87"/>
  <c r="C86" i="87"/>
  <c r="G98" i="87"/>
  <c r="F111" i="87"/>
  <c r="E124" i="87"/>
  <c r="E34" i="87"/>
  <c r="D47" i="87"/>
  <c r="C60" i="87"/>
  <c r="G72" i="87"/>
  <c r="E41" i="87"/>
  <c r="C67" i="87"/>
  <c r="C41" i="87"/>
  <c r="F66" i="87"/>
  <c r="F39" i="87"/>
  <c r="D65" i="87"/>
  <c r="G51" i="87"/>
  <c r="E51" i="87"/>
  <c r="E88" i="87"/>
  <c r="D101" i="87"/>
  <c r="C114" i="87"/>
  <c r="G126" i="87"/>
  <c r="F33" i="87"/>
  <c r="E46" i="87"/>
  <c r="D59" i="87"/>
  <c r="C72" i="87"/>
  <c r="G39" i="87"/>
  <c r="E65" i="87"/>
  <c r="E39" i="87"/>
  <c r="C65" i="87"/>
  <c r="C38" i="87"/>
  <c r="F63" i="87"/>
  <c r="F48" i="87"/>
  <c r="D48" i="87"/>
  <c r="F87" i="87"/>
  <c r="E100" i="87"/>
  <c r="D113" i="87"/>
  <c r="C126" i="87"/>
  <c r="C36" i="87"/>
  <c r="G48" i="87"/>
  <c r="F61" i="87"/>
  <c r="E74" i="87"/>
  <c r="F44" i="87"/>
  <c r="D70" i="87"/>
  <c r="D44" i="87"/>
  <c r="G69" i="87"/>
  <c r="G42" i="87"/>
  <c r="E68" i="87"/>
  <c r="D58" i="87"/>
  <c r="G57" i="87"/>
  <c r="C90" i="87"/>
  <c r="G102" i="87"/>
  <c r="F115" i="87"/>
  <c r="E128" i="87"/>
  <c r="G89" i="87"/>
  <c r="F102" i="87"/>
  <c r="E115" i="87"/>
  <c r="D128" i="87"/>
  <c r="G140" i="87"/>
  <c r="F153" i="87"/>
  <c r="E166" i="87"/>
  <c r="C131" i="87"/>
  <c r="F43" i="87"/>
  <c r="D69" i="87"/>
  <c r="G59" i="87"/>
  <c r="F81" i="87"/>
  <c r="C108" i="87"/>
  <c r="C83" i="87"/>
  <c r="F108" i="87"/>
  <c r="C134" i="87"/>
  <c r="G93" i="87"/>
  <c r="F106" i="87"/>
  <c r="E119" i="87"/>
  <c r="C132" i="87"/>
  <c r="G144" i="87"/>
  <c r="F157" i="87"/>
  <c r="E170" i="87"/>
  <c r="C135" i="87"/>
  <c r="F51" i="87"/>
  <c r="D77" i="87"/>
  <c r="G75" i="87"/>
  <c r="E90" i="87"/>
  <c r="C116" i="87"/>
  <c r="C91" i="87"/>
  <c r="F116" i="87"/>
  <c r="C142" i="87"/>
  <c r="F94" i="87"/>
  <c r="E107" i="87"/>
  <c r="D120" i="87"/>
  <c r="G132" i="87"/>
  <c r="F145" i="87"/>
  <c r="E158" i="87"/>
  <c r="D171" i="87"/>
  <c r="G135" i="87"/>
  <c r="D53" i="87"/>
  <c r="G78" i="87"/>
  <c r="F70" i="87"/>
  <c r="C92" i="87"/>
  <c r="F117" i="87"/>
  <c r="F92" i="87"/>
  <c r="D118" i="87"/>
  <c r="G85" i="87"/>
  <c r="F98" i="87"/>
  <c r="E111" i="87"/>
  <c r="D124" i="87"/>
  <c r="G136" i="87"/>
  <c r="F149" i="87"/>
  <c r="E162" i="87"/>
  <c r="D175" i="87"/>
  <c r="F35" i="87"/>
  <c r="D61" i="87"/>
  <c r="G43" i="87"/>
  <c r="F46" i="87"/>
  <c r="C100" i="87"/>
  <c r="F125" i="87"/>
  <c r="E113" i="87"/>
  <c r="F151" i="87"/>
  <c r="D35" i="87"/>
  <c r="C48" i="87"/>
  <c r="G60" i="87"/>
  <c r="F73" i="87"/>
  <c r="C43" i="87"/>
  <c r="F68" i="87"/>
  <c r="F42" i="87"/>
  <c r="D68" i="87"/>
  <c r="D41" i="87"/>
  <c r="G66" i="87"/>
  <c r="C55" i="87"/>
  <c r="F54" i="87"/>
  <c r="D89" i="87"/>
  <c r="C102" i="87"/>
  <c r="G114" i="87"/>
  <c r="F127" i="87"/>
  <c r="F37" i="87"/>
  <c r="E50" i="87"/>
  <c r="D63" i="87"/>
  <c r="C76" i="87"/>
  <c r="G47" i="87"/>
  <c r="E73" i="87"/>
  <c r="E47" i="87"/>
  <c r="C77" i="87"/>
  <c r="C46" i="87"/>
  <c r="F71" i="87"/>
  <c r="F64" i="87"/>
  <c r="D64" i="87"/>
  <c r="F91" i="87"/>
  <c r="E104" i="87"/>
  <c r="D117" i="87"/>
  <c r="C130" i="87"/>
  <c r="G36" i="87"/>
  <c r="F49" i="87"/>
  <c r="E62" i="87"/>
  <c r="D75" i="87"/>
  <c r="D46" i="87"/>
  <c r="G71" i="87"/>
  <c r="G45" i="87"/>
  <c r="G73" i="87"/>
  <c r="E44" i="87"/>
  <c r="C70" i="87"/>
  <c r="E61" i="87"/>
  <c r="C61" i="87"/>
  <c r="G90" i="87"/>
  <c r="F103" i="87"/>
  <c r="E116" i="87"/>
  <c r="D129" i="87"/>
  <c r="D39" i="87"/>
  <c r="C52" i="87"/>
  <c r="G64" i="87"/>
  <c r="F77" i="87"/>
  <c r="C51" i="87"/>
  <c r="F76" i="87"/>
  <c r="F50" i="87"/>
  <c r="E80" i="87"/>
  <c r="D49" i="87"/>
  <c r="G74" i="87"/>
  <c r="C71" i="87"/>
  <c r="E71" i="87"/>
  <c r="D93" i="87"/>
  <c r="C106" i="87"/>
  <c r="G118" i="87"/>
  <c r="C81" i="87"/>
  <c r="C93" i="87"/>
  <c r="G105" i="87"/>
  <c r="F118" i="87"/>
  <c r="D131" i="87"/>
  <c r="C144" i="87"/>
  <c r="G156" i="87"/>
  <c r="F169" i="87"/>
  <c r="D134" i="87"/>
  <c r="C50" i="87"/>
  <c r="F75" i="87"/>
  <c r="F72" i="87"/>
  <c r="G88" i="87"/>
  <c r="E114" i="87"/>
  <c r="E89" i="87"/>
  <c r="C115" i="87"/>
  <c r="D84" i="87"/>
  <c r="C97" i="87"/>
  <c r="G109" i="87"/>
  <c r="F122" i="87"/>
  <c r="D135" i="87"/>
  <c r="C148" i="87"/>
  <c r="G160" i="87"/>
  <c r="F173" i="87"/>
  <c r="E32" i="87"/>
  <c r="C58" i="87"/>
  <c r="E37" i="87"/>
  <c r="C37" i="87"/>
  <c r="G96" i="87"/>
  <c r="E122" i="87"/>
  <c r="E97" i="87"/>
  <c r="C123" i="87"/>
  <c r="C85" i="87"/>
  <c r="F41" i="87"/>
  <c r="E54" i="87"/>
  <c r="D67" i="87"/>
  <c r="C31" i="87"/>
  <c r="G55" i="87"/>
  <c r="F74" i="87"/>
  <c r="E55" i="87"/>
  <c r="G82" i="87"/>
  <c r="C54" i="87"/>
  <c r="F30" i="87"/>
  <c r="C73" i="87"/>
  <c r="E82" i="87"/>
  <c r="F95" i="87"/>
  <c r="E108" i="87"/>
  <c r="D121" i="87"/>
  <c r="D31" i="87"/>
  <c r="C44" i="87"/>
  <c r="G56" i="87"/>
  <c r="F69" i="87"/>
  <c r="C35" i="87"/>
  <c r="F60" i="87"/>
  <c r="F34" i="87"/>
  <c r="D60" i="87"/>
  <c r="D33" i="87"/>
  <c r="G58" i="87"/>
  <c r="C39" i="87"/>
  <c r="F38" i="87"/>
  <c r="D85" i="87"/>
  <c r="C98" i="87"/>
  <c r="G110" i="87"/>
  <c r="F123" i="87"/>
  <c r="E30" i="87"/>
  <c r="D43" i="87"/>
  <c r="C56" i="87"/>
  <c r="G68" i="87"/>
  <c r="E33" i="87"/>
  <c r="C59" i="87"/>
  <c r="C33" i="87"/>
  <c r="F58" i="87"/>
  <c r="F31" i="87"/>
  <c r="D57" i="87"/>
  <c r="G35" i="87"/>
  <c r="E35" i="87"/>
  <c r="E84" i="87"/>
  <c r="D97" i="87"/>
  <c r="C110" i="87"/>
  <c r="G122" i="87"/>
  <c r="G32" i="87"/>
  <c r="F45" i="87"/>
  <c r="E58" i="87"/>
  <c r="D71" i="87"/>
  <c r="D38" i="87"/>
  <c r="G63" i="87"/>
  <c r="G37" i="87"/>
  <c r="E63" i="87"/>
  <c r="E36" i="87"/>
  <c r="C62" i="87"/>
  <c r="E45" i="87"/>
  <c r="C45" i="87"/>
  <c r="G86" i="87"/>
  <c r="F99" i="87"/>
  <c r="E112" i="87"/>
  <c r="D125" i="87"/>
  <c r="F86" i="87"/>
  <c r="E99" i="87"/>
  <c r="D112" i="87"/>
  <c r="C125" i="87"/>
  <c r="F137" i="87"/>
  <c r="E150" i="87"/>
  <c r="D163" i="87"/>
  <c r="C176" i="87"/>
  <c r="D37" i="87"/>
  <c r="G62" i="87"/>
  <c r="C47" i="87"/>
  <c r="C53" i="87"/>
  <c r="F101" i="87"/>
  <c r="D127" i="87"/>
  <c r="D102" i="87"/>
  <c r="G127" i="87"/>
  <c r="F90" i="87"/>
  <c r="E103" i="87"/>
  <c r="D116" i="87"/>
  <c r="C129" i="87"/>
  <c r="F141" i="87"/>
  <c r="E154" i="87"/>
  <c r="D167" i="87"/>
  <c r="G131" i="87"/>
  <c r="D45" i="87"/>
  <c r="G70" i="87"/>
  <c r="C63" i="87"/>
  <c r="C84" i="87"/>
  <c r="F109" i="87"/>
  <c r="F84" i="87"/>
  <c r="D110" i="87"/>
  <c r="F135" i="87"/>
  <c r="E91" i="87"/>
  <c r="D104" i="87"/>
  <c r="C117" i="87"/>
  <c r="G129" i="87"/>
  <c r="E142" i="87"/>
  <c r="D155" i="87"/>
  <c r="C168" i="87"/>
  <c r="F132" i="87"/>
  <c r="G46" i="87"/>
  <c r="E72" i="87"/>
  <c r="C64" i="87"/>
  <c r="C49" i="87"/>
  <c r="G67" i="87"/>
  <c r="C118" i="87"/>
  <c r="E66" i="87"/>
  <c r="G53" i="87"/>
  <c r="E77" i="87"/>
  <c r="E120" i="87"/>
  <c r="F65" i="87"/>
  <c r="D52" i="87"/>
  <c r="D74" i="87"/>
  <c r="F119" i="87"/>
  <c r="C68" i="87"/>
  <c r="C57" i="87"/>
  <c r="D32" i="87"/>
  <c r="C122" i="87"/>
  <c r="G121" i="87"/>
  <c r="G172" i="87"/>
  <c r="G33" i="87"/>
  <c r="E121" i="87"/>
  <c r="G125" i="87"/>
  <c r="G176" i="87"/>
  <c r="E59" i="87"/>
  <c r="E129" i="87"/>
  <c r="F110" i="87"/>
  <c r="C136" i="87"/>
  <c r="F161" i="87"/>
  <c r="C34" i="87"/>
  <c r="F40" i="87"/>
  <c r="G65" i="87"/>
  <c r="D111" i="87"/>
  <c r="C99" i="87"/>
  <c r="G130" i="87"/>
  <c r="E95" i="87"/>
  <c r="F114" i="87"/>
  <c r="F130" i="87"/>
  <c r="E146" i="87"/>
  <c r="F165" i="87"/>
  <c r="E133" i="87"/>
  <c r="G54" i="87"/>
  <c r="F56" i="87"/>
  <c r="D87" i="87"/>
  <c r="D119" i="87"/>
  <c r="D126" i="87"/>
  <c r="E164" i="87"/>
  <c r="E139" i="87"/>
  <c r="D152" i="87"/>
  <c r="D91" i="87"/>
  <c r="G116" i="87"/>
  <c r="G91" i="87"/>
  <c r="E117" i="87"/>
  <c r="G142" i="87"/>
  <c r="E168" i="87"/>
  <c r="E141" i="87"/>
  <c r="D154" i="87"/>
  <c r="D166" i="87"/>
  <c r="G179" i="87"/>
  <c r="F166" i="87"/>
  <c r="F179" i="87"/>
  <c r="AW32" i="87"/>
  <c r="AO31" i="87"/>
  <c r="AS34" i="87"/>
  <c r="AD31" i="87"/>
  <c r="V30" i="87"/>
  <c r="Y33" i="87"/>
  <c r="AE36" i="87"/>
  <c r="AD39" i="87"/>
  <c r="AG42" i="87"/>
  <c r="AJ45" i="87"/>
  <c r="AM48" i="87"/>
  <c r="AL51" i="87"/>
  <c r="AO54" i="87"/>
  <c r="J36" i="87"/>
  <c r="AL41" i="87"/>
  <c r="AJ47" i="87"/>
  <c r="F143" i="87"/>
  <c r="D169" i="87"/>
  <c r="G141" i="87"/>
  <c r="F154" i="87"/>
  <c r="C96" i="87"/>
  <c r="F121" i="87"/>
  <c r="F96" i="87"/>
  <c r="D122" i="87"/>
  <c r="F147" i="87"/>
  <c r="D173" i="87"/>
  <c r="G143" i="87"/>
  <c r="F156" i="87"/>
  <c r="F168" i="87"/>
  <c r="D179" i="87"/>
  <c r="C169" i="87"/>
  <c r="AE30" i="87"/>
  <c r="AD33" i="87"/>
  <c r="V32" i="87"/>
  <c r="Z35" i="87"/>
  <c r="O32" i="87"/>
  <c r="AT30" i="87"/>
  <c r="AW33" i="87"/>
  <c r="L37" i="87"/>
  <c r="O40" i="87"/>
  <c r="N43" i="87"/>
  <c r="Q46" i="87"/>
  <c r="T49" i="87"/>
  <c r="G76" i="87"/>
  <c r="D79" i="87"/>
  <c r="E67" i="87"/>
  <c r="D80" i="87"/>
  <c r="D30" i="87"/>
  <c r="C82" i="87"/>
  <c r="G80" i="87"/>
  <c r="F82" i="87"/>
  <c r="E78" i="87"/>
  <c r="D81" i="87"/>
  <c r="F78" i="87"/>
  <c r="G81" i="87"/>
  <c r="G31" i="87"/>
  <c r="C30" i="87"/>
  <c r="F83" i="87"/>
  <c r="E83" i="87"/>
  <c r="E134" i="87"/>
  <c r="G30" i="87"/>
  <c r="D95" i="87"/>
  <c r="E87" i="87"/>
  <c r="E138" i="87"/>
  <c r="G38" i="87"/>
  <c r="D103" i="87"/>
  <c r="D88" i="87"/>
  <c r="G113" i="87"/>
  <c r="D139" i="87"/>
  <c r="G164" i="87"/>
  <c r="E40" i="87"/>
  <c r="E53" i="87"/>
  <c r="F85" i="87"/>
  <c r="C124" i="87"/>
  <c r="E105" i="87"/>
  <c r="D137" i="87"/>
  <c r="G101" i="87"/>
  <c r="G117" i="87"/>
  <c r="F133" i="87"/>
  <c r="G152" i="87"/>
  <c r="G168" i="87"/>
  <c r="F136" i="87"/>
  <c r="F67" i="87"/>
  <c r="E69" i="87"/>
  <c r="F93" i="87"/>
  <c r="E81" i="87"/>
  <c r="G138" i="87"/>
  <c r="G170" i="87"/>
  <c r="F142" i="87"/>
  <c r="E155" i="87"/>
  <c r="F97" i="87"/>
  <c r="D123" i="87"/>
  <c r="D98" i="87"/>
  <c r="G123" i="87"/>
  <c r="D149" i="87"/>
  <c r="G174" i="87"/>
  <c r="F144" i="87"/>
  <c r="D156" i="87"/>
  <c r="E169" i="87"/>
  <c r="C157" i="87"/>
  <c r="G169" i="87"/>
  <c r="AM30" i="87"/>
  <c r="AL33" i="87"/>
  <c r="AD32" i="87"/>
  <c r="AH35" i="87"/>
  <c r="W32" i="87"/>
  <c r="O31" i="87"/>
  <c r="N34" i="87"/>
  <c r="T37" i="87"/>
  <c r="W40" i="87"/>
  <c r="V43" i="87"/>
  <c r="Y46" i="87"/>
  <c r="AB49" i="87"/>
  <c r="AE52" i="87"/>
  <c r="AD55" i="87"/>
  <c r="AW36" i="87"/>
  <c r="P43" i="87"/>
  <c r="V49" i="87"/>
  <c r="C150" i="87"/>
  <c r="F175" i="87"/>
  <c r="C145" i="87"/>
  <c r="D56" i="87"/>
  <c r="E102" i="87"/>
  <c r="C128" i="87"/>
  <c r="C103" i="87"/>
  <c r="F128" i="87"/>
  <c r="C154" i="87"/>
  <c r="E131" i="87"/>
  <c r="C147" i="87"/>
  <c r="C159" i="87"/>
  <c r="G171" i="87"/>
  <c r="E159" i="87"/>
  <c r="D172" i="87"/>
  <c r="T31" i="87"/>
  <c r="L30" i="87"/>
  <c r="O33" i="87"/>
  <c r="S36" i="87"/>
  <c r="AU32" i="87"/>
  <c r="AM31" i="87"/>
  <c r="AM34" i="87"/>
  <c r="E38" i="87"/>
  <c r="E49" i="87"/>
  <c r="F47" i="87"/>
  <c r="E92" i="87"/>
  <c r="G40" i="87"/>
  <c r="D54" i="87"/>
  <c r="E52" i="87"/>
  <c r="G94" i="87"/>
  <c r="C40" i="87"/>
  <c r="F52" i="87"/>
  <c r="G50" i="87"/>
  <c r="C94" i="87"/>
  <c r="E42" i="87"/>
  <c r="E57" i="87"/>
  <c r="F55" i="87"/>
  <c r="E96" i="87"/>
  <c r="D96" i="87"/>
  <c r="D147" i="87"/>
  <c r="E56" i="87"/>
  <c r="G120" i="87"/>
  <c r="D100" i="87"/>
  <c r="D151" i="87"/>
  <c r="E64" i="87"/>
  <c r="G128" i="87"/>
  <c r="G97" i="87"/>
  <c r="E123" i="87"/>
  <c r="G148" i="87"/>
  <c r="E174" i="87"/>
  <c r="F59" i="87"/>
  <c r="D66" i="87"/>
  <c r="E98" i="87"/>
  <c r="E130" i="87"/>
  <c r="G111" i="87"/>
  <c r="C89" i="87"/>
  <c r="C105" i="87"/>
  <c r="C121" i="87"/>
  <c r="C140" i="87"/>
  <c r="C156" i="87"/>
  <c r="C172" i="87"/>
  <c r="C42" i="87"/>
  <c r="C74" i="87"/>
  <c r="D76" i="87"/>
  <c r="E106" i="87"/>
  <c r="G87" i="87"/>
  <c r="D145" i="87"/>
  <c r="D177" i="87"/>
  <c r="G145" i="87"/>
  <c r="F62" i="87"/>
  <c r="C104" i="87"/>
  <c r="F129" i="87"/>
  <c r="F104" i="87"/>
  <c r="D130" i="87"/>
  <c r="F155" i="87"/>
  <c r="C133" i="87"/>
  <c r="G147" i="87"/>
  <c r="G159" i="87"/>
  <c r="F172" i="87"/>
  <c r="D160" i="87"/>
  <c r="C173" i="87"/>
  <c r="AB31" i="87"/>
  <c r="T30" i="87"/>
  <c r="W33" i="87"/>
  <c r="I30" i="87"/>
  <c r="L33" i="87"/>
  <c r="AU31" i="87"/>
  <c r="AU34" i="87"/>
  <c r="I38" i="87"/>
  <c r="L41" i="87"/>
  <c r="O44" i="87"/>
  <c r="N47" i="87"/>
  <c r="Q50" i="87"/>
  <c r="T53" i="87"/>
  <c r="AF34" i="87"/>
  <c r="AA38" i="87"/>
  <c r="AG44" i="87"/>
  <c r="AU50" i="87"/>
  <c r="E156" i="87"/>
  <c r="G133" i="87"/>
  <c r="D148" i="87"/>
  <c r="D83" i="87"/>
  <c r="G108" i="87"/>
  <c r="G83" i="87"/>
  <c r="E109" i="87"/>
  <c r="G134" i="87"/>
  <c r="E160" i="87"/>
  <c r="E137" i="87"/>
  <c r="D150" i="87"/>
  <c r="D162" i="87"/>
  <c r="C175" i="87"/>
  <c r="F162" i="87"/>
  <c r="E175" i="87"/>
  <c r="I32" i="87"/>
  <c r="AR30" i="87"/>
  <c r="AU33" i="87"/>
  <c r="AG30" i="87"/>
  <c r="AJ33" i="87"/>
  <c r="AB32" i="87"/>
  <c r="AB35" i="87"/>
  <c r="AG38" i="87"/>
  <c r="AJ41" i="87"/>
  <c r="AM44" i="87"/>
  <c r="AL47" i="87"/>
  <c r="AO50" i="87"/>
  <c r="AR53" i="87"/>
  <c r="M35" i="87"/>
  <c r="AJ39" i="87"/>
  <c r="AH45" i="87"/>
  <c r="E132" i="87"/>
  <c r="D161" i="87"/>
  <c r="G137" i="87"/>
  <c r="F150" i="87"/>
  <c r="C88" i="87"/>
  <c r="F113" i="87"/>
  <c r="F88" i="87"/>
  <c r="D114" i="87"/>
  <c r="F139" i="87"/>
  <c r="D165" i="87"/>
  <c r="G139" i="87"/>
  <c r="F152" i="87"/>
  <c r="F164" i="87"/>
  <c r="E177" i="87"/>
  <c r="C165" i="87"/>
  <c r="G177" i="87"/>
  <c r="AG32" i="87"/>
  <c r="Y31" i="87"/>
  <c r="AC34" i="87"/>
  <c r="N31" i="87"/>
  <c r="C75" i="87"/>
  <c r="D72" i="87"/>
  <c r="D78" i="87"/>
  <c r="G77" i="87"/>
  <c r="C160" i="87"/>
  <c r="C164" i="87"/>
  <c r="F126" i="87"/>
  <c r="D40" i="87"/>
  <c r="D92" i="87"/>
  <c r="D159" i="87"/>
  <c r="E75" i="87"/>
  <c r="E135" i="87"/>
  <c r="E85" i="87"/>
  <c r="D138" i="87"/>
  <c r="E163" i="87"/>
  <c r="L34" i="87"/>
  <c r="AJ35" i="87"/>
  <c r="AT47" i="87"/>
  <c r="M40" i="87"/>
  <c r="F138" i="87"/>
  <c r="D90" i="87"/>
  <c r="F140" i="87"/>
  <c r="G165" i="87"/>
  <c r="AK34" i="87"/>
  <c r="U36" i="87"/>
  <c r="Y42" i="87"/>
  <c r="AE48" i="87"/>
  <c r="L53" i="87"/>
  <c r="AS35" i="87"/>
  <c r="AU42" i="87"/>
  <c r="G119" i="87"/>
  <c r="F167" i="87"/>
  <c r="D144" i="87"/>
  <c r="C80" i="87"/>
  <c r="C120" i="87"/>
  <c r="E101" i="87"/>
  <c r="D133" i="87"/>
  <c r="F171" i="87"/>
  <c r="D146" i="87"/>
  <c r="E161" i="87"/>
  <c r="C179" i="87"/>
  <c r="E171" i="87"/>
  <c r="AR31" i="87"/>
  <c r="N32" i="87"/>
  <c r="K36" i="87"/>
  <c r="AB33" i="87"/>
  <c r="T32" i="87"/>
  <c r="T35" i="87"/>
  <c r="Y38" i="87"/>
  <c r="AB41" i="87"/>
  <c r="AE44" i="87"/>
  <c r="AD47" i="87"/>
  <c r="AG50" i="87"/>
  <c r="AJ53" i="87"/>
  <c r="AV34" i="87"/>
  <c r="T39" i="87"/>
  <c r="R45" i="87"/>
  <c r="S30" i="87"/>
  <c r="F159" i="87"/>
  <c r="C137" i="87"/>
  <c r="G149" i="87"/>
  <c r="E86" i="87"/>
  <c r="C112" i="87"/>
  <c r="C87" i="87"/>
  <c r="F112" i="87"/>
  <c r="C138" i="87"/>
  <c r="F163" i="87"/>
  <c r="C139" i="87"/>
  <c r="G151" i="87"/>
  <c r="G163" i="87"/>
  <c r="F176" i="87"/>
  <c r="D164" i="87"/>
  <c r="C177" i="87"/>
  <c r="Y32" i="87"/>
  <c r="Q31" i="87"/>
  <c r="U34" i="87"/>
  <c r="AW30" i="87"/>
  <c r="I34" i="87"/>
  <c r="AR32" i="87"/>
  <c r="AR35" i="87"/>
  <c r="AW38" i="87"/>
  <c r="I42" i="87"/>
  <c r="L45" i="87"/>
  <c r="O48" i="87"/>
  <c r="N51" i="87"/>
  <c r="Q54" i="87"/>
  <c r="AC35" i="87"/>
  <c r="AC40" i="87"/>
  <c r="AA46" i="87"/>
  <c r="AA30" i="87"/>
  <c r="R33" i="87"/>
  <c r="J32" i="87"/>
  <c r="N35" i="87"/>
  <c r="AP31" i="87"/>
  <c r="AH30" i="87"/>
  <c r="AK33" i="87"/>
  <c r="AQ36" i="87"/>
  <c r="AP39" i="87"/>
  <c r="AS42" i="87"/>
  <c r="AV45" i="87"/>
  <c r="H49" i="87"/>
  <c r="K52" i="87"/>
  <c r="J55" i="87"/>
  <c r="Y36" i="87"/>
  <c r="W42" i="87"/>
  <c r="N49" i="87"/>
  <c r="D73" i="87"/>
  <c r="C78" i="87"/>
  <c r="E76" i="87"/>
  <c r="F32" i="87"/>
  <c r="D34" i="87"/>
  <c r="D50" i="87"/>
  <c r="C152" i="87"/>
  <c r="G104" i="87"/>
  <c r="D108" i="87"/>
  <c r="E178" i="87"/>
  <c r="G112" i="87"/>
  <c r="C149" i="87"/>
  <c r="C111" i="87"/>
  <c r="C151" i="87"/>
  <c r="D176" i="87"/>
  <c r="AO30" i="87"/>
  <c r="AO38" i="87"/>
  <c r="AW50" i="87"/>
  <c r="K46" i="87"/>
  <c r="E151" i="87"/>
  <c r="G115" i="87"/>
  <c r="E153" i="87"/>
  <c r="F178" i="87"/>
  <c r="V31" i="87"/>
  <c r="AR37" i="87"/>
  <c r="AT43" i="87"/>
  <c r="I50" i="87"/>
  <c r="AG54" i="87"/>
  <c r="AK36" i="87"/>
  <c r="Q44" i="87"/>
  <c r="E140" i="87"/>
  <c r="C174" i="87"/>
  <c r="E147" i="87"/>
  <c r="E94" i="87"/>
  <c r="E126" i="87"/>
  <c r="G107" i="87"/>
  <c r="C146" i="87"/>
  <c r="C178" i="87"/>
  <c r="E149" i="87"/>
  <c r="G167" i="87"/>
  <c r="F158" i="87"/>
  <c r="F174" i="87"/>
  <c r="V33" i="87"/>
  <c r="AT32" i="87"/>
  <c r="Y30" i="87"/>
  <c r="Q34" i="87"/>
  <c r="I33" i="87"/>
  <c r="I36" i="87"/>
  <c r="N39" i="87"/>
  <c r="Q42" i="87"/>
  <c r="T45" i="87"/>
  <c r="W48" i="87"/>
  <c r="V51" i="87"/>
  <c r="Y54" i="87"/>
  <c r="AK35" i="87"/>
  <c r="AS40" i="87"/>
  <c r="AQ46" i="87"/>
  <c r="H31" i="87"/>
  <c r="C166" i="87"/>
  <c r="D140" i="87"/>
  <c r="C153" i="87"/>
  <c r="G92" i="87"/>
  <c r="E118" i="87"/>
  <c r="E93" i="87"/>
  <c r="C119" i="87"/>
  <c r="E144" i="87"/>
  <c r="C170" i="87"/>
  <c r="D142" i="87"/>
  <c r="C155" i="87"/>
  <c r="C167" i="87"/>
  <c r="E179" i="87"/>
  <c r="E167" i="87"/>
  <c r="O30" i="87"/>
  <c r="N33" i="87"/>
  <c r="AW31" i="87"/>
  <c r="J35" i="87"/>
  <c r="AL31" i="87"/>
  <c r="AD30" i="87"/>
  <c r="AG33" i="87"/>
  <c r="AM36" i="87"/>
  <c r="AL39" i="87"/>
  <c r="AO42" i="87"/>
  <c r="AR45" i="87"/>
  <c r="AU48" i="87"/>
  <c r="AT51" i="87"/>
  <c r="AW54" i="87"/>
  <c r="Q36" i="87"/>
  <c r="O42" i="87"/>
  <c r="T47" i="87"/>
  <c r="P31" i="87"/>
  <c r="K34" i="87"/>
  <c r="AP32" i="87"/>
  <c r="AT35" i="87"/>
  <c r="AI32" i="87"/>
  <c r="AA31" i="87"/>
  <c r="AA34" i="87"/>
  <c r="AF37" i="87"/>
  <c r="AI40" i="87"/>
  <c r="AH43" i="87"/>
  <c r="AK46" i="87"/>
  <c r="AN49" i="87"/>
  <c r="AQ52" i="87"/>
  <c r="AP55" i="87"/>
  <c r="D51" i="87"/>
  <c r="F53" i="87"/>
  <c r="G52" i="87"/>
  <c r="D55" i="87"/>
  <c r="C109" i="87"/>
  <c r="C113" i="87"/>
  <c r="C101" i="87"/>
  <c r="C66" i="87"/>
  <c r="F124" i="87"/>
  <c r="D143" i="87"/>
  <c r="E31" i="87"/>
  <c r="C158" i="87"/>
  <c r="E110" i="87"/>
  <c r="C162" i="87"/>
  <c r="G175" i="87"/>
  <c r="I31" i="87"/>
  <c r="AJ32" i="87"/>
  <c r="AU44" i="87"/>
  <c r="U35" i="87"/>
  <c r="G162" i="87"/>
  <c r="D115" i="87"/>
  <c r="G166" i="87"/>
  <c r="D178" i="87"/>
  <c r="AG31" i="87"/>
  <c r="Q33" i="87"/>
  <c r="AU40" i="87"/>
  <c r="AW46" i="87"/>
  <c r="W52" i="87"/>
  <c r="X34" i="87"/>
  <c r="V41" i="87"/>
  <c r="C107" i="87"/>
  <c r="G154" i="87"/>
  <c r="C141" i="87"/>
  <c r="G49" i="87"/>
  <c r="D107" i="87"/>
  <c r="C95" i="87"/>
  <c r="C127" i="87"/>
  <c r="G158" i="87"/>
  <c r="C143" i="87"/>
  <c r="D158" i="87"/>
  <c r="D174" i="87"/>
  <c r="D168" i="87"/>
  <c r="L31" i="87"/>
  <c r="AJ30" i="87"/>
  <c r="R35" i="87"/>
  <c r="AM32" i="87"/>
  <c r="AE31" i="87"/>
  <c r="AE34" i="87"/>
  <c r="AJ37" i="87"/>
  <c r="AM40" i="87"/>
  <c r="AL43" i="87"/>
  <c r="AO46" i="87"/>
  <c r="AR49" i="87"/>
  <c r="AU52" i="87"/>
  <c r="AT55" i="87"/>
  <c r="AH37" i="87"/>
  <c r="AV43" i="87"/>
  <c r="O50" i="87"/>
  <c r="D153" i="87"/>
  <c r="G178" i="87"/>
  <c r="F146" i="87"/>
  <c r="C69" i="87"/>
  <c r="F105" i="87"/>
  <c r="F80" i="87"/>
  <c r="D106" i="87"/>
  <c r="F131" i="87"/>
  <c r="D157" i="87"/>
  <c r="F134" i="87"/>
  <c r="F148" i="87"/>
  <c r="F160" i="87"/>
  <c r="E173" i="87"/>
  <c r="C161" i="87"/>
  <c r="G173" i="87"/>
  <c r="AJ31" i="87"/>
  <c r="AB30" i="87"/>
  <c r="AE33" i="87"/>
  <c r="Q30" i="87"/>
  <c r="T33" i="87"/>
  <c r="L32" i="87"/>
  <c r="L35" i="87"/>
  <c r="Q38" i="87"/>
  <c r="T41" i="87"/>
  <c r="W44" i="87"/>
  <c r="V47" i="87"/>
  <c r="Y50" i="87"/>
  <c r="AB53" i="87"/>
  <c r="AN34" i="87"/>
  <c r="AQ38" i="87"/>
  <c r="AW44" i="87"/>
  <c r="AE50" i="87"/>
  <c r="AC32" i="87"/>
  <c r="U31" i="87"/>
  <c r="Y34" i="87"/>
  <c r="J31" i="87"/>
  <c r="M34" i="87"/>
  <c r="AV32" i="87"/>
  <c r="AV35" i="87"/>
  <c r="J39" i="87"/>
  <c r="M42" i="87"/>
  <c r="P45" i="87"/>
  <c r="S48" i="87"/>
  <c r="R51" i="87"/>
  <c r="U54" i="87"/>
  <c r="AG35" i="87"/>
  <c r="AK40" i="87"/>
  <c r="AI46" i="87"/>
  <c r="AA54" i="87"/>
  <c r="W38" i="87"/>
  <c r="U44" i="87"/>
  <c r="S50" i="87"/>
  <c r="AL34" i="87"/>
  <c r="AH38" i="87"/>
  <c r="AK41" i="87"/>
  <c r="AN44" i="87"/>
  <c r="AQ47" i="87"/>
  <c r="AP50" i="87"/>
  <c r="AS53" i="87"/>
  <c r="J57" i="87"/>
  <c r="H38" i="87"/>
  <c r="K41" i="87"/>
  <c r="J44" i="87"/>
  <c r="U32" i="87"/>
  <c r="M31" i="87"/>
  <c r="P34" i="87"/>
  <c r="AS30" i="87"/>
  <c r="AV33" i="87"/>
  <c r="AN32" i="87"/>
  <c r="D109" i="87"/>
  <c r="D86" i="87"/>
  <c r="G84" i="87"/>
  <c r="AR33" i="87"/>
  <c r="F89" i="87"/>
  <c r="N30" i="87"/>
  <c r="V55" i="87"/>
  <c r="D132" i="87"/>
  <c r="F120" i="87"/>
  <c r="C171" i="87"/>
  <c r="AM33" i="87"/>
  <c r="AU36" i="87"/>
  <c r="L49" i="87"/>
  <c r="AE42" i="87"/>
  <c r="E143" i="87"/>
  <c r="G99" i="87"/>
  <c r="E145" i="87"/>
  <c r="F170" i="87"/>
  <c r="AP35" i="87"/>
  <c r="AB37" i="87"/>
  <c r="AJ49" i="87"/>
  <c r="AF43" i="87"/>
  <c r="AI33" i="87"/>
  <c r="P35" i="87"/>
  <c r="Z47" i="87"/>
  <c r="Z37" i="87"/>
  <c r="AF51" i="87"/>
  <c r="AP36" i="87"/>
  <c r="AT45" i="87"/>
  <c r="AD53" i="87"/>
  <c r="AS37" i="87"/>
  <c r="Z42" i="87"/>
  <c r="R46" i="87"/>
  <c r="J50" i="87"/>
  <c r="AH54" i="87"/>
  <c r="AI58" i="87"/>
  <c r="R40" i="87"/>
  <c r="AP44" i="87"/>
  <c r="AP33" i="87"/>
  <c r="AA33" i="87"/>
  <c r="AH31" i="87"/>
  <c r="S31" i="87"/>
  <c r="H35" i="87"/>
  <c r="M38" i="87"/>
  <c r="P41" i="87"/>
  <c r="S44" i="87"/>
  <c r="R47" i="87"/>
  <c r="U50" i="87"/>
  <c r="X53" i="87"/>
  <c r="AJ34" i="87"/>
  <c r="AI38" i="87"/>
  <c r="AO44" i="87"/>
  <c r="AG52" i="87"/>
  <c r="AH36" i="87"/>
  <c r="S42" i="87"/>
  <c r="Y48" i="87"/>
  <c r="AM54" i="87"/>
  <c r="AK37" i="87"/>
  <c r="AN40" i="87"/>
  <c r="AQ43" i="87"/>
  <c r="AP46" i="87"/>
  <c r="AS49" i="87"/>
  <c r="AV52" i="87"/>
  <c r="M56" i="87"/>
  <c r="K37" i="87"/>
  <c r="J40" i="87"/>
  <c r="M43" i="87"/>
  <c r="P46" i="87"/>
  <c r="M48" i="87"/>
  <c r="X31" i="87"/>
  <c r="P30" i="87"/>
  <c r="S33" i="87"/>
  <c r="W36" i="87"/>
  <c r="H33" i="87"/>
  <c r="AQ31" i="87"/>
  <c r="AQ34" i="87"/>
  <c r="AV37" i="87"/>
  <c r="H41" i="87"/>
  <c r="K44" i="87"/>
  <c r="J47" i="87"/>
  <c r="M50" i="87"/>
  <c r="P53" i="87"/>
  <c r="AB34" i="87"/>
  <c r="S38" i="87"/>
  <c r="Y44" i="87"/>
  <c r="Q52" i="87"/>
  <c r="Z36" i="87"/>
  <c r="AP41" i="87"/>
  <c r="I48" i="87"/>
  <c r="W54" i="87"/>
  <c r="AC37" i="87"/>
  <c r="AF40" i="87"/>
  <c r="AI43" i="87"/>
  <c r="AH46" i="87"/>
  <c r="AK49" i="87"/>
  <c r="AN52" i="87"/>
  <c r="AS55" i="87"/>
  <c r="AN36" i="87"/>
  <c r="AS39" i="87"/>
  <c r="AV42" i="87"/>
  <c r="H46" i="87"/>
  <c r="H30" i="87"/>
  <c r="K33" i="87"/>
  <c r="O36" i="87"/>
  <c r="AQ32" i="87"/>
  <c r="AI31" i="87"/>
  <c r="AI34" i="87"/>
  <c r="AN37" i="87"/>
  <c r="AQ40" i="87"/>
  <c r="AP43" i="87"/>
  <c r="AS46" i="87"/>
  <c r="AV49" i="87"/>
  <c r="H53" i="87"/>
  <c r="T34" i="87"/>
  <c r="AP37" i="87"/>
  <c r="I44" i="87"/>
  <c r="AV51" i="87"/>
  <c r="R36" i="87"/>
  <c r="Z41" i="87"/>
  <c r="AN47" i="87"/>
  <c r="AT53" i="87"/>
  <c r="U37" i="87"/>
  <c r="X40" i="87"/>
  <c r="AA43" i="87"/>
  <c r="Z46" i="87"/>
  <c r="AC49" i="87"/>
  <c r="AF52" i="87"/>
  <c r="AI55" i="87"/>
  <c r="AQ58" i="87"/>
  <c r="AK39" i="87"/>
  <c r="AN42" i="87"/>
  <c r="AQ45" i="87"/>
  <c r="M47" i="87"/>
  <c r="AV50" i="87"/>
  <c r="D105" i="87"/>
  <c r="G95" i="87"/>
  <c r="E127" i="87"/>
  <c r="E136" i="87"/>
  <c r="AR41" i="87"/>
  <c r="D141" i="87"/>
  <c r="V39" i="87"/>
  <c r="K38" i="87"/>
  <c r="G153" i="87"/>
  <c r="E152" i="87"/>
  <c r="G161" i="87"/>
  <c r="AT31" i="87"/>
  <c r="AT39" i="87"/>
  <c r="O52" i="87"/>
  <c r="AC48" i="87"/>
  <c r="E43" i="87"/>
  <c r="E125" i="87"/>
  <c r="E157" i="87"/>
  <c r="AU30" i="87"/>
  <c r="AE32" i="87"/>
  <c r="AE40" i="87"/>
  <c r="AM52" i="87"/>
  <c r="AS48" i="87"/>
  <c r="U30" i="87"/>
  <c r="U38" i="87"/>
  <c r="AC50" i="87"/>
  <c r="L39" i="87"/>
  <c r="AW52" i="87"/>
  <c r="AN39" i="87"/>
  <c r="X47" i="87"/>
  <c r="H55" i="87"/>
  <c r="AA39" i="87"/>
  <c r="S43" i="87"/>
  <c r="K47" i="87"/>
  <c r="AI51" i="87"/>
  <c r="AA55" i="87"/>
  <c r="S37" i="87"/>
  <c r="AQ41" i="87"/>
  <c r="AI45" i="87"/>
  <c r="X30" i="87"/>
  <c r="AW34" i="87"/>
  <c r="AA32" i="87"/>
  <c r="H32" i="87"/>
  <c r="AN35" i="87"/>
  <c r="AS38" i="87"/>
  <c r="AV41" i="87"/>
  <c r="H45" i="87"/>
  <c r="K48" i="87"/>
  <c r="J51" i="87"/>
  <c r="M54" i="87"/>
  <c r="Y35" i="87"/>
  <c r="U40" i="87"/>
  <c r="S46" i="87"/>
  <c r="K54" i="87"/>
  <c r="AT37" i="87"/>
  <c r="AR43" i="87"/>
  <c r="AP49" i="87"/>
  <c r="V34" i="87"/>
  <c r="Z38" i="87"/>
  <c r="AC41" i="87"/>
  <c r="AF44" i="87"/>
  <c r="AI47" i="87"/>
  <c r="AH50" i="87"/>
  <c r="AK53" i="87"/>
  <c r="AS56" i="87"/>
  <c r="AQ37" i="87"/>
  <c r="AP40" i="87"/>
  <c r="AS43" i="87"/>
  <c r="AV46" i="87"/>
  <c r="AL49" i="87"/>
  <c r="M32" i="87"/>
  <c r="AV30" i="87"/>
  <c r="H34" i="87"/>
  <c r="AK30" i="87"/>
  <c r="AN33" i="87"/>
  <c r="AF32" i="87"/>
  <c r="AF35" i="87"/>
  <c r="AK38" i="87"/>
  <c r="AN41" i="87"/>
  <c r="AQ44" i="87"/>
  <c r="AP47" i="87"/>
  <c r="AS50" i="87"/>
  <c r="AV53" i="87"/>
  <c r="Q35" i="87"/>
  <c r="AR39" i="87"/>
  <c r="AP45" i="87"/>
  <c r="AH53" i="87"/>
  <c r="AD37" i="87"/>
  <c r="AB43" i="87"/>
  <c r="Z49" i="87"/>
  <c r="AN55" i="87"/>
  <c r="R38" i="87"/>
  <c r="U41" i="87"/>
  <c r="X44" i="87"/>
  <c r="AA47" i="87"/>
  <c r="Z50" i="87"/>
  <c r="AC53" i="87"/>
  <c r="AK56" i="87"/>
  <c r="AI37" i="87"/>
  <c r="AH40" i="87"/>
  <c r="AK43" i="87"/>
  <c r="AV31" i="87"/>
  <c r="AN30" i="87"/>
  <c r="AQ33" i="87"/>
  <c r="AC30" i="87"/>
  <c r="AF33" i="87"/>
  <c r="X32" i="87"/>
  <c r="X35" i="87"/>
  <c r="AC38" i="87"/>
  <c r="AF41" i="87"/>
  <c r="AI44" i="87"/>
  <c r="AH47" i="87"/>
  <c r="AK50" i="87"/>
  <c r="AN53" i="87"/>
  <c r="I35" i="87"/>
  <c r="AB39" i="87"/>
  <c r="Z45" i="87"/>
  <c r="R53" i="87"/>
  <c r="N37" i="87"/>
  <c r="L43" i="87"/>
  <c r="J49" i="87"/>
  <c r="X55" i="87"/>
  <c r="J38" i="87"/>
  <c r="M41" i="87"/>
  <c r="P44" i="87"/>
  <c r="S47" i="87"/>
  <c r="R50" i="87"/>
  <c r="F107" i="87"/>
  <c r="G103" i="87"/>
  <c r="E48" i="87"/>
  <c r="C163" i="87"/>
  <c r="I54" i="87"/>
  <c r="E165" i="87"/>
  <c r="AB45" i="87"/>
  <c r="D94" i="87"/>
  <c r="G100" i="87"/>
  <c r="D136" i="87"/>
  <c r="W30" i="87"/>
  <c r="AL30" i="87"/>
  <c r="AW42" i="87"/>
  <c r="N55" i="87"/>
  <c r="G146" i="87"/>
  <c r="D99" i="87"/>
  <c r="G150" i="87"/>
  <c r="D170" i="87"/>
  <c r="AT33" i="87"/>
  <c r="W31" i="87"/>
  <c r="AD43" i="87"/>
  <c r="AL55" i="87"/>
  <c r="AN31" i="87"/>
  <c r="X33" i="87"/>
  <c r="X41" i="87"/>
  <c r="AF53" i="87"/>
  <c r="AN43" i="87"/>
  <c r="R34" i="87"/>
  <c r="J41" i="87"/>
  <c r="AO48" i="87"/>
  <c r="P36" i="87"/>
  <c r="P40" i="87"/>
  <c r="H44" i="87"/>
  <c r="AF48" i="87"/>
  <c r="X52" i="87"/>
  <c r="U56" i="87"/>
  <c r="AN38" i="87"/>
  <c r="AF42" i="87"/>
  <c r="AF31" i="87"/>
  <c r="AS31" i="87"/>
  <c r="AL35" i="87"/>
  <c r="P33" i="87"/>
  <c r="AC33" i="87"/>
  <c r="AI36" i="87"/>
  <c r="AH39" i="87"/>
  <c r="AK42" i="87"/>
  <c r="AN45" i="87"/>
  <c r="AQ48" i="87"/>
  <c r="AP51" i="87"/>
  <c r="AS54" i="87"/>
  <c r="N36" i="87"/>
  <c r="AT41" i="87"/>
  <c r="U48" i="87"/>
  <c r="AJ55" i="87"/>
  <c r="X39" i="87"/>
  <c r="AD45" i="87"/>
  <c r="AB51" i="87"/>
  <c r="AU35" i="87"/>
  <c r="S39" i="87"/>
  <c r="R42" i="87"/>
  <c r="U45" i="87"/>
  <c r="X48" i="87"/>
  <c r="AA51" i="87"/>
  <c r="Z54" i="87"/>
  <c r="AH57" i="87"/>
  <c r="AF38" i="87"/>
  <c r="AI41" i="87"/>
  <c r="AH44" i="87"/>
  <c r="AK47" i="87"/>
  <c r="K30" i="87"/>
  <c r="AS32" i="87"/>
  <c r="AK31" i="87"/>
  <c r="AO34" i="87"/>
  <c r="Z31" i="87"/>
  <c r="R30" i="87"/>
  <c r="U33" i="87"/>
  <c r="AA36" i="87"/>
  <c r="Z39" i="87"/>
  <c r="AC42" i="87"/>
  <c r="AF45" i="87"/>
  <c r="AI48" i="87"/>
  <c r="AH51" i="87"/>
  <c r="AK54" i="87"/>
  <c r="AW35" i="87"/>
  <c r="AD41" i="87"/>
  <c r="AB47" i="87"/>
  <c r="T55" i="87"/>
  <c r="H39" i="87"/>
  <c r="N45" i="87"/>
  <c r="L51" i="87"/>
  <c r="AE35" i="87"/>
  <c r="K39" i="87"/>
  <c r="J42" i="87"/>
  <c r="M45" i="87"/>
  <c r="P48" i="87"/>
  <c r="S51" i="87"/>
  <c r="R54" i="87"/>
  <c r="Z57" i="87"/>
  <c r="X38" i="87"/>
  <c r="AA41" i="87"/>
  <c r="Z44" i="87"/>
  <c r="AK32" i="87"/>
  <c r="AC31" i="87"/>
  <c r="AG34" i="87"/>
  <c r="R31" i="87"/>
  <c r="J30" i="87"/>
  <c r="M33" i="87"/>
  <c r="M36" i="87"/>
  <c r="R39" i="87"/>
  <c r="U42" i="87"/>
  <c r="X45" i="87"/>
  <c r="AA48" i="87"/>
  <c r="Z51" i="87"/>
  <c r="AC54" i="87"/>
  <c r="AO35" i="87"/>
  <c r="N41" i="87"/>
  <c r="L47" i="87"/>
  <c r="AQ54" i="87"/>
  <c r="AM38" i="87"/>
  <c r="AK44" i="87"/>
  <c r="AI50" i="87"/>
  <c r="O35" i="87"/>
  <c r="AP38" i="87"/>
  <c r="AS41" i="87"/>
  <c r="AV44" i="87"/>
  <c r="H48" i="87"/>
  <c r="K51" i="87"/>
  <c r="J54" i="87"/>
  <c r="R57" i="87"/>
  <c r="P38" i="87"/>
  <c r="S41" i="87"/>
  <c r="R44" i="87"/>
  <c r="U47" i="87"/>
  <c r="AA49" i="87"/>
  <c r="Z52" i="87"/>
  <c r="AC55" i="87"/>
  <c r="AK58" i="87"/>
  <c r="AR61" i="87"/>
  <c r="AU64" i="87"/>
  <c r="AT67" i="87"/>
  <c r="AW70" i="87"/>
  <c r="I74" i="87"/>
  <c r="L77" i="87"/>
  <c r="AC57" i="87"/>
  <c r="AF60" i="87"/>
  <c r="AI63" i="87"/>
  <c r="AH66" i="87"/>
  <c r="AK69" i="87"/>
  <c r="AN72" i="87"/>
  <c r="Z53" i="87"/>
  <c r="V37" i="87"/>
  <c r="T43" i="87"/>
  <c r="R49" i="87"/>
  <c r="AF55" i="87"/>
  <c r="N38" i="87"/>
  <c r="Q41" i="87"/>
  <c r="T44" i="87"/>
  <c r="W47" i="87"/>
  <c r="V50" i="87"/>
  <c r="Y53" i="87"/>
  <c r="AG56" i="87"/>
  <c r="G106" i="87"/>
  <c r="AI30" i="87"/>
  <c r="D82" i="87"/>
  <c r="I46" i="87"/>
  <c r="E176" i="87"/>
  <c r="AG46" i="87"/>
  <c r="AA44" i="87"/>
  <c r="AI42" i="87"/>
  <c r="AC45" i="87"/>
  <c r="AC39" i="87"/>
  <c r="M30" i="87"/>
  <c r="AA40" i="87"/>
  <c r="AI52" i="87"/>
  <c r="P51" i="87"/>
  <c r="N53" i="87"/>
  <c r="J46" i="87"/>
  <c r="AA58" i="87"/>
  <c r="Z48" i="87"/>
  <c r="AD35" i="87"/>
  <c r="P37" i="87"/>
  <c r="X49" i="87"/>
  <c r="H43" i="87"/>
  <c r="AM46" i="87"/>
  <c r="AP42" i="87"/>
  <c r="K55" i="87"/>
  <c r="S45" i="87"/>
  <c r="K32" i="87"/>
  <c r="K40" i="87"/>
  <c r="S52" i="87"/>
  <c r="AT49" i="87"/>
  <c r="U52" i="87"/>
  <c r="AK45" i="87"/>
  <c r="AP54" i="87"/>
  <c r="AV38" i="87"/>
  <c r="K45" i="87"/>
  <c r="P50" i="87"/>
  <c r="AN54" i="87"/>
  <c r="AD59" i="87"/>
  <c r="V63" i="87"/>
  <c r="N67" i="87"/>
  <c r="AL71" i="87"/>
  <c r="AD75" i="87"/>
  <c r="AN56" i="87"/>
  <c r="U61" i="87"/>
  <c r="M65" i="87"/>
  <c r="AV68" i="87"/>
  <c r="AC73" i="87"/>
  <c r="AP34" i="87"/>
  <c r="AH41" i="87"/>
  <c r="AQ50" i="87"/>
  <c r="AB36" i="87"/>
  <c r="AB40" i="87"/>
  <c r="I45" i="87"/>
  <c r="AR48" i="87"/>
  <c r="AJ52" i="87"/>
  <c r="V57" i="87"/>
  <c r="T38" i="87"/>
  <c r="W41" i="87"/>
  <c r="V44" i="87"/>
  <c r="Y47" i="87"/>
  <c r="AB50" i="87"/>
  <c r="AE53" i="87"/>
  <c r="AI56" i="87"/>
  <c r="AP59" i="87"/>
  <c r="AS62" i="87"/>
  <c r="AV65" i="87"/>
  <c r="H69" i="87"/>
  <c r="K72" i="87"/>
  <c r="J75" i="87"/>
  <c r="M78" i="87"/>
  <c r="AE59" i="87"/>
  <c r="AG65" i="87"/>
  <c r="AM71" i="87"/>
  <c r="AM75" i="87"/>
  <c r="AS77" i="87"/>
  <c r="AO60" i="87"/>
  <c r="AR63" i="87"/>
  <c r="AU66" i="87"/>
  <c r="AT69" i="87"/>
  <c r="AW72" i="87"/>
  <c r="I76" i="87"/>
  <c r="AD56" i="87"/>
  <c r="AG59" i="87"/>
  <c r="AJ62" i="87"/>
  <c r="AM65" i="87"/>
  <c r="AL68" i="87"/>
  <c r="AO71" i="87"/>
  <c r="AR74" i="87"/>
  <c r="T78" i="87"/>
  <c r="AN78" i="87"/>
  <c r="AD58" i="87"/>
  <c r="AN46" i="87"/>
  <c r="AN50" i="87"/>
  <c r="AQ53" i="87"/>
  <c r="AU56" i="87"/>
  <c r="O60" i="87"/>
  <c r="N63" i="87"/>
  <c r="Q66" i="87"/>
  <c r="T69" i="87"/>
  <c r="W72" i="87"/>
  <c r="V75" i="87"/>
  <c r="Y78" i="87"/>
  <c r="AP58" i="87"/>
  <c r="AS61" i="87"/>
  <c r="AV64" i="87"/>
  <c r="H68" i="87"/>
  <c r="K71" i="87"/>
  <c r="AD49" i="87"/>
  <c r="Z34" i="87"/>
  <c r="AV39" i="87"/>
  <c r="O46" i="87"/>
  <c r="M52" i="87"/>
  <c r="T36" i="87"/>
  <c r="AE39" i="87"/>
  <c r="AD42" i="87"/>
  <c r="AG45" i="87"/>
  <c r="AJ48" i="87"/>
  <c r="AM51" i="87"/>
  <c r="AL54" i="87"/>
  <c r="AT57" i="87"/>
  <c r="AR38" i="87"/>
  <c r="AU41" i="87"/>
  <c r="AT44" i="87"/>
  <c r="AW47" i="87"/>
  <c r="I51" i="87"/>
  <c r="L54" i="87"/>
  <c r="P57" i="87"/>
  <c r="AA60" i="87"/>
  <c r="Z63" i="87"/>
  <c r="AC66" i="87"/>
  <c r="AF69" i="87"/>
  <c r="AI72" i="87"/>
  <c r="AH75" i="87"/>
  <c r="L56" i="87"/>
  <c r="AJ60" i="87"/>
  <c r="AL66" i="87"/>
  <c r="AR72" i="87"/>
  <c r="T76" i="87"/>
  <c r="AO78" i="87"/>
  <c r="V61" i="87"/>
  <c r="Y64" i="87"/>
  <c r="AB67" i="87"/>
  <c r="AE70" i="87"/>
  <c r="AD73" i="87"/>
  <c r="AG76" i="87"/>
  <c r="O57" i="87"/>
  <c r="N60" i="87"/>
  <c r="Q63" i="87"/>
  <c r="T66" i="87"/>
  <c r="W69" i="87"/>
  <c r="V72" i="87"/>
  <c r="Y75" i="87"/>
  <c r="Z78" i="87"/>
  <c r="AU78" i="87"/>
  <c r="AM59" i="87"/>
  <c r="AS47" i="87"/>
  <c r="U51" i="87"/>
  <c r="X54" i="87"/>
  <c r="AB57" i="87"/>
  <c r="AM60" i="87"/>
  <c r="AL63" i="87"/>
  <c r="AO66" i="87"/>
  <c r="AR69" i="87"/>
  <c r="AU72" i="87"/>
  <c r="AT75" i="87"/>
  <c r="X56" i="87"/>
  <c r="AA59" i="87"/>
  <c r="Z62" i="87"/>
  <c r="AC65" i="87"/>
  <c r="AF68" i="87"/>
  <c r="AI71" i="87"/>
  <c r="X51" i="87"/>
  <c r="AI35" i="87"/>
  <c r="AW40" i="87"/>
  <c r="P47" i="87"/>
  <c r="V53" i="87"/>
  <c r="I37" i="87"/>
  <c r="L40" i="87"/>
  <c r="O43" i="87"/>
  <c r="N46" i="87"/>
  <c r="Q49" i="87"/>
  <c r="T52" i="87"/>
  <c r="W55" i="87"/>
  <c r="AE58" i="87"/>
  <c r="Y39" i="87"/>
  <c r="AB42" i="87"/>
  <c r="AE45" i="87"/>
  <c r="AD48" i="87"/>
  <c r="AG51" i="87"/>
  <c r="AJ54" i="87"/>
  <c r="AN57" i="87"/>
  <c r="H61" i="87"/>
  <c r="K64" i="87"/>
  <c r="J67" i="87"/>
  <c r="M70" i="87"/>
  <c r="P73" i="87"/>
  <c r="S76" i="87"/>
  <c r="AJ56" i="87"/>
  <c r="AO61" i="87"/>
  <c r="AU67" i="87"/>
  <c r="AO73" i="87"/>
  <c r="AR76" i="87"/>
  <c r="AU58" i="87"/>
  <c r="AT61" i="87"/>
  <c r="AW64" i="87"/>
  <c r="I68" i="87"/>
  <c r="L71" i="87"/>
  <c r="O74" i="87"/>
  <c r="N77" i="87"/>
  <c r="AM57" i="87"/>
  <c r="F177" i="87"/>
  <c r="AO32" i="87"/>
  <c r="G155" i="87"/>
  <c r="AC36" i="87"/>
  <c r="G157" i="87"/>
  <c r="R37" i="87"/>
  <c r="AR34" i="87"/>
  <c r="AR51" i="87"/>
  <c r="U49" i="87"/>
  <c r="U43" i="87"/>
  <c r="Z30" i="87"/>
  <c r="Z43" i="87"/>
  <c r="AH55" i="87"/>
  <c r="AA35" i="87"/>
  <c r="AV36" i="87"/>
  <c r="M49" i="87"/>
  <c r="U39" i="87"/>
  <c r="AQ30" i="87"/>
  <c r="S32" i="87"/>
  <c r="S40" i="87"/>
  <c r="AA52" i="87"/>
  <c r="AM50" i="87"/>
  <c r="AK52" i="87"/>
  <c r="AS45" i="87"/>
  <c r="S58" i="87"/>
  <c r="Z33" i="87"/>
  <c r="AP30" i="87"/>
  <c r="J43" i="87"/>
  <c r="R55" i="87"/>
  <c r="AH34" i="87"/>
  <c r="X36" i="87"/>
  <c r="AN48" i="87"/>
  <c r="AC56" i="87"/>
  <c r="Z40" i="87"/>
  <c r="AF46" i="87"/>
  <c r="AK51" i="87"/>
  <c r="W56" i="87"/>
  <c r="W60" i="87"/>
  <c r="O64" i="87"/>
  <c r="AM68" i="87"/>
  <c r="AE72" i="87"/>
  <c r="W76" i="87"/>
  <c r="R58" i="87"/>
  <c r="J62" i="87"/>
  <c r="AS65" i="87"/>
  <c r="Z70" i="87"/>
  <c r="W50" i="87"/>
  <c r="V36" i="87"/>
  <c r="AS44" i="87"/>
  <c r="AC52" i="87"/>
  <c r="Y37" i="87"/>
  <c r="AW41" i="87"/>
  <c r="AO45" i="87"/>
  <c r="AG49" i="87"/>
  <c r="N54" i="87"/>
  <c r="O58" i="87"/>
  <c r="I39" i="87"/>
  <c r="L42" i="87"/>
  <c r="O45" i="87"/>
  <c r="N48" i="87"/>
  <c r="Q51" i="87"/>
  <c r="T54" i="87"/>
  <c r="X57" i="87"/>
  <c r="AI60" i="87"/>
  <c r="AH63" i="87"/>
  <c r="AK66" i="87"/>
  <c r="AN69" i="87"/>
  <c r="AQ72" i="87"/>
  <c r="AP75" i="87"/>
  <c r="T56" i="87"/>
  <c r="I61" i="87"/>
  <c r="O67" i="87"/>
  <c r="Q73" i="87"/>
  <c r="AB76" i="87"/>
  <c r="AW78" i="87"/>
  <c r="AD61" i="87"/>
  <c r="AG64" i="87"/>
  <c r="AJ67" i="87"/>
  <c r="AM70" i="87"/>
  <c r="AL73" i="87"/>
  <c r="AO76" i="87"/>
  <c r="W57" i="87"/>
  <c r="V60" i="87"/>
  <c r="Y63" i="87"/>
  <c r="AB66" i="87"/>
  <c r="AE69" i="87"/>
  <c r="AD72" i="87"/>
  <c r="AG75" i="87"/>
  <c r="AQ78" i="87"/>
  <c r="AS79" i="87"/>
  <c r="L60" i="87"/>
  <c r="R48" i="87"/>
  <c r="AC51" i="87"/>
  <c r="AF54" i="87"/>
  <c r="AJ57" i="87"/>
  <c r="AU60" i="87"/>
  <c r="AT63" i="87"/>
  <c r="AW66" i="87"/>
  <c r="I70" i="87"/>
  <c r="L73" i="87"/>
  <c r="O76" i="87"/>
  <c r="AF56" i="87"/>
  <c r="AI59" i="87"/>
  <c r="AH62" i="87"/>
  <c r="AK65" i="87"/>
  <c r="AN68" i="87"/>
  <c r="AQ71" i="87"/>
  <c r="AN51" i="87"/>
  <c r="L36" i="87"/>
  <c r="R41" i="87"/>
  <c r="AF47" i="87"/>
  <c r="AL53" i="87"/>
  <c r="Q37" i="87"/>
  <c r="T40" i="87"/>
  <c r="W43" i="87"/>
  <c r="V46" i="87"/>
  <c r="Y49" i="87"/>
  <c r="AB52" i="87"/>
  <c r="AE55" i="87"/>
  <c r="AM58" i="87"/>
  <c r="AG39" i="87"/>
  <c r="AJ42" i="87"/>
  <c r="AM45" i="87"/>
  <c r="AL48" i="87"/>
  <c r="AO51" i="87"/>
  <c r="AR54" i="87"/>
  <c r="AV57" i="87"/>
  <c r="P61" i="87"/>
  <c r="S64" i="87"/>
  <c r="R67" i="87"/>
  <c r="U70" i="87"/>
  <c r="X73" i="87"/>
  <c r="AA76" i="87"/>
  <c r="AR56" i="87"/>
  <c r="N62" i="87"/>
  <c r="T68" i="87"/>
  <c r="AW73" i="87"/>
  <c r="I77" i="87"/>
  <c r="L59" i="87"/>
  <c r="O62" i="87"/>
  <c r="N65" i="87"/>
  <c r="Q68" i="87"/>
  <c r="T71" i="87"/>
  <c r="W74" i="87"/>
  <c r="V77" i="87"/>
  <c r="AU57" i="87"/>
  <c r="AT60" i="87"/>
  <c r="AW63" i="87"/>
  <c r="I67" i="87"/>
  <c r="L70" i="87"/>
  <c r="O73" i="87"/>
  <c r="N76" i="87"/>
  <c r="AL79" i="87"/>
  <c r="AH79" i="87"/>
  <c r="AL62" i="87"/>
  <c r="K49" i="87"/>
  <c r="J52" i="87"/>
  <c r="M55" i="87"/>
  <c r="Q58" i="87"/>
  <c r="AB61" i="87"/>
  <c r="AE64" i="87"/>
  <c r="AD67" i="87"/>
  <c r="AG70" i="87"/>
  <c r="AJ73" i="87"/>
  <c r="AM76" i="87"/>
  <c r="M57" i="87"/>
  <c r="P60" i="87"/>
  <c r="S63" i="87"/>
  <c r="R66" i="87"/>
  <c r="U69" i="87"/>
  <c r="X72" i="87"/>
  <c r="AO52" i="87"/>
  <c r="AL36" i="87"/>
  <c r="AA42" i="87"/>
  <c r="AG48" i="87"/>
  <c r="AU54" i="87"/>
  <c r="AO37" i="87"/>
  <c r="AR40" i="87"/>
  <c r="AU43" i="87"/>
  <c r="AT46" i="87"/>
  <c r="AW49" i="87"/>
  <c r="I53" i="87"/>
  <c r="Q56" i="87"/>
  <c r="O37" i="87"/>
  <c r="N40" i="87"/>
  <c r="Q43" i="87"/>
  <c r="T46" i="87"/>
  <c r="W49" i="87"/>
  <c r="V52" i="87"/>
  <c r="Y55" i="87"/>
  <c r="AC58" i="87"/>
  <c r="AN61" i="87"/>
  <c r="AQ64" i="87"/>
  <c r="AP67" i="87"/>
  <c r="AS70" i="87"/>
  <c r="AV73" i="87"/>
  <c r="H77" i="87"/>
  <c r="Y57" i="87"/>
  <c r="W63" i="87"/>
  <c r="Y69" i="87"/>
  <c r="AD74" i="87"/>
  <c r="AG77" i="87"/>
  <c r="AJ59" i="87"/>
  <c r="AM62" i="87"/>
  <c r="AL65" i="87"/>
  <c r="AO68" i="87"/>
  <c r="Q32" i="87"/>
  <c r="E148" i="87"/>
  <c r="AO33" i="87"/>
  <c r="G124" i="87"/>
  <c r="W34" i="87"/>
  <c r="P32" i="87"/>
  <c r="AQ35" i="87"/>
  <c r="AV40" i="87"/>
  <c r="AP57" i="87"/>
  <c r="AH32" i="87"/>
  <c r="X37" i="87"/>
  <c r="AF49" i="87"/>
  <c r="X43" i="87"/>
  <c r="H47" i="87"/>
  <c r="K43" i="87"/>
  <c r="S55" i="87"/>
  <c r="AA45" i="87"/>
  <c r="Z32" i="87"/>
  <c r="J34" i="87"/>
  <c r="U46" i="87"/>
  <c r="AO36" i="87"/>
  <c r="Y40" i="87"/>
  <c r="AQ39" i="87"/>
  <c r="H52" i="87"/>
  <c r="P42" i="87"/>
  <c r="V35" i="87"/>
  <c r="H37" i="87"/>
  <c r="P49" i="87"/>
  <c r="AM42" i="87"/>
  <c r="W46" i="87"/>
  <c r="AH42" i="87"/>
  <c r="U53" i="87"/>
  <c r="AA37" i="87"/>
  <c r="AC43" i="87"/>
  <c r="AH48" i="87"/>
  <c r="H54" i="87"/>
  <c r="AR57" i="87"/>
  <c r="AG62" i="87"/>
  <c r="Y66" i="87"/>
  <c r="Q70" i="87"/>
  <c r="AO74" i="87"/>
  <c r="H56" i="87"/>
  <c r="AQ59" i="87"/>
  <c r="X64" i="87"/>
  <c r="P68" i="87"/>
  <c r="H72" i="87"/>
  <c r="L55" i="87"/>
  <c r="Q40" i="87"/>
  <c r="AV47" i="87"/>
  <c r="W35" i="87"/>
  <c r="AM39" i="87"/>
  <c r="AE43" i="87"/>
  <c r="L48" i="87"/>
  <c r="AU51" i="87"/>
  <c r="AM55" i="87"/>
  <c r="AE37" i="87"/>
  <c r="AD40" i="87"/>
  <c r="AG43" i="87"/>
  <c r="AJ46" i="87"/>
  <c r="AM49" i="87"/>
  <c r="AL52" i="87"/>
  <c r="AO55" i="87"/>
  <c r="J59" i="87"/>
  <c r="M62" i="87"/>
  <c r="P65" i="87"/>
  <c r="S68" i="87"/>
  <c r="R71" i="87"/>
  <c r="U74" i="87"/>
  <c r="X77" i="87"/>
  <c r="AW57" i="87"/>
  <c r="L64" i="87"/>
  <c r="N70" i="87"/>
  <c r="AT74" i="87"/>
  <c r="P78" i="87"/>
  <c r="I60" i="87"/>
  <c r="L63" i="87"/>
  <c r="O66" i="87"/>
  <c r="N69" i="87"/>
  <c r="Q72" i="87"/>
  <c r="T75" i="87"/>
  <c r="W78" i="87"/>
  <c r="AR58" i="87"/>
  <c r="AU61" i="87"/>
  <c r="AT64" i="87"/>
  <c r="AW67" i="87"/>
  <c r="I71" i="87"/>
  <c r="L74" i="87"/>
  <c r="O77" i="87"/>
  <c r="S79" i="87"/>
  <c r="M79" i="87"/>
  <c r="O63" i="87"/>
  <c r="H50" i="87"/>
  <c r="K53" i="87"/>
  <c r="O56" i="87"/>
  <c r="V59" i="87"/>
  <c r="Y62" i="87"/>
  <c r="AB65" i="87"/>
  <c r="AE68" i="87"/>
  <c r="AD71" i="87"/>
  <c r="AG74" i="87"/>
  <c r="AJ77" i="87"/>
  <c r="J58" i="87"/>
  <c r="M61" i="87"/>
  <c r="P64" i="87"/>
  <c r="S67" i="87"/>
  <c r="R70" i="87"/>
  <c r="U73" i="87"/>
  <c r="AI54" i="87"/>
  <c r="AE38" i="87"/>
  <c r="AC44" i="87"/>
  <c r="AA50" i="87"/>
  <c r="AT34" i="87"/>
  <c r="AL38" i="87"/>
  <c r="AO41" i="87"/>
  <c r="AR44" i="87"/>
  <c r="AU47" i="87"/>
  <c r="AT50" i="87"/>
  <c r="AW53" i="87"/>
  <c r="N57" i="87"/>
  <c r="L38" i="87"/>
  <c r="O41" i="87"/>
  <c r="N44" i="87"/>
  <c r="Q47" i="87"/>
  <c r="T50" i="87"/>
  <c r="W53" i="87"/>
  <c r="AA56" i="87"/>
  <c r="AH59" i="87"/>
  <c r="AK62" i="87"/>
  <c r="AN65" i="87"/>
  <c r="AQ68" i="87"/>
  <c r="AP71" i="87"/>
  <c r="AS74" i="87"/>
  <c r="AV77" i="87"/>
  <c r="O59" i="87"/>
  <c r="Q65" i="87"/>
  <c r="W71" i="87"/>
  <c r="AE75" i="87"/>
  <c r="AT78" i="87"/>
  <c r="AG60" i="87"/>
  <c r="AJ63" i="87"/>
  <c r="AM66" i="87"/>
  <c r="AL69" i="87"/>
  <c r="AO72" i="87"/>
  <c r="AR75" i="87"/>
  <c r="V56" i="87"/>
  <c r="Y59" i="87"/>
  <c r="AB62" i="87"/>
  <c r="AE65" i="87"/>
  <c r="AD68" i="87"/>
  <c r="AG71" i="87"/>
  <c r="AJ74" i="87"/>
  <c r="AQ77" i="87"/>
  <c r="C79" i="87"/>
  <c r="N58" i="87"/>
  <c r="X46" i="87"/>
  <c r="AF50" i="87"/>
  <c r="AI53" i="87"/>
  <c r="AM56" i="87"/>
  <c r="AT59" i="87"/>
  <c r="AW62" i="87"/>
  <c r="I66" i="87"/>
  <c r="L69" i="87"/>
  <c r="O72" i="87"/>
  <c r="N75" i="87"/>
  <c r="Q78" i="87"/>
  <c r="AH58" i="87"/>
  <c r="AK61" i="87"/>
  <c r="AN64" i="87"/>
  <c r="AQ67" i="87"/>
  <c r="AP70" i="87"/>
  <c r="AK48" i="87"/>
  <c r="AR55" i="87"/>
  <c r="AF39" i="87"/>
  <c r="AL45" i="87"/>
  <c r="AJ51" i="87"/>
  <c r="H36" i="87"/>
  <c r="W39" i="87"/>
  <c r="V42" i="87"/>
  <c r="Y45" i="87"/>
  <c r="AB48" i="87"/>
  <c r="AE51" i="87"/>
  <c r="AD54" i="87"/>
  <c r="AL57" i="87"/>
  <c r="AJ38" i="87"/>
  <c r="AM41" i="87"/>
  <c r="AL44" i="87"/>
  <c r="AO47" i="87"/>
  <c r="AR50" i="87"/>
  <c r="AU53" i="87"/>
  <c r="H57" i="87"/>
  <c r="S60" i="87"/>
  <c r="R63" i="87"/>
  <c r="U66" i="87"/>
  <c r="X69" i="87"/>
  <c r="AA72" i="87"/>
  <c r="Z75" i="87"/>
  <c r="AQ55" i="87"/>
  <c r="T60" i="87"/>
  <c r="V66" i="87"/>
  <c r="AB72" i="87"/>
  <c r="L76" i="87"/>
  <c r="AG78" i="87"/>
  <c r="N61" i="87"/>
  <c r="Q64" i="87"/>
  <c r="T67" i="87"/>
  <c r="W70" i="87"/>
  <c r="V73" i="87"/>
  <c r="Y76" i="87"/>
  <c r="AT56" i="87"/>
  <c r="AW59" i="87"/>
  <c r="I63" i="87"/>
  <c r="L66" i="87"/>
  <c r="O69" i="87"/>
  <c r="N72" i="87"/>
  <c r="Q75" i="87"/>
  <c r="AO77" i="87"/>
  <c r="AE78" i="87"/>
  <c r="W59" i="87"/>
  <c r="AC47" i="87"/>
  <c r="M51" i="87"/>
  <c r="P54" i="87"/>
  <c r="T57" i="87"/>
  <c r="AE60" i="87"/>
  <c r="AD63" i="87"/>
  <c r="AG66" i="87"/>
  <c r="AJ69" i="87"/>
  <c r="AM72" i="87"/>
  <c r="AL75" i="87"/>
  <c r="P56" i="87"/>
  <c r="S59" i="87"/>
  <c r="R62" i="87"/>
  <c r="U65" i="87"/>
  <c r="X68" i="87"/>
  <c r="AA71" i="87"/>
  <c r="H51" i="87"/>
  <c r="S35" i="87"/>
  <c r="AG40" i="87"/>
  <c r="AU46" i="87"/>
  <c r="AS52" i="87"/>
  <c r="AR36" i="87"/>
  <c r="AU39" i="87"/>
  <c r="AT42" i="87"/>
  <c r="AW45" i="87"/>
  <c r="I49" i="87"/>
  <c r="L52" i="87"/>
  <c r="O55" i="87"/>
  <c r="W58" i="87"/>
  <c r="Q39" i="87"/>
  <c r="T42" i="87"/>
  <c r="W45" i="87"/>
  <c r="V48" i="87"/>
  <c r="Y51" i="87"/>
  <c r="AB54" i="87"/>
  <c r="AF57" i="87"/>
  <c r="AQ60" i="87"/>
  <c r="F100" i="87"/>
  <c r="AL32" i="87"/>
  <c r="M53" i="87"/>
  <c r="J37" i="87"/>
  <c r="X42" i="87"/>
  <c r="Z55" i="87"/>
  <c r="M39" i="87"/>
  <c r="AG36" i="87"/>
  <c r="K58" i="87"/>
  <c r="L57" i="87"/>
  <c r="T73" i="87"/>
  <c r="AA67" i="87"/>
  <c r="AE46" i="87"/>
  <c r="AD46" i="87"/>
  <c r="AO39" i="87"/>
  <c r="AW51" i="87"/>
  <c r="AA64" i="87"/>
  <c r="AI76" i="87"/>
  <c r="N74" i="87"/>
  <c r="V65" i="87"/>
  <c r="AD77" i="87"/>
  <c r="Q67" i="87"/>
  <c r="AJ79" i="87"/>
  <c r="R52" i="87"/>
  <c r="AM64" i="87"/>
  <c r="AU76" i="87"/>
  <c r="Z66" i="87"/>
  <c r="AS36" i="87"/>
  <c r="AW37" i="87"/>
  <c r="N50" i="87"/>
  <c r="V40" i="87"/>
  <c r="AD52" i="87"/>
  <c r="H65" i="87"/>
  <c r="P77" i="87"/>
  <c r="AL74" i="87"/>
  <c r="AT65" i="87"/>
  <c r="O78" i="87"/>
  <c r="AO67" i="87"/>
  <c r="V79" i="87"/>
  <c r="AP52" i="87"/>
  <c r="T65" i="87"/>
  <c r="AB77" i="87"/>
  <c r="K67" i="87"/>
  <c r="O38" i="87"/>
  <c r="AD38" i="87"/>
  <c r="AL50" i="87"/>
  <c r="AT40" i="87"/>
  <c r="O53" i="87"/>
  <c r="AF65" i="87"/>
  <c r="AN77" i="87"/>
  <c r="W75" i="87"/>
  <c r="AE66" i="87"/>
  <c r="AU74" i="87"/>
  <c r="AB58" i="87"/>
  <c r="T62" i="87"/>
  <c r="AR66" i="87"/>
  <c r="AJ70" i="87"/>
  <c r="AB74" i="87"/>
  <c r="AP79" i="87"/>
  <c r="T79" i="87"/>
  <c r="AU63" i="87"/>
  <c r="AS51" i="87"/>
  <c r="AK55" i="87"/>
  <c r="AL59" i="87"/>
  <c r="W64" i="87"/>
  <c r="O68" i="87"/>
  <c r="AT71" i="87"/>
  <c r="AE76" i="87"/>
  <c r="AK57" i="87"/>
  <c r="AC61" i="87"/>
  <c r="J66" i="87"/>
  <c r="AS69" i="87"/>
  <c r="AR47" i="87"/>
  <c r="AD36" i="87"/>
  <c r="AJ43" i="87"/>
  <c r="T51" i="87"/>
  <c r="AG37" i="87"/>
  <c r="Y41" i="87"/>
  <c r="Q45" i="87"/>
  <c r="AO49" i="87"/>
  <c r="AG53" i="87"/>
  <c r="AD57" i="87"/>
  <c r="AW39" i="87"/>
  <c r="AO43" i="87"/>
  <c r="AG47" i="87"/>
  <c r="N52" i="87"/>
  <c r="K56" i="87"/>
  <c r="K60" i="87"/>
  <c r="AP63" i="87"/>
  <c r="AS66" i="87"/>
  <c r="AV69" i="87"/>
  <c r="H73" i="87"/>
  <c r="K76" i="87"/>
  <c r="AB56" i="87"/>
  <c r="Y61" i="87"/>
  <c r="AE67" i="87"/>
  <c r="AG73" i="87"/>
  <c r="AJ76" i="87"/>
  <c r="AG58" i="87"/>
  <c r="AL61" i="87"/>
  <c r="AO64" i="87"/>
  <c r="AR67" i="87"/>
  <c r="AU70" i="87"/>
  <c r="AT73" i="87"/>
  <c r="AW76" i="87"/>
  <c r="AE57" i="87"/>
  <c r="AD60" i="87"/>
  <c r="AG63" i="87"/>
  <c r="AJ66" i="87"/>
  <c r="AM69" i="87"/>
  <c r="AL72" i="87"/>
  <c r="AO75" i="87"/>
  <c r="AT79" i="87"/>
  <c r="K79" i="87"/>
  <c r="AR68" i="87"/>
  <c r="R74" i="87"/>
  <c r="U77" i="87"/>
  <c r="X59" i="87"/>
  <c r="AA62" i="87"/>
  <c r="Z65" i="87"/>
  <c r="AC68" i="87"/>
  <c r="AF71" i="87"/>
  <c r="AI74" i="87"/>
  <c r="AH77" i="87"/>
  <c r="P58" i="87"/>
  <c r="S61" i="87"/>
  <c r="R64" i="87"/>
  <c r="U67" i="87"/>
  <c r="X70" i="87"/>
  <c r="AA73" i="87"/>
  <c r="Z76" i="87"/>
  <c r="AF79" i="87"/>
  <c r="AA79" i="87"/>
  <c r="N66" i="87"/>
  <c r="T72" i="87"/>
  <c r="H76" i="87"/>
  <c r="AC78" i="87"/>
  <c r="J61" i="87"/>
  <c r="M64" i="87"/>
  <c r="P67" i="87"/>
  <c r="S70" i="87"/>
  <c r="R73" i="87"/>
  <c r="U76" i="87"/>
  <c r="AP56" i="87"/>
  <c r="AS59" i="87"/>
  <c r="AV62" i="87"/>
  <c r="H66" i="87"/>
  <c r="K69" i="87"/>
  <c r="J72" i="87"/>
  <c r="M75" i="87"/>
  <c r="AR78" i="87"/>
  <c r="AW77" i="87"/>
  <c r="AD66" i="87"/>
  <c r="AJ72" i="87"/>
  <c r="P76" i="87"/>
  <c r="AK78" i="87"/>
  <c r="R61" i="87"/>
  <c r="U64" i="87"/>
  <c r="X67" i="87"/>
  <c r="AA70" i="87"/>
  <c r="Z73" i="87"/>
  <c r="AC76" i="87"/>
  <c r="K57" i="87"/>
  <c r="J60" i="87"/>
  <c r="M63" i="87"/>
  <c r="P66" i="87"/>
  <c r="S69" i="87"/>
  <c r="R72" i="87"/>
  <c r="U75" i="87"/>
  <c r="J78" i="87"/>
  <c r="AM78" i="87"/>
  <c r="AE63" i="87"/>
  <c r="AW69" i="87"/>
  <c r="AP74" i="87"/>
  <c r="H78" i="87"/>
  <c r="AV59" i="87"/>
  <c r="H63" i="87"/>
  <c r="K66" i="87"/>
  <c r="J69" i="87"/>
  <c r="M72" i="87"/>
  <c r="P75" i="87"/>
  <c r="S78" i="87"/>
  <c r="AN58" i="87"/>
  <c r="AQ61" i="87"/>
  <c r="AP64" i="87"/>
  <c r="AS67" i="87"/>
  <c r="AV70" i="87"/>
  <c r="H74" i="87"/>
  <c r="K77" i="87"/>
  <c r="R79" i="87"/>
  <c r="P79" i="87"/>
  <c r="AD51" i="87"/>
  <c r="AF30" i="87"/>
  <c r="J33" i="87"/>
  <c r="AO40" i="87"/>
  <c r="AH33" i="87"/>
  <c r="K35" i="87"/>
  <c r="R32" i="87"/>
  <c r="I40" i="87"/>
  <c r="H42" i="87"/>
  <c r="L61" i="87"/>
  <c r="AR77" i="87"/>
  <c r="S71" i="87"/>
  <c r="O54" i="87"/>
  <c r="O51" i="87"/>
  <c r="AR42" i="87"/>
  <c r="I55" i="87"/>
  <c r="Z67" i="87"/>
  <c r="I57" i="87"/>
  <c r="Q77" i="87"/>
  <c r="Y68" i="87"/>
  <c r="L58" i="87"/>
  <c r="T70" i="87"/>
  <c r="AC79" i="87"/>
  <c r="U55" i="87"/>
  <c r="AL67" i="87"/>
  <c r="U57" i="87"/>
  <c r="AC69" i="87"/>
  <c r="AQ42" i="87"/>
  <c r="I41" i="87"/>
  <c r="Q53" i="87"/>
  <c r="Y43" i="87"/>
  <c r="AG55" i="87"/>
  <c r="K68" i="87"/>
  <c r="AG57" i="87"/>
  <c r="AU77" i="87"/>
  <c r="AW68" i="87"/>
  <c r="AJ58" i="87"/>
  <c r="AR70" i="87"/>
  <c r="Q79" i="87"/>
  <c r="AW55" i="87"/>
  <c r="W68" i="87"/>
  <c r="AS57" i="87"/>
  <c r="J70" i="87"/>
  <c r="M44" i="87"/>
  <c r="AG41" i="87"/>
  <c r="AO53" i="87"/>
  <c r="AW43" i="87"/>
  <c r="S56" i="87"/>
  <c r="AI68" i="87"/>
  <c r="AL58" i="87"/>
  <c r="AL78" i="87"/>
  <c r="AD69" i="87"/>
  <c r="AJ75" i="87"/>
  <c r="Q59" i="87"/>
  <c r="AO63" i="87"/>
  <c r="AG67" i="87"/>
  <c r="Y71" i="87"/>
  <c r="AW75" i="87"/>
  <c r="Y79" i="87"/>
  <c r="AO57" i="87"/>
  <c r="AP48" i="87"/>
  <c r="AH52" i="87"/>
  <c r="AE56" i="87"/>
  <c r="T61" i="87"/>
  <c r="L65" i="87"/>
  <c r="AU68" i="87"/>
  <c r="AB73" i="87"/>
  <c r="T77" i="87"/>
  <c r="Z58" i="87"/>
  <c r="K63" i="87"/>
  <c r="AP66" i="87"/>
  <c r="AH70" i="87"/>
  <c r="Y52" i="87"/>
  <c r="AL37" i="87"/>
  <c r="V45" i="87"/>
  <c r="AE54" i="87"/>
  <c r="V38" i="87"/>
  <c r="N42" i="87"/>
  <c r="AL46" i="87"/>
  <c r="AD50" i="87"/>
  <c r="V54" i="87"/>
  <c r="AT36" i="87"/>
  <c r="AL40" i="87"/>
  <c r="AD44" i="87"/>
  <c r="O49" i="87"/>
  <c r="AT52" i="87"/>
  <c r="AQ56" i="87"/>
  <c r="AF61" i="87"/>
  <c r="AI64" i="87"/>
  <c r="AH67" i="87"/>
  <c r="AK70" i="87"/>
  <c r="AN73" i="87"/>
  <c r="AQ76" i="87"/>
  <c r="Q57" i="87"/>
  <c r="AT62" i="87"/>
  <c r="I69" i="87"/>
  <c r="V74" i="87"/>
  <c r="Y77" i="87"/>
  <c r="AB59" i="87"/>
  <c r="AE62" i="87"/>
  <c r="AD65" i="87"/>
  <c r="AG68" i="87"/>
  <c r="AJ71" i="87"/>
  <c r="AM74" i="87"/>
  <c r="AL77" i="87"/>
  <c r="T58" i="87"/>
  <c r="W61" i="87"/>
  <c r="V64" i="87"/>
  <c r="Y67" i="87"/>
  <c r="AB70" i="87"/>
  <c r="AE73" i="87"/>
  <c r="AD76" i="87"/>
  <c r="AE79" i="87"/>
  <c r="Q61" i="87"/>
  <c r="V70" i="87"/>
  <c r="K75" i="87"/>
  <c r="X78" i="87"/>
  <c r="M60" i="87"/>
  <c r="P63" i="87"/>
  <c r="S66" i="87"/>
  <c r="R69" i="87"/>
  <c r="U72" i="87"/>
  <c r="X75" i="87"/>
  <c r="AA78" i="87"/>
  <c r="AV58" i="87"/>
  <c r="H62" i="87"/>
  <c r="K65" i="87"/>
  <c r="J68" i="87"/>
  <c r="M71" i="87"/>
  <c r="P74" i="87"/>
  <c r="S77" i="87"/>
  <c r="O79" i="87"/>
  <c r="J79" i="87"/>
  <c r="AM67" i="87"/>
  <c r="AK73" i="87"/>
  <c r="AN76" i="87"/>
  <c r="AO58" i="87"/>
  <c r="AP61" i="87"/>
  <c r="AS64" i="87"/>
  <c r="AV67" i="87"/>
  <c r="H71" i="87"/>
  <c r="K74" i="87"/>
  <c r="J77" i="87"/>
  <c r="AI57" i="87"/>
  <c r="AH60" i="87"/>
  <c r="AK63" i="87"/>
  <c r="AN66" i="87"/>
  <c r="AQ69" i="87"/>
  <c r="AP72" i="87"/>
  <c r="AS75" i="87"/>
  <c r="AQ79" i="87"/>
  <c r="W79" i="87"/>
  <c r="L68" i="87"/>
  <c r="AS73" i="87"/>
  <c r="AV76" i="87"/>
  <c r="H59" i="87"/>
  <c r="K62" i="87"/>
  <c r="J65" i="87"/>
  <c r="M68" i="87"/>
  <c r="P71" i="87"/>
  <c r="S74" i="87"/>
  <c r="R77" i="87"/>
  <c r="AQ57" i="87"/>
  <c r="AP60" i="87"/>
  <c r="AS63" i="87"/>
  <c r="AV66" i="87"/>
  <c r="H70" i="87"/>
  <c r="K73" i="87"/>
  <c r="J76" i="87"/>
  <c r="AM79" i="87"/>
  <c r="AG79" i="87"/>
  <c r="Y65" i="87"/>
  <c r="AE71" i="87"/>
  <c r="AI75" i="87"/>
  <c r="AK77" i="87"/>
  <c r="AK60" i="87"/>
  <c r="AN63" i="87"/>
  <c r="AQ66" i="87"/>
  <c r="AP69" i="87"/>
  <c r="AS72" i="87"/>
  <c r="AV75" i="87"/>
  <c r="Z56" i="87"/>
  <c r="AC59" i="87"/>
  <c r="AF62" i="87"/>
  <c r="AI65" i="87"/>
  <c r="AH68" i="87"/>
  <c r="AK71" i="87"/>
  <c r="AN74" i="87"/>
  <c r="L78" i="87"/>
  <c r="AF78" i="87"/>
  <c r="AB79" i="87"/>
  <c r="O34" i="87"/>
  <c r="J45" i="87"/>
  <c r="S34" i="87"/>
  <c r="H40" i="87"/>
  <c r="K31" i="87"/>
  <c r="AJ36" i="87"/>
  <c r="AS33" i="87"/>
  <c r="AI39" i="87"/>
  <c r="J48" i="87"/>
  <c r="AJ65" i="87"/>
  <c r="K59" i="87"/>
  <c r="I52" i="87"/>
  <c r="AT38" i="87"/>
  <c r="AT54" i="87"/>
  <c r="AU45" i="87"/>
  <c r="M58" i="87"/>
  <c r="AC70" i="87"/>
  <c r="AD62" i="87"/>
  <c r="T59" i="87"/>
  <c r="AB71" i="87"/>
  <c r="O61" i="87"/>
  <c r="W73" i="87"/>
  <c r="AG61" i="87"/>
  <c r="Y58" i="87"/>
  <c r="AO70" i="87"/>
  <c r="X60" i="87"/>
  <c r="AF72" i="87"/>
  <c r="AW48" i="87"/>
  <c r="L44" i="87"/>
  <c r="Y56" i="87"/>
  <c r="AB46" i="87"/>
  <c r="AS58" i="87"/>
  <c r="J71" i="87"/>
  <c r="AM63" i="87"/>
  <c r="AR59" i="87"/>
  <c r="I72" i="87"/>
  <c r="AM61" i="87"/>
  <c r="AU73" i="87"/>
  <c r="I65" i="87"/>
  <c r="N59" i="87"/>
  <c r="V71" i="87"/>
  <c r="AV60" i="87"/>
  <c r="M73" i="87"/>
  <c r="K50" i="87"/>
  <c r="AJ44" i="87"/>
  <c r="AW56" i="87"/>
  <c r="I47" i="87"/>
  <c r="Z59" i="87"/>
  <c r="AH71" i="87"/>
  <c r="AR64" i="87"/>
  <c r="Y60" i="87"/>
  <c r="AR71" i="87"/>
  <c r="AT77" i="87"/>
  <c r="AL60" i="87"/>
  <c r="AD64" i="87"/>
  <c r="V68" i="87"/>
  <c r="AT72" i="87"/>
  <c r="AL76" i="87"/>
  <c r="H79" i="87"/>
  <c r="AR60" i="87"/>
  <c r="AI49" i="87"/>
  <c r="AA53" i="87"/>
  <c r="I58" i="87"/>
  <c r="I62" i="87"/>
  <c r="AR65" i="87"/>
  <c r="Y70" i="87"/>
  <c r="Q74" i="87"/>
  <c r="I78" i="87"/>
  <c r="H60" i="87"/>
  <c r="AQ63" i="87"/>
  <c r="AI67" i="87"/>
  <c r="P72" i="87"/>
  <c r="AP53" i="87"/>
  <c r="P39" i="87"/>
  <c r="Q48" i="87"/>
  <c r="AV55" i="87"/>
  <c r="O39" i="87"/>
  <c r="AM43" i="87"/>
  <c r="AE47" i="87"/>
  <c r="W51" i="87"/>
  <c r="I56" i="87"/>
  <c r="AM37" i="87"/>
  <c r="AE41" i="87"/>
  <c r="L46" i="87"/>
  <c r="AU49" i="87"/>
  <c r="AM53" i="87"/>
  <c r="U58" i="87"/>
  <c r="U62" i="87"/>
  <c r="X65" i="87"/>
  <c r="AA68" i="87"/>
  <c r="Z71" i="87"/>
  <c r="AC74" i="87"/>
  <c r="AF77" i="87"/>
  <c r="V58" i="87"/>
  <c r="AB64" i="87"/>
  <c r="AD70" i="87"/>
  <c r="O75" i="87"/>
  <c r="AD78" i="87"/>
  <c r="Q60" i="87"/>
  <c r="T63" i="87"/>
  <c r="W66" i="87"/>
  <c r="V69" i="87"/>
  <c r="Y72" i="87"/>
  <c r="AB75" i="87"/>
  <c r="AU55" i="87"/>
  <c r="I59" i="87"/>
  <c r="L62" i="87"/>
  <c r="O65" i="87"/>
  <c r="N68" i="87"/>
  <c r="Q71" i="87"/>
  <c r="T74" i="87"/>
  <c r="W77" i="87"/>
  <c r="N79" i="87"/>
  <c r="AO65" i="87"/>
  <c r="AU71" i="87"/>
  <c r="AQ75" i="87"/>
  <c r="N78" i="87"/>
  <c r="AS60" i="87"/>
  <c r="AV63" i="87"/>
  <c r="H67" i="87"/>
  <c r="K70" i="87"/>
  <c r="J73" i="87"/>
  <c r="M76" i="87"/>
  <c r="AH56" i="87"/>
  <c r="AK59" i="87"/>
  <c r="AN62" i="87"/>
  <c r="AQ65" i="87"/>
  <c r="AP68" i="87"/>
  <c r="AS71" i="87"/>
  <c r="AV74" i="87"/>
  <c r="AB78" i="87"/>
  <c r="AV78" i="87"/>
  <c r="AW61" i="87"/>
  <c r="Q69" i="87"/>
  <c r="Z74" i="87"/>
  <c r="AC77" i="87"/>
  <c r="AF59" i="87"/>
  <c r="AI62" i="87"/>
  <c r="AH65" i="87"/>
  <c r="AK68" i="87"/>
  <c r="AN71" i="87"/>
  <c r="AQ74" i="87"/>
  <c r="AP77" i="87"/>
  <c r="X58" i="87"/>
  <c r="AA61" i="87"/>
  <c r="Z64" i="87"/>
  <c r="AC67" i="87"/>
  <c r="AF70" i="87"/>
  <c r="AI73" i="87"/>
  <c r="AH76" i="87"/>
  <c r="L79" i="87"/>
  <c r="AT58" i="87"/>
  <c r="AG69" i="87"/>
  <c r="AH74" i="87"/>
  <c r="AM77" i="87"/>
  <c r="AN59" i="87"/>
  <c r="AQ62" i="87"/>
  <c r="AP65" i="87"/>
  <c r="AS68" i="87"/>
  <c r="AV71" i="87"/>
  <c r="H75" i="87"/>
  <c r="K78" i="87"/>
  <c r="AF58" i="87"/>
  <c r="AI61" i="87"/>
  <c r="AH64" i="87"/>
  <c r="AK67" i="87"/>
  <c r="AN70" i="87"/>
  <c r="AQ73" i="87"/>
  <c r="AP76" i="87"/>
  <c r="Z79" i="87"/>
  <c r="U79" i="87"/>
  <c r="AT66" i="87"/>
  <c r="I73" i="87"/>
  <c r="X76" i="87"/>
  <c r="AS78" i="87"/>
  <c r="Z61" i="87"/>
  <c r="AC64" i="87"/>
  <c r="AF67" i="87"/>
  <c r="AI70" i="87"/>
  <c r="AH73" i="87"/>
  <c r="AK76" i="87"/>
  <c r="S57" i="87"/>
  <c r="R60" i="87"/>
  <c r="U63" i="87"/>
  <c r="X66" i="87"/>
  <c r="AA69" i="87"/>
  <c r="Z72" i="87"/>
  <c r="AC75" i="87"/>
  <c r="AI78" i="87"/>
  <c r="AV79" i="87"/>
  <c r="R78" i="87"/>
  <c r="E172" i="87"/>
  <c r="M37" i="87"/>
  <c r="AC46" i="87"/>
  <c r="P52" i="87"/>
  <c r="R43" i="87"/>
  <c r="AV48" i="87"/>
  <c r="M46" i="87"/>
  <c r="AQ51" i="87"/>
  <c r="S53" i="87"/>
  <c r="AB69" i="87"/>
  <c r="AP62" i="87"/>
  <c r="AU38" i="87"/>
  <c r="AL42" i="87"/>
  <c r="AF36" i="87"/>
  <c r="AT48" i="87"/>
  <c r="X61" i="87"/>
  <c r="AF73" i="87"/>
  <c r="AJ68" i="87"/>
  <c r="W62" i="87"/>
  <c r="AE74" i="87"/>
  <c r="N64" i="87"/>
  <c r="V76" i="87"/>
  <c r="S49" i="87"/>
  <c r="AJ61" i="87"/>
  <c r="AR73" i="87"/>
  <c r="AA63" i="87"/>
  <c r="J53" i="87"/>
  <c r="P55" i="87"/>
  <c r="O47" i="87"/>
  <c r="W37" i="87"/>
  <c r="AE49" i="87"/>
  <c r="AV61" i="87"/>
  <c r="M74" i="87"/>
  <c r="AO69" i="87"/>
  <c r="AU62" i="87"/>
  <c r="L75" i="87"/>
  <c r="AL64" i="87"/>
  <c r="AT76" i="87"/>
  <c r="AQ49" i="87"/>
  <c r="Q62" i="87"/>
  <c r="Y74" i="87"/>
  <c r="H64" i="87"/>
  <c r="S54" i="87"/>
  <c r="AD34" i="87"/>
  <c r="AM47" i="87"/>
  <c r="AU37" i="87"/>
  <c r="L50" i="87"/>
  <c r="AC62" i="87"/>
  <c r="AK74" i="87"/>
  <c r="AT70" i="87"/>
  <c r="AB63" i="87"/>
  <c r="AG72" i="87"/>
  <c r="N56" i="87"/>
  <c r="AE61" i="87"/>
  <c r="W65" i="87"/>
  <c r="AU69" i="87"/>
  <c r="AM73" i="87"/>
  <c r="AE77" i="87"/>
  <c r="AK79" i="87"/>
  <c r="V62" i="87"/>
  <c r="X50" i="87"/>
  <c r="AV54" i="87"/>
  <c r="AO62" i="87"/>
  <c r="V67" i="87"/>
  <c r="AW58" i="87"/>
  <c r="AN60" i="87"/>
  <c r="AB55" i="87"/>
  <c r="AJ40" i="87"/>
  <c r="AO56" i="87"/>
  <c r="AJ50" i="87"/>
  <c r="M66" i="87"/>
  <c r="U78" i="87"/>
  <c r="AU75" i="87"/>
  <c r="L67" i="87"/>
  <c r="AL56" i="87"/>
  <c r="AT68" i="87"/>
  <c r="AO79" i="87"/>
  <c r="AU79" i="87"/>
  <c r="AQ70" i="87"/>
  <c r="Z60" i="87"/>
  <c r="AH72" i="87"/>
  <c r="AJ64" i="87"/>
  <c r="U60" i="87"/>
  <c r="AC72" i="87"/>
  <c r="P62" i="87"/>
  <c r="X74" i="87"/>
  <c r="O71" i="87"/>
  <c r="AF63" i="87"/>
  <c r="AN75" i="87"/>
  <c r="AA65" i="87"/>
  <c r="AI77" i="87"/>
  <c r="J74" i="87"/>
  <c r="R65" i="87"/>
  <c r="Z77" i="87"/>
  <c r="M67" i="87"/>
  <c r="AI79" i="87"/>
  <c r="R56" i="87"/>
  <c r="I79" i="87"/>
  <c r="U68" i="87"/>
  <c r="P70" i="87"/>
  <c r="AA57" i="87"/>
  <c r="Z69" i="87"/>
  <c r="AC60" i="87"/>
  <c r="AF74" i="87"/>
  <c r="AA74" i="87"/>
  <c r="N71" i="87"/>
  <c r="AF64" i="87"/>
  <c r="K42" i="87"/>
  <c r="AB44" i="87"/>
  <c r="AB38" i="87"/>
  <c r="Q55" i="87"/>
  <c r="P69" i="87"/>
  <c r="AU59" i="87"/>
  <c r="V78" i="87"/>
  <c r="O70" i="87"/>
  <c r="AO59" i="87"/>
  <c r="AW71" i="87"/>
  <c r="W67" i="87"/>
  <c r="AH61" i="87"/>
  <c r="AP73" i="87"/>
  <c r="AC63" i="87"/>
  <c r="AK75" i="87"/>
  <c r="AL70" i="87"/>
  <c r="X63" i="87"/>
  <c r="AF75" i="87"/>
  <c r="S65" i="87"/>
  <c r="AA77" i="87"/>
  <c r="AA75" i="87"/>
  <c r="AI66" i="87"/>
  <c r="Z68" i="87"/>
  <c r="M77" i="87"/>
  <c r="H58" i="87"/>
  <c r="AD79" i="87"/>
  <c r="AR79" i="87"/>
  <c r="U71" i="87"/>
  <c r="AK72" i="87"/>
  <c r="AB68" i="87"/>
  <c r="J64" i="87"/>
  <c r="AW74" i="87"/>
  <c r="M69" i="87"/>
  <c r="AH49" i="87"/>
  <c r="T48" i="87"/>
  <c r="I43" i="87"/>
  <c r="R59" i="87"/>
  <c r="S72" i="87"/>
  <c r="AW65" i="87"/>
  <c r="AW60" i="87"/>
  <c r="N73" i="87"/>
  <c r="AR62" i="87"/>
  <c r="I75" i="87"/>
  <c r="Y73" i="87"/>
  <c r="AK64" i="87"/>
  <c r="AS76" i="87"/>
  <c r="AF66" i="87"/>
  <c r="AW79" i="87"/>
  <c r="S75" i="87"/>
  <c r="AA66" i="87"/>
  <c r="J56" i="87"/>
  <c r="R68" i="87"/>
  <c r="AN79" i="87"/>
  <c r="AP78" i="87"/>
  <c r="AH69" i="87"/>
  <c r="U59" i="87"/>
  <c r="AC71" i="87"/>
  <c r="AB60" i="87"/>
  <c r="P59" i="87"/>
  <c r="X71" i="87"/>
  <c r="K61" i="87"/>
  <c r="S73" i="87"/>
  <c r="X79" i="87"/>
  <c r="AV56" i="87"/>
  <c r="AV72" i="87"/>
  <c r="AM35" i="87"/>
  <c r="AR52" i="87"/>
  <c r="AR46" i="87"/>
  <c r="J63" i="87"/>
  <c r="R75" i="87"/>
  <c r="L72" i="87"/>
  <c r="I64" i="87"/>
  <c r="Q76" i="87"/>
  <c r="AU65" i="87"/>
  <c r="AJ78" i="87"/>
  <c r="AF76" i="87"/>
  <c r="AN67" i="87"/>
  <c r="AI69" i="87"/>
  <c r="AH78" i="87"/>
  <c r="M59" i="87"/>
  <c r="T64" i="87"/>
  <c r="X62" i="87"/>
  <c r="S62" i="87"/>
  <c r="R76" i="87"/>
  <c r="L8" i="177" l="1"/>
  <c r="N11" i="177"/>
  <c r="O9" i="177"/>
  <c r="B11" i="177"/>
  <c r="D11" i="177" s="1"/>
  <c r="I9" i="177"/>
  <c r="L12" i="177"/>
  <c r="L13" i="177"/>
  <c r="L14" i="177"/>
  <c r="L15" i="177"/>
  <c r="F8" i="177"/>
  <c r="F10" i="177"/>
  <c r="F13" i="177"/>
  <c r="F7" i="177"/>
  <c r="L7" i="177"/>
  <c r="C8" i="177"/>
  <c r="M8" i="177"/>
  <c r="O8" i="177"/>
  <c r="F9" i="177"/>
  <c r="L9" i="177"/>
  <c r="C10" i="177"/>
  <c r="M10" i="177"/>
  <c r="O10" i="177"/>
  <c r="G12" i="177"/>
  <c r="I12" i="177"/>
  <c r="G13" i="177"/>
  <c r="I13" i="177"/>
  <c r="G14" i="177"/>
  <c r="I14" i="177"/>
  <c r="G15" i="177"/>
  <c r="I15" i="177"/>
  <c r="G8" i="177"/>
  <c r="I8" i="177"/>
  <c r="D9" i="177"/>
  <c r="J9" i="177"/>
  <c r="P9" i="177"/>
  <c r="G10" i="177"/>
  <c r="I10" i="177"/>
  <c r="L10" i="177"/>
  <c r="C12" i="177"/>
  <c r="F12" i="177"/>
  <c r="M12" i="177"/>
  <c r="O12" i="177"/>
  <c r="M13" i="177"/>
  <c r="O13" i="177"/>
  <c r="F14" i="177"/>
  <c r="M14" i="177"/>
  <c r="O14" i="177"/>
  <c r="F15" i="177"/>
  <c r="M15" i="177"/>
  <c r="P15" i="177"/>
  <c r="C11" i="177"/>
  <c r="J11" i="177"/>
  <c r="I11" i="177"/>
  <c r="P11" i="177"/>
  <c r="O11" i="177"/>
  <c r="C7" i="177"/>
  <c r="G7" i="177"/>
  <c r="I7" i="177"/>
  <c r="M7" i="177"/>
  <c r="O7" i="177"/>
  <c r="D8" i="177"/>
  <c r="J8" i="177"/>
  <c r="P8" i="177"/>
  <c r="G9" i="177"/>
  <c r="M9" i="177"/>
  <c r="D10" i="177"/>
  <c r="J10" i="177"/>
  <c r="P10" i="177"/>
  <c r="E11" i="177"/>
  <c r="K11" i="177"/>
  <c r="D12" i="177"/>
  <c r="J12" i="177"/>
  <c r="P12" i="177"/>
  <c r="J13" i="177"/>
  <c r="P13" i="177"/>
  <c r="J14" i="177"/>
  <c r="P14" i="177"/>
  <c r="J15" i="177"/>
  <c r="D7" i="177"/>
  <c r="J7" i="177"/>
  <c r="P7" i="177"/>
  <c r="O15" i="177"/>
  <c r="L11" i="177" l="1"/>
  <c r="M11" i="177"/>
  <c r="F11" i="177"/>
  <c r="G11" i="177"/>
  <c r="Y92" i="87"/>
  <c r="Q116" i="87"/>
  <c r="H104" i="87"/>
  <c r="X85" i="87"/>
  <c r="AE108" i="87"/>
  <c r="V96" i="87"/>
  <c r="AD120" i="87"/>
  <c r="J146" i="87"/>
  <c r="AT93" i="87"/>
  <c r="AT106" i="87"/>
  <c r="X99" i="87"/>
  <c r="AI107" i="87"/>
  <c r="AD97" i="87"/>
  <c r="S83" i="87"/>
  <c r="AB108" i="87"/>
  <c r="AR89" i="87"/>
  <c r="U114" i="87"/>
  <c r="AP100" i="87"/>
  <c r="W127" i="87"/>
  <c r="O151" i="87"/>
  <c r="V101" i="87"/>
  <c r="AI111" i="87"/>
  <c r="AQ102" i="87"/>
  <c r="AO113" i="87"/>
  <c r="AD80" i="87"/>
  <c r="T132" i="87"/>
  <c r="AN90" i="87"/>
  <c r="AF95" i="87"/>
  <c r="AD89" i="87"/>
  <c r="AS101" i="87"/>
  <c r="AI104" i="87"/>
  <c r="R116" i="87"/>
  <c r="J93" i="87"/>
  <c r="AW116" i="87"/>
  <c r="AN104" i="87"/>
  <c r="I86" i="87"/>
  <c r="P109" i="87"/>
  <c r="AM97" i="87"/>
  <c r="O121" i="87"/>
  <c r="AP146" i="87"/>
  <c r="P95" i="87"/>
  <c r="P108" i="87"/>
  <c r="AO100" i="87"/>
  <c r="V110" i="87"/>
  <c r="O98" i="87"/>
  <c r="AJ84" i="87"/>
  <c r="M109" i="87"/>
  <c r="AC90" i="87"/>
  <c r="AL115" i="87"/>
  <c r="AA101" i="87"/>
  <c r="H128" i="87"/>
  <c r="AU151" i="87"/>
  <c r="AM102" i="87"/>
  <c r="V114" i="87"/>
  <c r="M104" i="87"/>
  <c r="K115" i="87"/>
  <c r="AU81" i="87"/>
  <c r="AK133" i="87"/>
  <c r="AA93" i="87"/>
  <c r="S98" i="87"/>
  <c r="AU90" i="87"/>
  <c r="O103" i="87"/>
  <c r="V107" i="87"/>
  <c r="U119" i="87"/>
  <c r="AC96" i="87"/>
  <c r="AI83" i="87"/>
  <c r="L108" i="87"/>
  <c r="AB89" i="87"/>
  <c r="T113" i="87"/>
  <c r="K101" i="87"/>
  <c r="V126" i="87"/>
  <c r="N150" i="87"/>
  <c r="AO104" i="87"/>
  <c r="J118" i="87"/>
  <c r="AF107" i="87"/>
  <c r="AC117" i="87"/>
  <c r="AH101" i="87"/>
  <c r="AN88" i="87"/>
  <c r="AF112" i="87"/>
  <c r="AV93" i="87"/>
  <c r="AM81" i="87"/>
  <c r="AT104" i="87"/>
  <c r="AA131" i="87"/>
  <c r="S155" i="87"/>
  <c r="AD109" i="87"/>
  <c r="AC121" i="87"/>
  <c r="U112" i="87"/>
  <c r="R122" i="87"/>
  <c r="H90" i="87"/>
  <c r="AS141" i="87"/>
  <c r="I107" i="87"/>
  <c r="AI114" i="87"/>
  <c r="H99" i="87"/>
  <c r="W111" i="87"/>
  <c r="M114" i="87"/>
  <c r="O127" i="87"/>
  <c r="N97" i="87"/>
  <c r="T84" i="87"/>
  <c r="AR108" i="87"/>
  <c r="M90" i="87"/>
  <c r="AK114" i="87"/>
  <c r="AQ101" i="87"/>
  <c r="AM127" i="87"/>
  <c r="AT150" i="87"/>
  <c r="K106" i="87"/>
  <c r="AA119" i="87"/>
  <c r="AW108" i="87"/>
  <c r="AT118" i="87"/>
  <c r="S102" i="87"/>
  <c r="Y89" i="87"/>
  <c r="Q113" i="87"/>
  <c r="AG94" i="87"/>
  <c r="X82" i="87"/>
  <c r="AE105" i="87"/>
  <c r="L132" i="87"/>
  <c r="AJ156" i="87"/>
  <c r="AU110" i="87"/>
  <c r="AT122" i="87"/>
  <c r="AL113" i="87"/>
  <c r="AI123" i="87"/>
  <c r="Y91" i="87"/>
  <c r="O143" i="87"/>
  <c r="AQ109" i="87"/>
  <c r="V117" i="87"/>
  <c r="Y100" i="87"/>
  <c r="AN112" i="87"/>
  <c r="AD115" i="87"/>
  <c r="AF128" i="87"/>
  <c r="AG100" i="87"/>
  <c r="I89" i="87"/>
  <c r="P112" i="87"/>
  <c r="AF93" i="87"/>
  <c r="W81" i="87"/>
  <c r="O105" i="87"/>
  <c r="K131" i="87"/>
  <c r="R154" i="87"/>
  <c r="AW112" i="87"/>
  <c r="Y82" i="87"/>
  <c r="J117" i="87"/>
  <c r="AT81" i="87"/>
  <c r="H107" i="87"/>
  <c r="AR92" i="87"/>
  <c r="AK117" i="87"/>
  <c r="V99" i="87"/>
  <c r="AQ85" i="87"/>
  <c r="AI109" i="87"/>
  <c r="AE135" i="87"/>
  <c r="AN160" i="87"/>
  <c r="AK81" i="87"/>
  <c r="AR85" i="87"/>
  <c r="Z82" i="87"/>
  <c r="AG86" i="87"/>
  <c r="P98" i="87"/>
  <c r="W151" i="87"/>
  <c r="AE127" i="87"/>
  <c r="AI95" i="87"/>
  <c r="P107" i="87"/>
  <c r="AU119" i="87"/>
  <c r="T86" i="87"/>
  <c r="AN136" i="87"/>
  <c r="R101" i="87"/>
  <c r="AO89" i="87"/>
  <c r="AV112" i="87"/>
  <c r="Q94" i="87"/>
  <c r="H82" i="87"/>
  <c r="AU105" i="87"/>
  <c r="AQ131" i="87"/>
  <c r="AI155" i="87"/>
  <c r="S114" i="87"/>
  <c r="AP83" i="87"/>
  <c r="X80" i="87"/>
  <c r="AE82" i="87"/>
  <c r="AN107" i="87"/>
  <c r="AC93" i="87"/>
  <c r="V118" i="87"/>
  <c r="AM100" i="87"/>
  <c r="AB86" i="87"/>
  <c r="T110" i="87"/>
  <c r="P136" i="87"/>
  <c r="Y161" i="87"/>
  <c r="X84" i="87"/>
  <c r="N87" i="87"/>
  <c r="AQ83" i="87"/>
  <c r="T89" i="87"/>
  <c r="AG99" i="87"/>
  <c r="AN152" i="87"/>
  <c r="R130" i="87"/>
  <c r="V98" i="87"/>
  <c r="AG108" i="87"/>
  <c r="Q121" i="87"/>
  <c r="AK87" i="87"/>
  <c r="AD81" i="87"/>
  <c r="AM106" i="87"/>
  <c r="M93" i="87"/>
  <c r="O117" i="87"/>
  <c r="U98" i="87"/>
  <c r="AA85" i="87"/>
  <c r="S109" i="87"/>
  <c r="O135" i="87"/>
  <c r="X160" i="87"/>
  <c r="Z86" i="87"/>
  <c r="AG90" i="87"/>
  <c r="O87" i="87"/>
  <c r="AI86" i="87"/>
  <c r="L111" i="87"/>
  <c r="AV96" i="87"/>
  <c r="Z122" i="87"/>
  <c r="K104" i="87"/>
  <c r="AU89" i="87"/>
  <c r="I115" i="87"/>
  <c r="T140" i="87"/>
  <c r="S120" i="87"/>
  <c r="O91" i="87"/>
  <c r="W82" i="87"/>
  <c r="AH90" i="87"/>
  <c r="AB97" i="87"/>
  <c r="K109" i="87"/>
  <c r="AE84" i="87"/>
  <c r="AH146" i="87"/>
  <c r="AL114" i="87"/>
  <c r="H80" i="87"/>
  <c r="O84" i="87"/>
  <c r="AS95" i="87"/>
  <c r="O82" i="87"/>
  <c r="X107" i="87"/>
  <c r="AS93" i="87"/>
  <c r="AL118" i="87"/>
  <c r="AL99" i="87"/>
  <c r="L86" i="87"/>
  <c r="AJ110" i="87"/>
  <c r="AU135" i="87"/>
  <c r="I161" i="87"/>
  <c r="AQ87" i="87"/>
  <c r="T93" i="87"/>
  <c r="AF88" i="87"/>
  <c r="T87" i="87"/>
  <c r="AR111" i="87"/>
  <c r="AG97" i="87"/>
  <c r="K123" i="87"/>
  <c r="AQ104" i="87"/>
  <c r="AF90" i="87"/>
  <c r="AO115" i="87"/>
  <c r="AK141" i="87"/>
  <c r="AW80" i="87"/>
  <c r="AF92" i="87"/>
  <c r="AN83" i="87"/>
  <c r="U93" i="87"/>
  <c r="AS98" i="87"/>
  <c r="AB110" i="87"/>
  <c r="R87" i="87"/>
  <c r="U149" i="87"/>
  <c r="AO117" i="87"/>
  <c r="Y81" i="87"/>
  <c r="AT97" i="87"/>
  <c r="AK85" i="87"/>
  <c r="AC109" i="87"/>
  <c r="AS90" i="87"/>
  <c r="V115" i="87"/>
  <c r="AB102" i="87"/>
  <c r="X128" i="87"/>
  <c r="AE151" i="87"/>
  <c r="AB107" i="87"/>
  <c r="AR120" i="87"/>
  <c r="S110" i="87"/>
  <c r="P120" i="87"/>
  <c r="AJ103" i="87"/>
  <c r="J90" i="87"/>
  <c r="AW113" i="87"/>
  <c r="R95" i="87"/>
  <c r="I83" i="87"/>
  <c r="P106" i="87"/>
  <c r="AR132" i="87"/>
  <c r="U157" i="87"/>
  <c r="Q112" i="87"/>
  <c r="W80" i="87"/>
  <c r="H115" i="87"/>
  <c r="L81" i="87"/>
  <c r="AP92" i="87"/>
  <c r="AF144" i="87"/>
  <c r="AD112" i="87"/>
  <c r="AN84" i="87"/>
  <c r="AP101" i="87"/>
  <c r="J114" i="87"/>
  <c r="AU116" i="87"/>
  <c r="AW129" i="87"/>
  <c r="AE98" i="87"/>
  <c r="V86" i="87"/>
  <c r="N110" i="87"/>
  <c r="AD91" i="87"/>
  <c r="AM116" i="87"/>
  <c r="M103" i="87"/>
  <c r="I129" i="87"/>
  <c r="P152" i="87"/>
  <c r="AS108" i="87"/>
  <c r="N122" i="87"/>
  <c r="AJ111" i="87"/>
  <c r="AG121" i="87"/>
  <c r="U104" i="87"/>
  <c r="AP90" i="87"/>
  <c r="AH114" i="87"/>
  <c r="AI96" i="87"/>
  <c r="AO83" i="87"/>
  <c r="AV106" i="87"/>
  <c r="AC133" i="87"/>
  <c r="AL158" i="87"/>
  <c r="AH113" i="87"/>
  <c r="AN81" i="87"/>
  <c r="Y116" i="87"/>
  <c r="AC82" i="87"/>
  <c r="L94" i="87"/>
  <c r="AW145" i="87"/>
  <c r="Q115" i="87"/>
  <c r="AA87" i="87"/>
  <c r="L103" i="87"/>
  <c r="AA115" i="87"/>
  <c r="AT80" i="87"/>
  <c r="S131" i="87"/>
  <c r="AI102" i="87"/>
  <c r="Z90" i="87"/>
  <c r="AG113" i="87"/>
  <c r="AW94" i="87"/>
  <c r="AN82" i="87"/>
  <c r="AF106" i="87"/>
  <c r="AB132" i="87"/>
  <c r="T156" i="87"/>
  <c r="AJ115" i="87"/>
  <c r="L85" i="87"/>
  <c r="AO81" i="87"/>
  <c r="P83" i="87"/>
  <c r="Y108" i="87"/>
  <c r="N94" i="87"/>
  <c r="AM119" i="87"/>
  <c r="X101" i="87"/>
  <c r="M87" i="87"/>
  <c r="AK111" i="87"/>
  <c r="AV136" i="87"/>
  <c r="AF117" i="87"/>
  <c r="AO85" i="87"/>
  <c r="AE88" i="87"/>
  <c r="M85" i="87"/>
  <c r="AK90" i="87"/>
  <c r="T102" i="87"/>
  <c r="J154" i="87"/>
  <c r="AM135" i="87"/>
  <c r="I101" i="87"/>
  <c r="T111" i="87"/>
  <c r="AH122" i="87"/>
  <c r="X90" i="87"/>
  <c r="F79" i="87"/>
  <c r="T103" i="87"/>
  <c r="K91" i="87"/>
  <c r="R114" i="87"/>
  <c r="AH95" i="87"/>
  <c r="Y83" i="87"/>
  <c r="Q107" i="87"/>
  <c r="M133" i="87"/>
  <c r="AK157" i="87"/>
  <c r="V82" i="87"/>
  <c r="AC86" i="87"/>
  <c r="K83" i="87"/>
  <c r="AV83" i="87"/>
  <c r="J109" i="87"/>
  <c r="AT94" i="87"/>
  <c r="X120" i="87"/>
  <c r="I102" i="87"/>
  <c r="AS87" i="87"/>
  <c r="V112" i="87"/>
  <c r="AG137" i="87"/>
  <c r="Q118" i="87"/>
  <c r="K87" i="87"/>
  <c r="AV89" i="87"/>
  <c r="AD86" i="87"/>
  <c r="X93" i="87"/>
  <c r="AK103" i="87"/>
  <c r="AA155" i="87"/>
  <c r="Z138" i="87"/>
  <c r="AQ103" i="87"/>
  <c r="AK112" i="87"/>
  <c r="I80" i="87"/>
  <c r="AO91" i="87"/>
  <c r="AU82" i="87"/>
  <c r="I108" i="87"/>
  <c r="AD94" i="87"/>
  <c r="W119" i="87"/>
  <c r="W100" i="87"/>
  <c r="AR86" i="87"/>
  <c r="U111" i="87"/>
  <c r="AF136" i="87"/>
  <c r="AV117" i="87"/>
  <c r="M89" i="87"/>
  <c r="U80" i="87"/>
  <c r="AW89" i="87"/>
  <c r="AK88" i="87"/>
  <c r="AC112" i="87"/>
  <c r="R98" i="87"/>
  <c r="S80" i="87"/>
  <c r="AB105" i="87"/>
  <c r="Q91" i="87"/>
  <c r="Z116" i="87"/>
  <c r="V142" i="87"/>
  <c r="S82" i="87"/>
  <c r="AW93" i="87"/>
  <c r="J85" i="87"/>
  <c r="AL94" i="87"/>
  <c r="O100" i="87"/>
  <c r="AS111" i="87"/>
  <c r="AM92" i="87"/>
  <c r="H152" i="87"/>
  <c r="AB120" i="87"/>
  <c r="AP82" i="87"/>
  <c r="AW86" i="87"/>
  <c r="AF98" i="87"/>
  <c r="AF83" i="87"/>
  <c r="AO108" i="87"/>
  <c r="O95" i="87"/>
  <c r="H120" i="87"/>
  <c r="H101" i="87"/>
  <c r="AC87" i="87"/>
  <c r="AL112" i="87"/>
  <c r="Q137" i="87"/>
  <c r="AG118" i="87"/>
  <c r="AD90" i="87"/>
  <c r="AL81" i="87"/>
  <c r="S91" i="87"/>
  <c r="V89" i="87"/>
  <c r="N113" i="87"/>
  <c r="AI99" i="87"/>
  <c r="AJ81" i="87"/>
  <c r="M106" i="87"/>
  <c r="AW91" i="87"/>
  <c r="AA117" i="87"/>
  <c r="AM143" i="87"/>
  <c r="AJ83" i="87"/>
  <c r="S95" i="87"/>
  <c r="AA86" i="87"/>
  <c r="H96" i="87"/>
  <c r="AF101" i="87"/>
  <c r="O113" i="87"/>
  <c r="Z95" i="87"/>
  <c r="AP154" i="87"/>
  <c r="O123" i="87"/>
  <c r="L84" i="87"/>
  <c r="S88" i="87"/>
  <c r="AW99" i="87"/>
  <c r="AJ87" i="87"/>
  <c r="M112" i="87"/>
  <c r="AH98" i="87"/>
  <c r="AA123" i="87"/>
  <c r="AA104" i="87"/>
  <c r="AV90" i="87"/>
  <c r="J116" i="87"/>
  <c r="U141" i="87"/>
  <c r="AL85" i="87"/>
  <c r="AL98" i="87"/>
  <c r="AC88" i="87"/>
  <c r="AA99" i="87"/>
  <c r="Z93" i="87"/>
  <c r="AG116" i="87"/>
  <c r="X104" i="87"/>
  <c r="AN85" i="87"/>
  <c r="AF109" i="87"/>
  <c r="AL96" i="87"/>
  <c r="AT120" i="87"/>
  <c r="K147" i="87"/>
  <c r="AR91" i="87"/>
  <c r="AA103" i="87"/>
  <c r="R93" i="87"/>
  <c r="AT102" i="87"/>
  <c r="AN109" i="87"/>
  <c r="AQ121" i="87"/>
  <c r="H109" i="87"/>
  <c r="Y118" i="87"/>
  <c r="V81" i="87"/>
  <c r="T92" i="87"/>
  <c r="AA96" i="87"/>
  <c r="J108" i="87"/>
  <c r="U88" i="87"/>
  <c r="AS112" i="87"/>
  <c r="S99" i="87"/>
  <c r="AI80" i="87"/>
  <c r="L105" i="87"/>
  <c r="AG91" i="87"/>
  <c r="AP116" i="87"/>
  <c r="AL142" i="87"/>
  <c r="H87" i="87"/>
  <c r="H100" i="87"/>
  <c r="AT89" i="87"/>
  <c r="AR100" i="87"/>
  <c r="K94" i="87"/>
  <c r="R117" i="87"/>
  <c r="I105" i="87"/>
  <c r="Y86" i="87"/>
  <c r="Q110" i="87"/>
  <c r="W97" i="87"/>
  <c r="AE121" i="87"/>
  <c r="AQ147" i="87"/>
  <c r="N93" i="87"/>
  <c r="AR104" i="87"/>
  <c r="AI94" i="87"/>
  <c r="P104" i="87"/>
  <c r="J111" i="87"/>
  <c r="L124" i="87"/>
  <c r="AP111" i="87"/>
  <c r="AP119" i="87"/>
  <c r="AM82" i="87"/>
  <c r="AK93" i="87"/>
  <c r="AR97" i="87"/>
  <c r="AA109" i="87"/>
  <c r="M80" i="87"/>
  <c r="AK104" i="87"/>
  <c r="AQ91" i="87"/>
  <c r="AI115" i="87"/>
  <c r="S96" i="87"/>
  <c r="J84" i="87"/>
  <c r="AW107" i="87"/>
  <c r="AS133" i="87"/>
  <c r="V158" i="87"/>
  <c r="AM83" i="87"/>
  <c r="AT87" i="87"/>
  <c r="AB84" i="87"/>
  <c r="AG84" i="87"/>
  <c r="AP109" i="87"/>
  <c r="AE95" i="87"/>
  <c r="I121" i="87"/>
  <c r="AO102" i="87"/>
  <c r="AD88" i="87"/>
  <c r="AM113" i="87"/>
  <c r="R138" i="87"/>
  <c r="AW118" i="87"/>
  <c r="AB88" i="87"/>
  <c r="R91" i="87"/>
  <c r="AU87" i="87"/>
  <c r="AO94" i="87"/>
  <c r="X106" i="87"/>
  <c r="AR156" i="87"/>
  <c r="M141" i="87"/>
  <c r="AD106" i="87"/>
  <c r="X115" i="87"/>
  <c r="AB81" i="87"/>
  <c r="K93" i="87"/>
  <c r="AS80" i="87"/>
  <c r="V105" i="87"/>
  <c r="AB92" i="87"/>
  <c r="T116" i="87"/>
  <c r="AJ97" i="87"/>
  <c r="AP84" i="87"/>
  <c r="AH108" i="87"/>
  <c r="AD134" i="87"/>
  <c r="AM159" i="87"/>
  <c r="I85" i="87"/>
  <c r="P89" i="87"/>
  <c r="AS85" i="87"/>
  <c r="R85" i="87"/>
  <c r="AA110" i="87"/>
  <c r="P96" i="87"/>
  <c r="AO121" i="87"/>
  <c r="Z103" i="87"/>
  <c r="O89" i="87"/>
  <c r="X114" i="87"/>
  <c r="AI139" i="87"/>
  <c r="AH119" i="87"/>
  <c r="AS89" i="87"/>
  <c r="AI92" i="87"/>
  <c r="Q89" i="87"/>
  <c r="K96" i="87"/>
  <c r="AO107" i="87"/>
  <c r="AR81" i="87"/>
  <c r="AU143" i="87"/>
  <c r="Q109" i="87"/>
  <c r="AO116" i="87"/>
  <c r="AS82" i="87"/>
  <c r="AB94" i="87"/>
  <c r="Q84" i="87"/>
  <c r="Z109" i="87"/>
  <c r="AU95" i="87"/>
  <c r="AN120" i="87"/>
  <c r="AN101" i="87"/>
  <c r="N88" i="87"/>
  <c r="W113" i="87"/>
  <c r="AW137" i="87"/>
  <c r="R119" i="87"/>
  <c r="AU91" i="87"/>
  <c r="H83" i="87"/>
  <c r="AJ92" i="87"/>
  <c r="AM90" i="87"/>
  <c r="AT113" i="87"/>
  <c r="T100" i="87"/>
  <c r="U82" i="87"/>
  <c r="AS106" i="87"/>
  <c r="AH92" i="87"/>
  <c r="L118" i="87"/>
  <c r="X144" i="87"/>
  <c r="W86" i="87"/>
  <c r="AJ96" i="87"/>
  <c r="AR87" i="87"/>
  <c r="Y97" i="87"/>
  <c r="AW102" i="87"/>
  <c r="AF114" i="87"/>
  <c r="M98" i="87"/>
  <c r="AC157" i="87"/>
  <c r="I82" i="87"/>
  <c r="AC85" i="87"/>
  <c r="AJ89" i="87"/>
  <c r="S101" i="87"/>
  <c r="AW84" i="87"/>
  <c r="K110" i="87"/>
  <c r="AF96" i="87"/>
  <c r="Y121" i="87"/>
  <c r="Y102" i="87"/>
  <c r="AT88" i="87"/>
  <c r="H114" i="87"/>
  <c r="AH138" i="87"/>
  <c r="Q80" i="87"/>
  <c r="Q93" i="87"/>
  <c r="Y84" i="87"/>
  <c r="W95" i="87"/>
  <c r="X91" i="87"/>
  <c r="AE114" i="87"/>
  <c r="AK101" i="87"/>
  <c r="AL83" i="87"/>
  <c r="AD107" i="87"/>
  <c r="S93" i="87"/>
  <c r="AR118" i="87"/>
  <c r="I145" i="87"/>
  <c r="AN87" i="87"/>
  <c r="W99" i="87"/>
  <c r="N89" i="87"/>
  <c r="AP98" i="87"/>
  <c r="S104" i="87"/>
  <c r="AW115" i="87"/>
  <c r="AU100" i="87"/>
  <c r="AT158" i="87"/>
  <c r="AQ84" i="87"/>
  <c r="AT86" i="87"/>
  <c r="W92" i="87"/>
  <c r="AJ102" i="87"/>
  <c r="AL89" i="87"/>
  <c r="AD113" i="87"/>
  <c r="AJ100" i="87"/>
  <c r="T81" i="87"/>
  <c r="AR105" i="87"/>
  <c r="R92" i="87"/>
  <c r="AQ117" i="87"/>
  <c r="W143" i="87"/>
  <c r="Y88" i="87"/>
  <c r="Y101" i="87"/>
  <c r="P91" i="87"/>
  <c r="N102" i="87"/>
  <c r="AQ94" i="87"/>
  <c r="AF80" i="87"/>
  <c r="AO105" i="87"/>
  <c r="J87" i="87"/>
  <c r="AW110" i="87"/>
  <c r="H98" i="87"/>
  <c r="AR122" i="87"/>
  <c r="AB148" i="87"/>
  <c r="AE94" i="87"/>
  <c r="N106" i="87"/>
  <c r="V97" i="87"/>
  <c r="AG105" i="87"/>
  <c r="AA112" i="87"/>
  <c r="AC125" i="87"/>
  <c r="AC114" i="87"/>
  <c r="AK84" i="87"/>
  <c r="I84" i="87"/>
  <c r="X96" i="87"/>
  <c r="N99" i="87"/>
  <c r="AR110" i="87"/>
  <c r="W90" i="87"/>
  <c r="O114" i="87"/>
  <c r="U101" i="87"/>
  <c r="AK82" i="87"/>
  <c r="AC106" i="87"/>
  <c r="AI93" i="87"/>
  <c r="AB118" i="87"/>
  <c r="H144" i="87"/>
  <c r="AP89" i="87"/>
  <c r="AP102" i="87"/>
  <c r="AG92" i="87"/>
  <c r="AE103" i="87"/>
  <c r="AB95" i="87"/>
  <c r="Q81" i="87"/>
  <c r="Z106" i="87"/>
  <c r="AP87" i="87"/>
  <c r="AH111" i="87"/>
  <c r="AN98" i="87"/>
  <c r="AJ124" i="87"/>
  <c r="M149" i="87"/>
  <c r="AV95" i="87"/>
  <c r="AE107" i="87"/>
  <c r="AM98" i="87"/>
  <c r="T108" i="87"/>
  <c r="AR113" i="87"/>
  <c r="AT126" i="87"/>
  <c r="P117" i="87"/>
  <c r="X87" i="87"/>
  <c r="Z85" i="87"/>
  <c r="AO97" i="87"/>
  <c r="AE100" i="87"/>
  <c r="N112" i="87"/>
  <c r="AP93" i="87"/>
  <c r="P80" i="87"/>
  <c r="Y105" i="87"/>
  <c r="AO86" i="87"/>
  <c r="AV109" i="87"/>
  <c r="X98" i="87"/>
  <c r="L122" i="87"/>
  <c r="AA147" i="87"/>
  <c r="AG96" i="87"/>
  <c r="AG109" i="87"/>
  <c r="K102" i="87"/>
  <c r="AM111" i="87"/>
  <c r="AU98" i="87"/>
  <c r="U85" i="87"/>
  <c r="AS109" i="87"/>
  <c r="N91" i="87"/>
  <c r="W116" i="87"/>
  <c r="L102" i="87"/>
  <c r="AN128" i="87"/>
  <c r="AF152" i="87"/>
  <c r="I104" i="87"/>
  <c r="AM115" i="87"/>
  <c r="AD105" i="87"/>
  <c r="AB116" i="87"/>
  <c r="Q83" i="87"/>
  <c r="X136" i="87"/>
  <c r="N96" i="87"/>
  <c r="AN103" i="87"/>
  <c r="Q92" i="87"/>
  <c r="AF104" i="87"/>
  <c r="AM108" i="87"/>
  <c r="AL120" i="87"/>
  <c r="AA94" i="87"/>
  <c r="AV80" i="87"/>
  <c r="J106" i="87"/>
  <c r="Z87" i="87"/>
  <c r="AG110" i="87"/>
  <c r="I99" i="87"/>
  <c r="AC123" i="87"/>
  <c r="L148" i="87"/>
  <c r="T99" i="87"/>
  <c r="T112" i="87"/>
  <c r="AB103" i="87"/>
  <c r="I113" i="87"/>
  <c r="AF99" i="87"/>
  <c r="AL86" i="87"/>
  <c r="AD110" i="87"/>
  <c r="AT91" i="87"/>
  <c r="H117" i="87"/>
  <c r="AR102" i="87"/>
  <c r="Y129" i="87"/>
  <c r="Q153" i="87"/>
  <c r="Z105" i="87"/>
  <c r="W117" i="87"/>
  <c r="AU106" i="87"/>
  <c r="N118" i="87"/>
  <c r="AH84" i="87"/>
  <c r="AO137" i="87"/>
  <c r="AV98" i="87"/>
  <c r="AA106" i="87"/>
  <c r="AH93" i="87"/>
  <c r="AW105" i="87"/>
  <c r="I110" i="87"/>
  <c r="AB122" i="87"/>
  <c r="Q161" i="87"/>
  <c r="AS86" i="87"/>
  <c r="AT100" i="87"/>
  <c r="S151" i="87"/>
  <c r="AO138" i="87"/>
  <c r="X162" i="87"/>
  <c r="AH85" i="87"/>
  <c r="AQ110" i="87"/>
  <c r="Q97" i="87"/>
  <c r="J122" i="87"/>
  <c r="J103" i="87"/>
  <c r="AE89" i="87"/>
  <c r="AN114" i="87"/>
  <c r="S139" i="87"/>
  <c r="AH81" i="87"/>
  <c r="AH94" i="87"/>
  <c r="AP85" i="87"/>
  <c r="AN96" i="87"/>
  <c r="I92" i="87"/>
  <c r="P115" i="87"/>
  <c r="V102" i="87"/>
  <c r="W84" i="87"/>
  <c r="O108" i="87"/>
  <c r="AJ94" i="87"/>
  <c r="AC119" i="87"/>
  <c r="AO145" i="87"/>
  <c r="J89" i="87"/>
  <c r="AN100" i="87"/>
  <c r="AE90" i="87"/>
  <c r="L100" i="87"/>
  <c r="AJ105" i="87"/>
  <c r="AI117" i="87"/>
  <c r="AH103" i="87"/>
  <c r="P160" i="87"/>
  <c r="AD87" i="87"/>
  <c r="P88" i="87"/>
  <c r="AN93" i="87"/>
  <c r="W105" i="87"/>
  <c r="S86" i="87"/>
  <c r="AB111" i="87"/>
  <c r="AW97" i="87"/>
  <c r="AP122" i="87"/>
  <c r="AP103" i="87"/>
  <c r="P90" i="87"/>
  <c r="Y115" i="87"/>
  <c r="AJ140" i="87"/>
  <c r="U84" i="87"/>
  <c r="U97" i="87"/>
  <c r="L87" i="87"/>
  <c r="J98" i="87"/>
  <c r="AO92" i="87"/>
  <c r="AV115" i="87"/>
  <c r="AM103" i="87"/>
  <c r="H85" i="87"/>
  <c r="AU108" i="87"/>
  <c r="U95" i="87"/>
  <c r="N120" i="87"/>
  <c r="Z146" i="87"/>
  <c r="AA90" i="87"/>
  <c r="J102" i="87"/>
  <c r="AV91" i="87"/>
  <c r="AC101" i="87"/>
  <c r="W108" i="87"/>
  <c r="V120" i="87"/>
  <c r="U106" i="87"/>
  <c r="AG161" i="87"/>
  <c r="Q90" i="87"/>
  <c r="AG89" i="87"/>
  <c r="J95" i="87"/>
  <c r="AN106" i="87"/>
  <c r="H91" i="87"/>
  <c r="AU114" i="87"/>
  <c r="AL102" i="87"/>
  <c r="V83" i="87"/>
  <c r="N107" i="87"/>
  <c r="T94" i="87"/>
  <c r="M119" i="87"/>
  <c r="AN144" i="87"/>
  <c r="L91" i="87"/>
  <c r="L104" i="87"/>
  <c r="T95" i="87"/>
  <c r="AV104" i="87"/>
  <c r="M96" i="87"/>
  <c r="AW81" i="87"/>
  <c r="K107" i="87"/>
  <c r="AA88" i="87"/>
  <c r="S112" i="87"/>
  <c r="Y99" i="87"/>
  <c r="U125" i="87"/>
  <c r="AS149" i="87"/>
  <c r="R97" i="87"/>
  <c r="AV108" i="87"/>
  <c r="I100" i="87"/>
  <c r="AK109" i="87"/>
  <c r="N115" i="87"/>
  <c r="P128" i="87"/>
  <c r="AF82" i="87"/>
  <c r="K90" i="87"/>
  <c r="AQ86" i="87"/>
  <c r="K99" i="87"/>
  <c r="AV101" i="87"/>
  <c r="AE113" i="87"/>
  <c r="AN91" i="87"/>
  <c r="AF115" i="87"/>
  <c r="W103" i="87"/>
  <c r="AM84" i="87"/>
  <c r="AT107" i="87"/>
  <c r="AK95" i="87"/>
  <c r="AS119" i="87"/>
  <c r="Y145" i="87"/>
  <c r="AC92" i="87"/>
  <c r="AC105" i="87"/>
  <c r="AK96" i="87"/>
  <c r="R106" i="87"/>
  <c r="AS96" i="87"/>
  <c r="AH82" i="87"/>
  <c r="AQ107" i="87"/>
  <c r="L89" i="87"/>
  <c r="AJ113" i="87"/>
  <c r="J100" i="87"/>
  <c r="AL126" i="87"/>
  <c r="AD150" i="87"/>
  <c r="AI98" i="87"/>
  <c r="R110" i="87"/>
  <c r="Z101" i="87"/>
  <c r="X112" i="87"/>
  <c r="AE116" i="87"/>
  <c r="AG129" i="87"/>
  <c r="S85" i="87"/>
  <c r="AS92" i="87"/>
  <c r="M88" i="87"/>
  <c r="AB100" i="87"/>
  <c r="R103" i="87"/>
  <c r="AV114" i="87"/>
  <c r="L95" i="87"/>
  <c r="AG81" i="87"/>
  <c r="AP106" i="87"/>
  <c r="K88" i="87"/>
  <c r="R111" i="87"/>
  <c r="AO99" i="87"/>
  <c r="T124" i="87"/>
  <c r="AR148" i="87"/>
  <c r="AK100" i="87"/>
  <c r="AK113" i="87"/>
  <c r="AS104" i="87"/>
  <c r="Z114" i="87"/>
  <c r="Q100" i="87"/>
  <c r="W87" i="87"/>
  <c r="O111" i="87"/>
  <c r="AE92" i="87"/>
  <c r="E79" i="87"/>
  <c r="AC103" i="87"/>
  <c r="J130" i="87"/>
  <c r="AW153" i="87"/>
  <c r="AQ106" i="87"/>
  <c r="AP118" i="87"/>
  <c r="Q108" i="87"/>
  <c r="AE119" i="87"/>
  <c r="U87" i="87"/>
  <c r="K139" i="87"/>
  <c r="AI101" i="87"/>
  <c r="N109" i="87"/>
  <c r="U96" i="87"/>
  <c r="S107" i="87"/>
  <c r="Z111" i="87"/>
  <c r="AB124" i="87"/>
  <c r="AR95" i="87"/>
  <c r="R82" i="87"/>
  <c r="AA107" i="87"/>
  <c r="AQ88" i="87"/>
  <c r="AI112" i="87"/>
  <c r="Z100" i="87"/>
  <c r="AK125" i="87"/>
  <c r="AC149" i="87"/>
  <c r="X103" i="87"/>
  <c r="X116" i="87"/>
  <c r="O106" i="87"/>
  <c r="AQ115" i="87"/>
  <c r="AW100" i="87"/>
  <c r="H88" i="87"/>
  <c r="AU111" i="87"/>
  <c r="AP130" i="87"/>
  <c r="AH109" i="87"/>
  <c r="V104" i="87"/>
  <c r="AQ112" i="87"/>
  <c r="AT110" i="87"/>
  <c r="AO129" i="87"/>
  <c r="W114" i="87"/>
  <c r="S115" i="87"/>
  <c r="N134" i="87"/>
  <c r="G79" i="87"/>
  <c r="T118" i="87"/>
  <c r="P82" i="87"/>
  <c r="AE111" i="87"/>
  <c r="Z130" i="87"/>
  <c r="AN115" i="87"/>
  <c r="AJ116" i="87"/>
  <c r="AT134" i="87"/>
  <c r="I81" i="87"/>
  <c r="AR124" i="87"/>
  <c r="AF85" i="87"/>
  <c r="J138" i="87"/>
  <c r="O107" i="87"/>
  <c r="AB114" i="87"/>
  <c r="AR125" i="87"/>
  <c r="AA156" i="87"/>
  <c r="AI141" i="87"/>
  <c r="AH121" i="87"/>
  <c r="AQ146" i="87"/>
  <c r="Q173" i="87"/>
  <c r="B155" i="87"/>
  <c r="AP165" i="87"/>
  <c r="AF87" i="87"/>
  <c r="O99" i="87"/>
  <c r="I106" i="87"/>
  <c r="Y119" i="87"/>
  <c r="AK122" i="87"/>
  <c r="AC146" i="87"/>
  <c r="AG127" i="87"/>
  <c r="AP152" i="87"/>
  <c r="AA143" i="87"/>
  <c r="AK158" i="87"/>
  <c r="H119" i="87"/>
  <c r="AM99" i="87"/>
  <c r="AS117" i="87"/>
  <c r="AH130" i="87"/>
  <c r="AH107" i="87"/>
  <c r="X121" i="87"/>
  <c r="Y123" i="87"/>
  <c r="Z129" i="87"/>
  <c r="AW162" i="87"/>
  <c r="AF171" i="87"/>
  <c r="AC113" i="87"/>
  <c r="U129" i="87"/>
  <c r="Q150" i="87"/>
  <c r="M155" i="87"/>
  <c r="AF162" i="87"/>
  <c r="AU142" i="87"/>
  <c r="S172" i="87"/>
  <c r="B137" i="87"/>
  <c r="AG82" i="87"/>
  <c r="U145" i="87"/>
  <c r="Q158" i="87"/>
  <c r="Y159" i="87"/>
  <c r="I140" i="87"/>
  <c r="X164" i="87"/>
  <c r="AU169" i="87"/>
  <c r="AC115" i="87"/>
  <c r="AO146" i="87"/>
  <c r="AK151" i="87"/>
  <c r="M156" i="87"/>
  <c r="AI88" i="87"/>
  <c r="U113" i="87"/>
  <c r="AW121" i="87"/>
  <c r="AT142" i="87"/>
  <c r="O85" i="87"/>
  <c r="AU128" i="87"/>
  <c r="AQ133" i="87"/>
  <c r="AJ139" i="87"/>
  <c r="AP171" i="87"/>
  <c r="B97" i="87"/>
  <c r="AJ120" i="87"/>
  <c r="AG141" i="87"/>
  <c r="J159" i="87"/>
  <c r="K80" i="87"/>
  <c r="AK94" i="87"/>
  <c r="T106" i="87"/>
  <c r="AN156" i="87"/>
  <c r="AQ140" i="87"/>
  <c r="Z164" i="87"/>
  <c r="V144" i="87"/>
  <c r="U124" i="87"/>
  <c r="AS148" i="87"/>
  <c r="S175" i="87"/>
  <c r="B150" i="87"/>
  <c r="AR167" i="87"/>
  <c r="AJ91" i="87"/>
  <c r="S103" i="87"/>
  <c r="M110" i="87"/>
  <c r="AF124" i="87"/>
  <c r="X125" i="87"/>
  <c r="AE148" i="87"/>
  <c r="T130" i="87"/>
  <c r="AR154" i="87"/>
  <c r="AI151" i="87"/>
  <c r="AH164" i="87"/>
  <c r="V91" i="87"/>
  <c r="H116" i="87"/>
  <c r="M82" i="87"/>
  <c r="AP138" i="87"/>
  <c r="AP115" i="87"/>
  <c r="AB125" i="87"/>
  <c r="X130" i="87"/>
  <c r="AD133" i="87"/>
  <c r="W168" i="87"/>
  <c r="AJ175" i="87"/>
  <c r="AU80" i="87"/>
  <c r="AC137" i="87"/>
  <c r="AL155" i="87"/>
  <c r="T109" i="87"/>
  <c r="L126" i="87"/>
  <c r="U148" i="87"/>
  <c r="AN177" i="87"/>
  <c r="B71" i="87"/>
  <c r="AB93" i="87"/>
  <c r="AC153" i="87"/>
  <c r="AR162" i="87"/>
  <c r="AA161" i="87"/>
  <c r="K142" i="87"/>
  <c r="K167" i="87"/>
  <c r="U175" i="87"/>
  <c r="I125" i="87"/>
  <c r="AS150" i="87"/>
  <c r="K157" i="87"/>
  <c r="Q160" i="87"/>
  <c r="Y110" i="87"/>
  <c r="M86" i="87"/>
  <c r="Q86" i="87"/>
  <c r="AO153" i="87"/>
  <c r="W93" i="87"/>
  <c r="U134" i="87"/>
  <c r="AU137" i="87"/>
  <c r="J145" i="87"/>
  <c r="AT175" i="87"/>
  <c r="B58" i="87"/>
  <c r="AL87" i="87"/>
  <c r="AB152" i="87"/>
  <c r="AK163" i="87"/>
  <c r="I88" i="87"/>
  <c r="K100" i="87"/>
  <c r="AO111" i="87"/>
  <c r="AR160" i="87"/>
  <c r="AS142" i="87"/>
  <c r="AB166" i="87"/>
  <c r="I147" i="87"/>
  <c r="H127" i="87"/>
  <c r="AU150" i="87"/>
  <c r="AL178" i="87"/>
  <c r="B33" i="87"/>
  <c r="AT169" i="87"/>
  <c r="J97" i="87"/>
  <c r="AN108" i="87"/>
  <c r="Q114" i="87"/>
  <c r="AJ128" i="87"/>
  <c r="Z127" i="87"/>
  <c r="AG150" i="87"/>
  <c r="AM133" i="87"/>
  <c r="AP99" i="87"/>
  <c r="AQ159" i="87"/>
  <c r="AA125" i="87"/>
  <c r="AL107" i="87"/>
  <c r="AU88" i="87"/>
  <c r="U90" i="87"/>
  <c r="AK149" i="87"/>
  <c r="AF86" i="87"/>
  <c r="AF129" i="87"/>
  <c r="AB134" i="87"/>
  <c r="AH137" i="87"/>
  <c r="AA172" i="87"/>
  <c r="B92" i="87"/>
  <c r="H89" i="87"/>
  <c r="X148" i="87"/>
  <c r="AP159" i="87"/>
  <c r="X94" i="87"/>
  <c r="T134" i="87"/>
  <c r="Y152" i="87"/>
  <c r="B126" i="87"/>
  <c r="J81" i="87"/>
  <c r="AJ101" i="87"/>
  <c r="AT119" i="87"/>
  <c r="AV166" i="87"/>
  <c r="AJ119" i="87"/>
  <c r="M144" i="87"/>
  <c r="AO169" i="87"/>
  <c r="AU160" i="87"/>
  <c r="Q133" i="87"/>
  <c r="AW154" i="87"/>
  <c r="O161" i="87"/>
  <c r="AR164" i="87"/>
  <c r="W89" i="87"/>
  <c r="X83" i="87"/>
  <c r="L97" i="87"/>
  <c r="U117" i="87"/>
  <c r="AE101" i="87"/>
  <c r="Y138" i="87"/>
  <c r="U143" i="87"/>
  <c r="N149" i="87"/>
  <c r="B139" i="87"/>
  <c r="Z81" i="87"/>
  <c r="AT95" i="87"/>
  <c r="AJ160" i="87"/>
  <c r="AD124" i="87"/>
  <c r="Q96" i="87"/>
  <c r="O104" i="87"/>
  <c r="AS115" i="87"/>
  <c r="H121" i="87"/>
  <c r="AU144" i="87"/>
  <c r="AW123" i="87"/>
  <c r="K149" i="87"/>
  <c r="J129" i="87"/>
  <c r="AW152" i="87"/>
  <c r="AG162" i="87"/>
  <c r="AJ179" i="87"/>
  <c r="AV171" i="87"/>
  <c r="N101" i="87"/>
  <c r="AR112" i="87"/>
  <c r="AK83" i="87"/>
  <c r="J134" i="87"/>
  <c r="AB129" i="87"/>
  <c r="T153" i="87"/>
  <c r="AO135" i="87"/>
  <c r="AK110" i="87"/>
  <c r="R123" i="87"/>
  <c r="AE129" i="87"/>
  <c r="AJ86" i="87"/>
  <c r="AB87" i="87"/>
  <c r="AC98" i="87"/>
  <c r="AS157" i="87"/>
  <c r="AA97" i="87"/>
  <c r="AJ133" i="87"/>
  <c r="AF138" i="87"/>
  <c r="H143" i="87"/>
  <c r="AE176" i="87"/>
  <c r="B178" i="87"/>
  <c r="P97" i="87"/>
  <c r="AF156" i="87"/>
  <c r="AM165" i="87"/>
  <c r="AN110" i="87"/>
  <c r="O145" i="87"/>
  <c r="AC156" i="87"/>
  <c r="AD179" i="87"/>
  <c r="R89" i="87"/>
  <c r="AR109" i="87"/>
  <c r="O124" i="87"/>
  <c r="AO127" i="87"/>
  <c r="P93" i="87"/>
  <c r="AH154" i="87"/>
  <c r="AV120" i="87"/>
  <c r="AV111" i="87"/>
  <c r="AS125" i="87"/>
  <c r="O92" i="87"/>
  <c r="AV152" i="87"/>
  <c r="AC80" i="87"/>
  <c r="T97" i="87"/>
  <c r="W159" i="87"/>
  <c r="AT83" i="87"/>
  <c r="N90" i="87"/>
  <c r="AJ132" i="87"/>
  <c r="AU92" i="87"/>
  <c r="AG153" i="87"/>
  <c r="N81" i="87"/>
  <c r="AK98" i="87"/>
  <c r="H160" i="87"/>
  <c r="P85" i="87"/>
  <c r="AV92" i="87"/>
  <c r="AG83" i="87"/>
  <c r="V150" i="87"/>
  <c r="AS102" i="87"/>
  <c r="AP126" i="87"/>
  <c r="R131" i="87"/>
  <c r="AN122" i="87"/>
  <c r="Z148" i="87"/>
  <c r="Y128" i="87"/>
  <c r="Q152" i="87"/>
  <c r="AV161" i="87"/>
  <c r="AG179" i="87"/>
  <c r="P171" i="87"/>
  <c r="AR99" i="87"/>
  <c r="AA111" i="87"/>
  <c r="T82" i="87"/>
  <c r="AN132" i="87"/>
  <c r="AQ128" i="87"/>
  <c r="AI152" i="87"/>
  <c r="I135" i="87"/>
  <c r="P105" i="87"/>
  <c r="AV121" i="87"/>
  <c r="N128" i="87"/>
  <c r="O81" i="87"/>
  <c r="AO84" i="87"/>
  <c r="AP95" i="87"/>
  <c r="K155" i="87"/>
  <c r="AN94" i="87"/>
  <c r="S132" i="87"/>
  <c r="O137" i="87"/>
  <c r="AL141" i="87"/>
  <c r="N175" i="87"/>
  <c r="B63" i="87"/>
  <c r="AC94" i="87"/>
  <c r="AS153" i="87"/>
  <c r="V164" i="87"/>
  <c r="S105" i="87"/>
  <c r="AB142" i="87"/>
  <c r="L155" i="87"/>
  <c r="B44" i="87"/>
  <c r="AE86" i="87"/>
  <c r="J107" i="87"/>
  <c r="AS122" i="87"/>
  <c r="X126" i="87"/>
  <c r="AL121" i="87"/>
  <c r="AD145" i="87"/>
  <c r="AB172" i="87"/>
  <c r="V165" i="87"/>
  <c r="Y141" i="87"/>
  <c r="AJ157" i="87"/>
  <c r="AO120" i="87"/>
  <c r="T168" i="87"/>
  <c r="R100" i="87"/>
  <c r="AS88" i="87"/>
  <c r="AG102" i="87"/>
  <c r="Z89" i="87"/>
  <c r="AM109" i="87"/>
  <c r="L141" i="87"/>
  <c r="H146" i="87"/>
  <c r="AV151" i="87"/>
  <c r="B166" i="87"/>
  <c r="AU86" i="87"/>
  <c r="T101" i="87"/>
  <c r="U122" i="87"/>
  <c r="Q127" i="87"/>
  <c r="Y104" i="87"/>
  <c r="AW106" i="87"/>
  <c r="AV118" i="87"/>
  <c r="Y122" i="87"/>
  <c r="Q146" i="87"/>
  <c r="S125" i="87"/>
  <c r="AB150" i="87"/>
  <c r="AA130" i="87"/>
  <c r="S154" i="87"/>
  <c r="AI164" i="87"/>
  <c r="AG167" i="87"/>
  <c r="R173" i="87"/>
  <c r="AV103" i="87"/>
  <c r="AE115" i="87"/>
  <c r="AO87" i="87"/>
  <c r="AR136" i="87"/>
  <c r="AS130" i="87"/>
  <c r="V155" i="87"/>
  <c r="K137" i="87"/>
  <c r="K116" i="87"/>
  <c r="V127" i="87"/>
  <c r="R132" i="87"/>
  <c r="AE97" i="87"/>
  <c r="AW92" i="87"/>
  <c r="AK106" i="87"/>
  <c r="AO118" i="87"/>
  <c r="AV102" i="87"/>
  <c r="AN137" i="87"/>
  <c r="S141" i="87"/>
  <c r="AP145" i="87"/>
  <c r="B107" i="87"/>
  <c r="AD85" i="87"/>
  <c r="X105" i="87"/>
  <c r="AB117" i="87"/>
  <c r="AS123" i="87"/>
  <c r="T122" i="87"/>
  <c r="AJ150" i="87"/>
  <c r="P159" i="87"/>
  <c r="J168" i="87"/>
  <c r="Z97" i="87"/>
  <c r="R115" i="87"/>
  <c r="AW126" i="87"/>
  <c r="AB130" i="87"/>
  <c r="AN123" i="87"/>
  <c r="AF147" i="87"/>
  <c r="AF176" i="87"/>
  <c r="Z169" i="87"/>
  <c r="AG149" i="87"/>
  <c r="AG163" i="87"/>
  <c r="AS124" i="87"/>
  <c r="AO173" i="87"/>
  <c r="AH116" i="87"/>
  <c r="AN99" i="87"/>
  <c r="AB113" i="87"/>
  <c r="AP105" i="87"/>
  <c r="P118" i="87"/>
  <c r="P145" i="87"/>
  <c r="L150" i="87"/>
  <c r="V157" i="87"/>
  <c r="AR179" i="87"/>
  <c r="H95" i="87"/>
  <c r="O112" i="87"/>
  <c r="Y126" i="87"/>
  <c r="AC139" i="87"/>
  <c r="AG112" i="87"/>
  <c r="W112" i="87"/>
  <c r="H124" i="87"/>
  <c r="AA124" i="87"/>
  <c r="S148" i="87"/>
  <c r="AL128" i="87"/>
  <c r="AD152" i="87"/>
  <c r="AC132" i="87"/>
  <c r="AL157" i="87"/>
  <c r="V167" i="87"/>
  <c r="T170" i="87"/>
  <c r="AK176" i="87"/>
  <c r="V109" i="87"/>
  <c r="AL122" i="87"/>
  <c r="AS91" i="87"/>
  <c r="AV140" i="87"/>
  <c r="AU132" i="87"/>
  <c r="I158" i="87"/>
  <c r="M139" i="87"/>
  <c r="AG87" i="87"/>
  <c r="Z131" i="87"/>
  <c r="AM137" i="87"/>
  <c r="AK119" i="87"/>
  <c r="J101" i="87"/>
  <c r="AS114" i="87"/>
  <c r="M92" i="87"/>
  <c r="I111" i="87"/>
  <c r="AR141" i="87"/>
  <c r="AN146" i="87"/>
  <c r="AT149" i="87"/>
  <c r="B68" i="87"/>
  <c r="Y96" i="87"/>
  <c r="AF113" i="87"/>
  <c r="W124" i="87"/>
  <c r="AW127" i="87"/>
  <c r="W139" i="87"/>
  <c r="AR158" i="87"/>
  <c r="AQ163" i="87"/>
  <c r="N172" i="87"/>
  <c r="AH105" i="87"/>
  <c r="AA89" i="87"/>
  <c r="W132" i="87"/>
  <c r="AF134" i="87"/>
  <c r="AP125" i="87"/>
  <c r="AH149" i="87"/>
  <c r="AC162" i="87"/>
  <c r="J99" i="87"/>
  <c r="AB160" i="87"/>
  <c r="Z124" i="87"/>
  <c r="AW128" i="87"/>
  <c r="AS177" i="87"/>
  <c r="V134" i="87"/>
  <c r="AV107" i="87"/>
  <c r="R84" i="87"/>
  <c r="H84" i="87"/>
  <c r="N130" i="87"/>
  <c r="AK150" i="87"/>
  <c r="P154" i="87"/>
  <c r="AW161" i="87"/>
  <c r="U171" i="87"/>
  <c r="P103" i="87"/>
  <c r="AM85" i="87"/>
  <c r="AC130" i="87"/>
  <c r="AA139" i="87"/>
  <c r="Y85" i="87"/>
  <c r="AA116" i="87"/>
  <c r="L128" i="87"/>
  <c r="AC126" i="87"/>
  <c r="AL151" i="87"/>
  <c r="AN130" i="87"/>
  <c r="AF154" i="87"/>
  <c r="AE134" i="87"/>
  <c r="AN159" i="87"/>
  <c r="I170" i="87"/>
  <c r="AM173" i="87"/>
  <c r="B113" i="87"/>
  <c r="Z113" i="87"/>
  <c r="AW82" i="87"/>
  <c r="AW95" i="87"/>
  <c r="V146" i="87"/>
  <c r="AW134" i="87"/>
  <c r="K160" i="87"/>
  <c r="O141" i="87"/>
  <c r="AB98" i="87"/>
  <c r="AD135" i="87"/>
  <c r="AQ141" i="87"/>
  <c r="I137" i="87"/>
  <c r="R109" i="87"/>
  <c r="AI85" i="87"/>
  <c r="AC108" i="87"/>
  <c r="AG119" i="87"/>
  <c r="AV145" i="87"/>
  <c r="AR150" i="87"/>
  <c r="T155" i="87"/>
  <c r="AS165" i="87"/>
  <c r="AG104" i="87"/>
  <c r="V84" i="87"/>
  <c r="AA128" i="87"/>
  <c r="W133" i="87"/>
  <c r="AM155" i="87"/>
  <c r="J121" i="87"/>
  <c r="AJ168" i="87"/>
  <c r="R176" i="87"/>
  <c r="AP113" i="87"/>
  <c r="AI97" i="87"/>
  <c r="AA136" i="87"/>
  <c r="AJ138" i="87"/>
  <c r="AR127" i="87"/>
  <c r="V80" i="87"/>
  <c r="M108" i="87"/>
  <c r="AL88" i="87"/>
  <c r="AL97" i="87"/>
  <c r="P99" i="87"/>
  <c r="X117" i="87"/>
  <c r="O110" i="87"/>
  <c r="AL105" i="87"/>
  <c r="Z84" i="87"/>
  <c r="U116" i="87"/>
  <c r="AC95" i="87"/>
  <c r="AC104" i="87"/>
  <c r="AV99" i="87"/>
  <c r="AL80" i="87"/>
  <c r="AF111" i="87"/>
  <c r="W106" i="87"/>
  <c r="K85" i="87"/>
  <c r="T80" i="87"/>
  <c r="AT96" i="87"/>
  <c r="AT105" i="87"/>
  <c r="O97" i="87"/>
  <c r="AD93" i="87"/>
  <c r="J115" i="87"/>
  <c r="X140" i="87"/>
  <c r="O144" i="87"/>
  <c r="H130" i="87"/>
  <c r="AU153" i="87"/>
  <c r="AT133" i="87"/>
  <c r="H159" i="87"/>
  <c r="X169" i="87"/>
  <c r="V172" i="87"/>
  <c r="B81" i="87"/>
  <c r="I112" i="87"/>
  <c r="AF81" i="87"/>
  <c r="AF94" i="87"/>
  <c r="AI143" i="87"/>
  <c r="Q134" i="87"/>
  <c r="Z159" i="87"/>
  <c r="AD140" i="87"/>
  <c r="AO95" i="87"/>
  <c r="M134" i="87"/>
  <c r="Z140" i="87"/>
  <c r="AI131" i="87"/>
  <c r="AE106" i="87"/>
  <c r="AV82" i="87"/>
  <c r="H103" i="87"/>
  <c r="AD116" i="87"/>
  <c r="AE144" i="87"/>
  <c r="AA149" i="87"/>
  <c r="AG152" i="87"/>
  <c r="AA179" i="87"/>
  <c r="AT101" i="87"/>
  <c r="AI81" i="87"/>
  <c r="J127" i="87"/>
  <c r="AJ130" i="87"/>
  <c r="R150" i="87"/>
  <c r="AN119" i="87"/>
  <c r="S167" i="87"/>
  <c r="AV174" i="87"/>
  <c r="H111" i="87"/>
  <c r="AV94" i="87"/>
  <c r="J135" i="87"/>
  <c r="S137" i="87"/>
  <c r="L127" i="87"/>
  <c r="AJ151" i="87"/>
  <c r="P165" i="87"/>
  <c r="AE104" i="87"/>
  <c r="AU120" i="87"/>
  <c r="M127" i="87"/>
  <c r="AJ131" i="87"/>
  <c r="Y162" i="87"/>
  <c r="Q145" i="87"/>
  <c r="V113" i="87"/>
  <c r="Z92" i="87"/>
  <c r="X100" i="87"/>
  <c r="AI135" i="87"/>
  <c r="AO154" i="87"/>
  <c r="T158" i="87"/>
  <c r="AJ164" i="87"/>
  <c r="H174" i="87"/>
  <c r="X111" i="87"/>
  <c r="M91" i="87"/>
  <c r="P133" i="87"/>
  <c r="N142" i="87"/>
  <c r="AT90" i="87"/>
  <c r="AQ81" i="87"/>
  <c r="AT130" i="87"/>
  <c r="AT127" i="87"/>
  <c r="H153" i="87"/>
  <c r="J132" i="87"/>
  <c r="AW155" i="87"/>
  <c r="AV135" i="87"/>
  <c r="AD161" i="87"/>
  <c r="Z171" i="87"/>
  <c r="I175" i="87"/>
  <c r="B76" i="87"/>
  <c r="M116" i="87"/>
  <c r="AJ85" i="87"/>
  <c r="AJ98" i="87"/>
  <c r="I149" i="87"/>
  <c r="S136" i="87"/>
  <c r="AJ162" i="87"/>
  <c r="AF142" i="87"/>
  <c r="AW103" i="87"/>
  <c r="Q138" i="87"/>
  <c r="AD144" i="87"/>
  <c r="Y153" i="87"/>
  <c r="Z117" i="87"/>
  <c r="I91" i="87"/>
  <c r="AP86" i="87"/>
  <c r="AR128" i="87"/>
  <c r="AI148" i="87"/>
  <c r="AE153" i="87"/>
  <c r="X159" i="87"/>
  <c r="S169" i="87"/>
  <c r="AO112" i="87"/>
  <c r="AQ89" i="87"/>
  <c r="N131" i="87"/>
  <c r="J136" i="87"/>
  <c r="P121" i="87"/>
  <c r="AR123" i="87"/>
  <c r="AN172" i="87"/>
  <c r="U178" i="87"/>
  <c r="AD82" i="87"/>
  <c r="I103" i="87"/>
  <c r="N139" i="87"/>
  <c r="AN142" i="87"/>
  <c r="N129" i="87"/>
  <c r="W154" i="87"/>
  <c r="AK170" i="87"/>
  <c r="Z115" i="87"/>
  <c r="U126" i="87"/>
  <c r="Q131" i="87"/>
  <c r="J137" i="87"/>
  <c r="AC166" i="87"/>
  <c r="AE159" i="87"/>
  <c r="AA83" i="87"/>
  <c r="AH100" i="87"/>
  <c r="AN116" i="87"/>
  <c r="AQ143" i="87"/>
  <c r="AS158" i="87"/>
  <c r="P119" i="87"/>
  <c r="AC169" i="87"/>
  <c r="L178" i="87"/>
  <c r="N82" i="87"/>
  <c r="U99" i="87"/>
  <c r="AK138" i="87"/>
  <c r="R146" i="87"/>
  <c r="AO101" i="87"/>
  <c r="AU85" i="87"/>
  <c r="T136" i="87"/>
  <c r="AV129" i="87"/>
  <c r="J155" i="87"/>
  <c r="L134" i="87"/>
  <c r="AJ158" i="87"/>
  <c r="AI138" i="87"/>
  <c r="T164" i="87"/>
  <c r="AB173" i="87"/>
  <c r="K177" i="87"/>
  <c r="B172" i="87"/>
  <c r="AT82" i="87"/>
  <c r="J91" i="87"/>
  <c r="J104" i="87"/>
  <c r="M153" i="87"/>
  <c r="AL139" i="87"/>
  <c r="W165" i="87"/>
  <c r="AH144" i="87"/>
  <c r="J112" i="87"/>
  <c r="AL143" i="87"/>
  <c r="AH148" i="87"/>
  <c r="J119" i="87"/>
  <c r="AE87" i="87"/>
  <c r="Q99" i="87"/>
  <c r="K103" i="87"/>
  <c r="AM139" i="87"/>
  <c r="I154" i="87"/>
  <c r="AI157" i="87"/>
  <c r="U165" i="87"/>
  <c r="AN174" i="87"/>
  <c r="AE83" i="87"/>
  <c r="AL100" i="87"/>
  <c r="R135" i="87"/>
  <c r="N140" i="87"/>
  <c r="K132" i="87"/>
  <c r="AV127" i="87"/>
  <c r="AR176" i="87"/>
  <c r="AW164" i="87"/>
  <c r="Y93" i="87"/>
  <c r="Q111" i="87"/>
  <c r="R143" i="87"/>
  <c r="AR146" i="87"/>
  <c r="P131" i="87"/>
  <c r="Y156" i="87"/>
  <c r="K176" i="87"/>
  <c r="AE85" i="87"/>
  <c r="Y130" i="87"/>
  <c r="AL136" i="87"/>
  <c r="N141" i="87"/>
  <c r="AG170" i="87"/>
  <c r="AB91" i="87"/>
  <c r="AI91" i="87"/>
  <c r="AP108" i="87"/>
  <c r="AW90" i="87"/>
  <c r="AL154" i="87"/>
  <c r="Y163" i="87"/>
  <c r="AK124" i="87"/>
  <c r="AG173" i="87"/>
  <c r="I164" i="87"/>
  <c r="V90" i="87"/>
  <c r="AC107" i="87"/>
  <c r="K144" i="87"/>
  <c r="AM151" i="87"/>
  <c r="AW109" i="87"/>
  <c r="U91" i="87"/>
  <c r="AO141" i="87"/>
  <c r="AI132" i="87"/>
  <c r="L157" i="87"/>
  <c r="N136" i="87"/>
  <c r="W161" i="87"/>
  <c r="V141" i="87"/>
  <c r="AB168" i="87"/>
  <c r="AD175" i="87"/>
  <c r="AK178" i="87"/>
  <c r="R179" i="87"/>
  <c r="T88" i="87"/>
  <c r="N95" i="87"/>
  <c r="N108" i="87"/>
  <c r="Q157" i="87"/>
  <c r="AN141" i="87"/>
  <c r="AU121" i="87"/>
  <c r="U147" i="87"/>
  <c r="AH120" i="87"/>
  <c r="AP147" i="87"/>
  <c r="H154" i="87"/>
  <c r="O94" i="87"/>
  <c r="Z98" i="87"/>
  <c r="L110" i="87"/>
  <c r="AO82" i="87"/>
  <c r="AU147" i="87"/>
  <c r="M158" i="87"/>
  <c r="AE118" i="87"/>
  <c r="N170" i="87"/>
  <c r="AR178" i="87"/>
  <c r="Z94" i="87"/>
  <c r="AT108" i="87"/>
  <c r="AM140" i="87"/>
  <c r="R144" i="87"/>
  <c r="S140" i="87"/>
  <c r="V133" i="87"/>
  <c r="AO162" i="87"/>
  <c r="W170" i="87"/>
  <c r="AG101" i="87"/>
  <c r="U123" i="87"/>
  <c r="AM148" i="87"/>
  <c r="AV150" i="87"/>
  <c r="R133" i="87"/>
  <c r="N104" i="87"/>
  <c r="L120" i="87"/>
  <c r="AB140" i="87"/>
  <c r="AJ108" i="87"/>
  <c r="AM87" i="87"/>
  <c r="AS103" i="87"/>
  <c r="AE123" i="87"/>
  <c r="AA91" i="87"/>
  <c r="AG107" i="87"/>
  <c r="J83" i="87"/>
  <c r="S147" i="87"/>
  <c r="AT116" i="87"/>
  <c r="X88" i="87"/>
  <c r="AD104" i="87"/>
  <c r="H81" i="87"/>
  <c r="L92" i="87"/>
  <c r="R108" i="87"/>
  <c r="AA84" i="87"/>
  <c r="AJ148" i="87"/>
  <c r="AD118" i="87"/>
  <c r="W135" i="87"/>
  <c r="AL82" i="87"/>
  <c r="AH88" i="87"/>
  <c r="W120" i="87"/>
  <c r="U150" i="87"/>
  <c r="AC135" i="87"/>
  <c r="AL160" i="87"/>
  <c r="AK140" i="87"/>
  <c r="AQ167" i="87"/>
  <c r="AS174" i="87"/>
  <c r="AB178" i="87"/>
  <c r="B39" i="87"/>
  <c r="AG85" i="87"/>
  <c r="AR93" i="87"/>
  <c r="AR106" i="87"/>
  <c r="AU155" i="87"/>
  <c r="H141" i="87"/>
  <c r="AN166" i="87"/>
  <c r="AJ146" i="87"/>
  <c r="AU117" i="87"/>
  <c r="Y146" i="87"/>
  <c r="AL152" i="87"/>
  <c r="AO88" i="87"/>
  <c r="AM95" i="87"/>
  <c r="Y107" i="87"/>
  <c r="AQ119" i="87"/>
  <c r="M145" i="87"/>
  <c r="AQ156" i="87"/>
  <c r="AV116" i="87"/>
  <c r="AR168" i="87"/>
  <c r="AA177" i="87"/>
  <c r="AM91" i="87"/>
  <c r="L106" i="87"/>
  <c r="V139" i="87"/>
  <c r="AV142" i="87"/>
  <c r="AF137" i="87"/>
  <c r="AI130" i="87"/>
  <c r="L161" i="87"/>
  <c r="AJ167" i="87"/>
  <c r="AT98" i="87"/>
  <c r="AO119" i="87"/>
  <c r="V147" i="87"/>
  <c r="AE149" i="87"/>
  <c r="AG132" i="87"/>
  <c r="AP157" i="87"/>
  <c r="B87" i="87"/>
  <c r="AM93" i="87"/>
  <c r="L133" i="87"/>
  <c r="Y139" i="87"/>
  <c r="AV143" i="87"/>
  <c r="AK174" i="87"/>
  <c r="W102" i="87"/>
  <c r="I97" i="87"/>
  <c r="P114" i="87"/>
  <c r="I98" i="87"/>
  <c r="L160" i="87"/>
  <c r="L166" i="87"/>
  <c r="AO128" i="87"/>
  <c r="AK177" i="87"/>
  <c r="AQ166" i="87"/>
  <c r="AQ95" i="87"/>
  <c r="AK115" i="87"/>
  <c r="AS146" i="87"/>
  <c r="Z154" i="87"/>
  <c r="W115" i="87"/>
  <c r="H94" i="87"/>
  <c r="AB144" i="87"/>
  <c r="AK134" i="87"/>
  <c r="AC158" i="87"/>
  <c r="AE137" i="87"/>
  <c r="O118" i="87"/>
  <c r="X143" i="87"/>
  <c r="AS169" i="87"/>
  <c r="AU176" i="87"/>
  <c r="W162" i="87"/>
  <c r="AO80" i="87"/>
  <c r="X92" i="87"/>
  <c r="AV97" i="87"/>
  <c r="AV110" i="87"/>
  <c r="U161" i="87"/>
  <c r="J143" i="87"/>
  <c r="N124" i="87"/>
  <c r="W149" i="87"/>
  <c r="K127" i="87"/>
  <c r="AC150" i="87"/>
  <c r="AP156" i="87"/>
  <c r="J105" i="87"/>
  <c r="AU103" i="87"/>
  <c r="AG115" i="87"/>
  <c r="AJ93" i="87"/>
  <c r="U153" i="87"/>
  <c r="J161" i="87"/>
  <c r="R121" i="87"/>
  <c r="AV172" i="87"/>
  <c r="AO164" i="87"/>
  <c r="AU99" i="87"/>
  <c r="T114" i="87"/>
  <c r="Z143" i="87"/>
  <c r="V148" i="87"/>
  <c r="AA148" i="87"/>
  <c r="I136" i="87"/>
  <c r="AB165" i="87"/>
  <c r="J173" i="87"/>
  <c r="AO109" i="87"/>
  <c r="AM131" i="87"/>
  <c r="Z151" i="87"/>
  <c r="AI153" i="87"/>
  <c r="T135" i="87"/>
  <c r="AR159" i="87"/>
  <c r="B48" i="87"/>
  <c r="AU101" i="87"/>
  <c r="P137" i="87"/>
  <c r="AC143" i="87"/>
  <c r="V149" i="87"/>
  <c r="B147" i="87"/>
  <c r="AJ80" i="87"/>
  <c r="Q105" i="87"/>
  <c r="AD126" i="87"/>
  <c r="Q106" i="87"/>
  <c r="I122" i="87"/>
  <c r="AI125" i="87"/>
  <c r="AS132" i="87"/>
  <c r="AH163" i="87"/>
  <c r="AU170" i="87"/>
  <c r="AL106" i="87"/>
  <c r="Q125" i="87"/>
  <c r="AW150" i="87"/>
  <c r="AD158" i="87"/>
  <c r="X81" i="87"/>
  <c r="L98" i="87"/>
  <c r="AF148" i="87"/>
  <c r="X137" i="87"/>
  <c r="AE160" i="87"/>
  <c r="AG139" i="87"/>
  <c r="Q120" i="87"/>
  <c r="Z145" i="87"/>
  <c r="AU171" i="87"/>
  <c r="B91" i="87"/>
  <c r="Y164" i="87"/>
  <c r="AS84" i="87"/>
  <c r="AB96" i="87"/>
  <c r="V103" i="87"/>
  <c r="V116" i="87"/>
  <c r="AI120" i="87"/>
  <c r="L145" i="87"/>
  <c r="P126" i="87"/>
  <c r="Y151" i="87"/>
  <c r="S135" i="87"/>
  <c r="AG154" i="87"/>
  <c r="AT160" i="87"/>
  <c r="AR88" i="87"/>
  <c r="H112" i="87"/>
  <c r="M125" i="87"/>
  <c r="M102" i="87"/>
  <c r="AC161" i="87"/>
  <c r="AA165" i="87"/>
  <c r="AM126" i="87"/>
  <c r="V178" i="87"/>
  <c r="AS168" i="87"/>
  <c r="H108" i="87"/>
  <c r="AU123" i="87"/>
  <c r="AD147" i="87"/>
  <c r="Z152" i="87"/>
  <c r="AI156" i="87"/>
  <c r="M140" i="87"/>
  <c r="AF169" i="87"/>
  <c r="N177" i="87"/>
  <c r="R118" i="87"/>
  <c r="AU139" i="87"/>
  <c r="AD155" i="87"/>
  <c r="H158" i="87"/>
  <c r="AM138" i="87"/>
  <c r="V162" i="87"/>
  <c r="AO179" i="87"/>
  <c r="H110" i="87"/>
  <c r="AK142" i="87"/>
  <c r="AG147" i="87"/>
  <c r="Z153" i="87"/>
  <c r="B41" i="87"/>
  <c r="Z102" i="87"/>
  <c r="L116" i="87"/>
  <c r="Y137" i="87"/>
  <c r="L117" i="87"/>
  <c r="M126" i="87"/>
  <c r="I131" i="87"/>
  <c r="AW136" i="87"/>
  <c r="H169" i="87"/>
  <c r="U176" i="87"/>
  <c r="AT114" i="87"/>
  <c r="L136" i="87"/>
  <c r="W156" i="87"/>
  <c r="I118" i="87"/>
  <c r="AF89" i="87"/>
  <c r="P102" i="87"/>
  <c r="AJ152" i="87"/>
  <c r="Z139" i="87"/>
  <c r="I163" i="87"/>
  <c r="T142" i="87"/>
  <c r="S122" i="87"/>
  <c r="AB147" i="87"/>
  <c r="AW173" i="87"/>
  <c r="B86" i="87"/>
  <c r="AA166" i="87"/>
  <c r="AW88" i="87"/>
  <c r="AF100" i="87"/>
  <c r="Z107" i="87"/>
  <c r="AP120" i="87"/>
  <c r="V123" i="87"/>
  <c r="N147" i="87"/>
  <c r="R128" i="87"/>
  <c r="AA153" i="87"/>
  <c r="N146" i="87"/>
  <c r="AU161" i="87"/>
  <c r="AA80" i="87"/>
  <c r="M105" i="87"/>
  <c r="AF120" i="87"/>
  <c r="U133" i="87"/>
  <c r="U110" i="87"/>
  <c r="AO122" i="87"/>
  <c r="T126" i="87"/>
  <c r="AQ130" i="87"/>
  <c r="S164" i="87"/>
  <c r="AW172" i="87"/>
  <c r="P116" i="87"/>
  <c r="H132" i="87"/>
  <c r="AH151" i="87"/>
  <c r="Y98" i="87"/>
  <c r="S165" i="87"/>
  <c r="Q144" i="87"/>
  <c r="AJ173" i="87"/>
  <c r="B100" i="87"/>
  <c r="T85" i="87"/>
  <c r="H148" i="87"/>
  <c r="AH159" i="87"/>
  <c r="J160" i="87"/>
  <c r="W122" i="87"/>
  <c r="AA158" i="87"/>
  <c r="B151" i="87"/>
  <c r="Z96" i="87"/>
  <c r="AC134" i="87"/>
  <c r="AP140" i="87"/>
  <c r="R145" i="87"/>
  <c r="X177" i="87"/>
  <c r="AR107" i="87"/>
  <c r="AQ99" i="87"/>
  <c r="K117" i="87"/>
  <c r="AQ100" i="87"/>
  <c r="U118" i="87"/>
  <c r="H122" i="87"/>
  <c r="K130" i="87"/>
  <c r="Y178" i="87"/>
  <c r="M168" i="87"/>
  <c r="AD98" i="87"/>
  <c r="AW157" i="87"/>
  <c r="P86" i="87"/>
  <c r="AQ155" i="87"/>
  <c r="Z118" i="87"/>
  <c r="Y95" i="87"/>
  <c r="AS145" i="87"/>
  <c r="V135" i="87"/>
  <c r="N159" i="87"/>
  <c r="P138" i="87"/>
  <c r="AU118" i="87"/>
  <c r="I144" i="87"/>
  <c r="AD170" i="87"/>
  <c r="AF177" i="87"/>
  <c r="H163" i="87"/>
  <c r="K82" i="87"/>
  <c r="AO93" i="87"/>
  <c r="R99" i="87"/>
  <c r="R112" i="87"/>
  <c r="M118" i="87"/>
  <c r="AP143" i="87"/>
  <c r="AT124" i="87"/>
  <c r="H150" i="87"/>
  <c r="AS129" i="87"/>
  <c r="AT151" i="87"/>
  <c r="L158" i="87"/>
  <c r="AE110" i="87"/>
  <c r="AH106" i="87"/>
  <c r="AJ118" i="87"/>
  <c r="AM96" i="87"/>
  <c r="H156" i="87"/>
  <c r="AN162" i="87"/>
  <c r="AI122" i="87"/>
  <c r="R174" i="87"/>
  <c r="K166" i="87"/>
  <c r="AH102" i="87"/>
  <c r="S117" i="87"/>
  <c r="AQ144" i="87"/>
  <c r="AM149" i="87"/>
  <c r="N151" i="87"/>
  <c r="Z137" i="87"/>
  <c r="AS166" i="87"/>
  <c r="AA174" i="87"/>
  <c r="AB112" i="87"/>
  <c r="Z134" i="87"/>
  <c r="AQ152" i="87"/>
  <c r="AL156" i="87"/>
  <c r="AK136" i="87"/>
  <c r="AC160" i="87"/>
  <c r="B45" i="87"/>
  <c r="AH104" i="87"/>
  <c r="AG138" i="87"/>
  <c r="AT144" i="87"/>
  <c r="AM150" i="87"/>
  <c r="B110" i="87"/>
  <c r="J86" i="87"/>
  <c r="AL110" i="87"/>
  <c r="Q129" i="87"/>
  <c r="AL111" i="87"/>
  <c r="Z123" i="87"/>
  <c r="V128" i="87"/>
  <c r="O134" i="87"/>
  <c r="U166" i="87"/>
  <c r="Q172" i="87"/>
  <c r="Y109" i="87"/>
  <c r="AL130" i="87"/>
  <c r="S152" i="87"/>
  <c r="AU159" i="87"/>
  <c r="K84" i="87"/>
  <c r="AC99" i="87"/>
  <c r="AW149" i="87"/>
  <c r="I138" i="87"/>
  <c r="AM161" i="87"/>
  <c r="R140" i="87"/>
  <c r="AW120" i="87"/>
  <c r="K146" i="87"/>
  <c r="AF172" i="87"/>
  <c r="B123" i="87"/>
  <c r="J165" i="87"/>
  <c r="O86" i="87"/>
  <c r="AS97" i="87"/>
  <c r="AM104" i="87"/>
  <c r="H118" i="87"/>
  <c r="T121" i="87"/>
  <c r="AR145" i="87"/>
  <c r="AV126" i="87"/>
  <c r="J152" i="87"/>
  <c r="AN140" i="87"/>
  <c r="T157" i="87"/>
  <c r="AL117" i="87"/>
  <c r="R94" i="87"/>
  <c r="AP114" i="87"/>
  <c r="AU127" i="87"/>
  <c r="AU104" i="87"/>
  <c r="AL119" i="87"/>
  <c r="AR166" i="87"/>
  <c r="I128" i="87"/>
  <c r="AB161" i="87"/>
  <c r="O170" i="87"/>
  <c r="AP110" i="87"/>
  <c r="AH126" i="87"/>
  <c r="AU148" i="87"/>
  <c r="AQ153" i="87"/>
  <c r="V159" i="87"/>
  <c r="AD141" i="87"/>
  <c r="AW170" i="87"/>
  <c r="AU178" i="87"/>
  <c r="AM123" i="87"/>
  <c r="AH142" i="87"/>
  <c r="AU156" i="87"/>
  <c r="AN158" i="87"/>
  <c r="X139" i="87"/>
  <c r="AM163" i="87"/>
  <c r="AD168" i="87"/>
  <c r="AP112" i="87"/>
  <c r="X145" i="87"/>
  <c r="T150" i="87"/>
  <c r="AQ154" i="87"/>
  <c r="N83" i="87"/>
  <c r="AU107" i="87"/>
  <c r="O119" i="87"/>
  <c r="L140" i="87"/>
  <c r="AB82" i="87"/>
  <c r="AD127" i="87"/>
  <c r="Z132" i="87"/>
  <c r="S138" i="87"/>
  <c r="Y170" i="87"/>
  <c r="AL177" i="87"/>
  <c r="AW117" i="87"/>
  <c r="AT138" i="87"/>
  <c r="AN157" i="87"/>
  <c r="Z119" i="87"/>
  <c r="S92" i="87"/>
  <c r="AG103" i="87"/>
  <c r="W155" i="87"/>
  <c r="K140" i="87"/>
  <c r="AO163" i="87"/>
  <c r="AK143" i="87"/>
  <c r="AJ123" i="87"/>
  <c r="M148" i="87"/>
  <c r="AH174" i="87"/>
  <c r="B118" i="87"/>
  <c r="L167" i="87"/>
  <c r="S90" i="87"/>
  <c r="AW101" i="87"/>
  <c r="AQ108" i="87"/>
  <c r="AJ122" i="87"/>
  <c r="AM124" i="87"/>
  <c r="AT147" i="87"/>
  <c r="AI129" i="87"/>
  <c r="L154" i="87"/>
  <c r="AV148" i="87"/>
  <c r="Q163" i="87"/>
  <c r="AV85" i="87"/>
  <c r="AH110" i="87"/>
  <c r="S123" i="87"/>
  <c r="H136" i="87"/>
  <c r="H113" i="87"/>
  <c r="K124" i="87"/>
  <c r="AK127" i="87"/>
  <c r="M132" i="87"/>
  <c r="AJ165" i="87"/>
  <c r="S174" i="87"/>
  <c r="S119" i="87"/>
  <c r="AP134" i="87"/>
  <c r="U154" i="87"/>
  <c r="AT103" i="87"/>
  <c r="I123" i="87"/>
  <c r="AH145" i="87"/>
  <c r="W176" i="87"/>
  <c r="B164" i="87"/>
  <c r="AO90" i="87"/>
  <c r="AP150" i="87"/>
  <c r="R161" i="87"/>
  <c r="AP160" i="87"/>
  <c r="Z141" i="87"/>
  <c r="AO165" i="87"/>
  <c r="AH172" i="87"/>
  <c r="S121" i="87"/>
  <c r="AB149" i="87"/>
  <c r="AO155" i="87"/>
  <c r="AU158" i="87"/>
  <c r="AD99" i="87"/>
  <c r="AM80" i="87"/>
  <c r="AD83" i="87"/>
  <c r="T148" i="87"/>
  <c r="AJ90" i="87"/>
  <c r="AH131" i="87"/>
  <c r="AD136" i="87"/>
  <c r="AN143" i="87"/>
  <c r="AC174" i="87"/>
  <c r="B124" i="87"/>
  <c r="Q82" i="87"/>
  <c r="AO149" i="87"/>
  <c r="T162" i="87"/>
  <c r="V85" i="87"/>
  <c r="AO98" i="87"/>
  <c r="X110" i="87"/>
  <c r="AA159" i="87"/>
  <c r="M142" i="87"/>
  <c r="AQ165" i="87"/>
  <c r="X146" i="87"/>
  <c r="W126" i="87"/>
  <c r="O150" i="87"/>
  <c r="U177" i="87"/>
  <c r="B57" i="87"/>
  <c r="N169" i="87"/>
  <c r="AN95" i="87"/>
  <c r="W107" i="87"/>
  <c r="AU112" i="87"/>
  <c r="S127" i="87"/>
  <c r="AO126" i="87"/>
  <c r="AV149" i="87"/>
  <c r="V132" i="87"/>
  <c r="H97" i="87"/>
  <c r="I157" i="87"/>
  <c r="J124" i="87"/>
  <c r="Q102" i="87"/>
  <c r="Z83" i="87"/>
  <c r="AH87" i="87"/>
  <c r="P144" i="87"/>
  <c r="AS83" i="87"/>
  <c r="O128" i="87"/>
  <c r="K133" i="87"/>
  <c r="Q136" i="87"/>
  <c r="J171" i="87"/>
  <c r="B129" i="87"/>
  <c r="U86" i="87"/>
  <c r="AK145" i="87"/>
  <c r="Y158" i="87"/>
  <c r="AC83" i="87"/>
  <c r="AG131" i="87"/>
  <c r="H151" i="87"/>
  <c r="B163" i="87"/>
  <c r="AF179" i="87"/>
  <c r="AW98" i="87"/>
  <c r="AR116" i="87"/>
  <c r="AE165" i="87"/>
  <c r="S118" i="87"/>
  <c r="AB143" i="87"/>
  <c r="AF168" i="87"/>
  <c r="H178" i="87"/>
  <c r="AD130" i="87"/>
  <c r="AF153" i="87"/>
  <c r="AS159" i="87"/>
  <c r="AA163" i="87"/>
  <c r="AW83" i="87"/>
  <c r="AK80" i="87"/>
  <c r="Y94" i="87"/>
  <c r="O159" i="87"/>
  <c r="AR98" i="87"/>
  <c r="H137" i="87"/>
  <c r="AH140" i="87"/>
  <c r="AR147" i="87"/>
  <c r="B75" i="87"/>
  <c r="AC100" i="87"/>
  <c r="P142" i="87"/>
  <c r="S149" i="87"/>
  <c r="AO161" i="87"/>
  <c r="L170" i="87"/>
  <c r="Q104" i="87"/>
  <c r="W85" i="87"/>
  <c r="AH127" i="87"/>
  <c r="M131" i="87"/>
  <c r="AO124" i="87"/>
  <c r="AV147" i="87"/>
  <c r="AR161" i="87"/>
  <c r="AB171" i="87"/>
  <c r="AK153" i="87"/>
  <c r="R164" i="87"/>
  <c r="AQ122" i="87"/>
  <c r="I173" i="87"/>
  <c r="AT161" i="87"/>
  <c r="AW85" i="87"/>
  <c r="K105" i="87"/>
  <c r="AW142" i="87"/>
  <c r="AB146" i="87"/>
  <c r="AL129" i="87"/>
  <c r="AD153" i="87"/>
  <c r="AH167" i="87"/>
  <c r="AL174" i="87"/>
  <c r="M164" i="87"/>
  <c r="B152" i="87"/>
  <c r="M175" i="87"/>
  <c r="B117" i="87"/>
  <c r="AU179" i="87"/>
  <c r="AD95" i="87"/>
  <c r="AI159" i="87"/>
  <c r="AU165" i="87"/>
  <c r="AA118" i="87"/>
  <c r="S142" i="87"/>
  <c r="H168" i="87"/>
  <c r="P175" i="87"/>
  <c r="J172" i="87"/>
  <c r="AO177" i="87"/>
  <c r="AB154" i="87"/>
  <c r="AJ166" i="87"/>
  <c r="AJ147" i="87"/>
  <c r="AI178" i="87"/>
  <c r="O179" i="87"/>
  <c r="AS94" i="87"/>
  <c r="AT154" i="87"/>
  <c r="AC163" i="87"/>
  <c r="K161" i="87"/>
  <c r="AP141" i="87"/>
  <c r="P168" i="87"/>
  <c r="S173" i="87"/>
  <c r="Z126" i="87"/>
  <c r="M150" i="87"/>
  <c r="I155" i="87"/>
  <c r="O158" i="87"/>
  <c r="AO167" i="87"/>
  <c r="AB99" i="87"/>
  <c r="P113" i="87"/>
  <c r="T129" i="87"/>
  <c r="AC131" i="87"/>
  <c r="O122" i="87"/>
  <c r="X147" i="87"/>
  <c r="AC173" i="87"/>
  <c r="B77" i="87"/>
  <c r="H170" i="87"/>
  <c r="Y168" i="87"/>
  <c r="B138" i="87"/>
  <c r="B37" i="87"/>
  <c r="I172" i="87"/>
  <c r="V106" i="87"/>
  <c r="P124" i="87"/>
  <c r="H149" i="87"/>
  <c r="AH152" i="87"/>
  <c r="AQ134" i="87"/>
  <c r="AI158" i="87"/>
  <c r="B130" i="87"/>
  <c r="AW174" i="87"/>
  <c r="P179" i="87"/>
  <c r="B133" i="87"/>
  <c r="AG134" i="87"/>
  <c r="AO125" i="87"/>
  <c r="AA157" i="87"/>
  <c r="AB164" i="87"/>
  <c r="AT172" i="87"/>
  <c r="Y112" i="87"/>
  <c r="AR90" i="87"/>
  <c r="AL131" i="87"/>
  <c r="AU133" i="87"/>
  <c r="K126" i="87"/>
  <c r="R149" i="87"/>
  <c r="AE164" i="87"/>
  <c r="AA100" i="87"/>
  <c r="K159" i="87"/>
  <c r="AO123" i="87"/>
  <c r="AD125" i="87"/>
  <c r="AQ175" i="87"/>
  <c r="AG164" i="87"/>
  <c r="W91" i="87"/>
  <c r="AF110" i="87"/>
  <c r="AJ145" i="87"/>
  <c r="O149" i="87"/>
  <c r="H131" i="87"/>
  <c r="AU154" i="87"/>
  <c r="AL171" i="87"/>
  <c r="Y177" i="87"/>
  <c r="AU166" i="87"/>
  <c r="K179" i="87"/>
  <c r="AU177" i="87"/>
  <c r="B30" i="87"/>
  <c r="AC84" i="87"/>
  <c r="AL103" i="87"/>
  <c r="AA120" i="87"/>
  <c r="W125" i="87"/>
  <c r="AR119" i="87"/>
  <c r="U144" i="87"/>
  <c r="J170" i="87"/>
  <c r="B109" i="87"/>
  <c r="AR174" i="87"/>
  <c r="H165" i="87"/>
  <c r="L101" i="87"/>
  <c r="AC127" i="87"/>
  <c r="AN151" i="87"/>
  <c r="B94" i="87"/>
  <c r="N85" i="87"/>
  <c r="S100" i="87"/>
  <c r="T160" i="87"/>
  <c r="P166" i="87"/>
  <c r="AI118" i="87"/>
  <c r="L143" i="87"/>
  <c r="Z170" i="87"/>
  <c r="W177" i="87"/>
  <c r="AU131" i="87"/>
  <c r="AU152" i="87"/>
  <c r="AQ157" i="87"/>
  <c r="N161" i="87"/>
  <c r="AB170" i="87"/>
  <c r="AW104" i="87"/>
  <c r="U83" i="87"/>
  <c r="X133" i="87"/>
  <c r="P134" i="87"/>
  <c r="AF123" i="87"/>
  <c r="AO148" i="87"/>
  <c r="P176" i="87"/>
  <c r="B104" i="87"/>
  <c r="AP172" i="87"/>
  <c r="AS172" i="87"/>
  <c r="AK179" i="87"/>
  <c r="AO171" i="87"/>
  <c r="AQ174" i="87"/>
  <c r="AQ111" i="87"/>
  <c r="X132" i="87"/>
  <c r="AP151" i="87"/>
  <c r="N156" i="87"/>
  <c r="M136" i="87"/>
  <c r="AV176" i="87"/>
  <c r="AB163" i="87"/>
  <c r="AB179" i="87"/>
  <c r="P173" i="87"/>
  <c r="Y133" i="87"/>
  <c r="R155" i="87"/>
  <c r="AF143" i="87"/>
  <c r="U174" i="87"/>
  <c r="B132" i="87"/>
  <c r="AK86" i="87"/>
  <c r="AL146" i="87"/>
  <c r="AW158" i="87"/>
  <c r="I159" i="87"/>
  <c r="AN139" i="87"/>
  <c r="Y165" i="87"/>
  <c r="O169" i="87"/>
  <c r="L114" i="87"/>
  <c r="I146" i="87"/>
  <c r="AI149" i="87"/>
  <c r="K154" i="87"/>
  <c r="B49" i="87"/>
  <c r="AG88" i="87"/>
  <c r="H105" i="87"/>
  <c r="AT123" i="87"/>
  <c r="Y127" i="87"/>
  <c r="M120" i="87"/>
  <c r="AK144" i="87"/>
  <c r="Y169" i="87"/>
  <c r="AE174" i="87"/>
  <c r="AS179" i="87"/>
  <c r="AK175" i="87"/>
  <c r="AI176" i="87"/>
  <c r="AQ179" i="87"/>
  <c r="AM170" i="87"/>
  <c r="AI103" i="87"/>
  <c r="Z120" i="87"/>
  <c r="AL147" i="87"/>
  <c r="Q151" i="87"/>
  <c r="K134" i="87"/>
  <c r="R157" i="87"/>
  <c r="B103" i="87"/>
  <c r="AF173" i="87"/>
  <c r="AQ178" i="87"/>
  <c r="Y135" i="87"/>
  <c r="AO130" i="87"/>
  <c r="AG128" i="87"/>
  <c r="AT178" i="87"/>
  <c r="AL169" i="87"/>
  <c r="P100" i="87"/>
  <c r="X118" i="87"/>
  <c r="T145" i="87"/>
  <c r="AC147" i="87"/>
  <c r="Q132" i="87"/>
  <c r="Z157" i="87"/>
  <c r="M178" i="87"/>
  <c r="AV86" i="87"/>
  <c r="AA132" i="87"/>
  <c r="W137" i="87"/>
  <c r="L139" i="87"/>
  <c r="AV169" i="87"/>
  <c r="B121" i="87"/>
  <c r="AK121" i="87"/>
  <c r="AJ144" i="87"/>
  <c r="R159" i="87"/>
  <c r="AF158" i="87"/>
  <c r="N137" i="87"/>
  <c r="N162" i="87"/>
  <c r="AV170" i="87"/>
  <c r="AU172" i="87"/>
  <c r="B165" i="87"/>
  <c r="W164" i="87"/>
  <c r="V173" i="87"/>
  <c r="M171" i="87"/>
  <c r="S106" i="87"/>
  <c r="Y87" i="87"/>
  <c r="V131" i="87"/>
  <c r="AV134" i="87"/>
  <c r="AG124" i="87"/>
  <c r="AP149" i="87"/>
  <c r="T161" i="87"/>
  <c r="AJ172" i="87"/>
  <c r="O166" i="87"/>
  <c r="Y166" i="87"/>
  <c r="AN118" i="87"/>
  <c r="AO140" i="87"/>
  <c r="I165" i="87"/>
  <c r="Q171" i="87"/>
  <c r="AF118" i="87"/>
  <c r="K148" i="87"/>
  <c r="X154" i="87"/>
  <c r="AD157" i="87"/>
  <c r="I94" i="87"/>
  <c r="K119" i="87"/>
  <c r="AQ80" i="87"/>
  <c r="AG145" i="87"/>
  <c r="AW87" i="87"/>
  <c r="Q130" i="87"/>
  <c r="M135" i="87"/>
  <c r="W142" i="87"/>
  <c r="L173" i="87"/>
  <c r="B161" i="87"/>
  <c r="W123" i="87"/>
  <c r="AO142" i="87"/>
  <c r="AJ136" i="87"/>
  <c r="AI82" i="87"/>
  <c r="X97" i="87"/>
  <c r="AK107" i="87"/>
  <c r="J158" i="87"/>
  <c r="AB141" i="87"/>
  <c r="K165" i="87"/>
  <c r="AM145" i="87"/>
  <c r="AL125" i="87"/>
  <c r="AD149" i="87"/>
  <c r="AJ176" i="87"/>
  <c r="B52" i="87"/>
  <c r="AC168" i="87"/>
  <c r="W94" i="87"/>
  <c r="AJ104" i="87"/>
  <c r="AD111" i="87"/>
  <c r="AW125" i="87"/>
  <c r="I126" i="87"/>
  <c r="P149" i="87"/>
  <c r="AK131" i="87"/>
  <c r="AC155" i="87"/>
  <c r="V154" i="87"/>
  <c r="AM121" i="87"/>
  <c r="AQ96" i="87"/>
  <c r="AS121" i="87"/>
  <c r="AU84" i="87"/>
  <c r="AC141" i="87"/>
  <c r="K81" i="87"/>
  <c r="AS126" i="87"/>
  <c r="AO131" i="87"/>
  <c r="AU134" i="87"/>
  <c r="AN169" i="87"/>
  <c r="AE178" i="87"/>
  <c r="AH83" i="87"/>
  <c r="P140" i="87"/>
  <c r="H157" i="87"/>
  <c r="AO114" i="87"/>
  <c r="AT128" i="87"/>
  <c r="AL149" i="87"/>
  <c r="B99" i="87"/>
  <c r="B177" i="87"/>
  <c r="O96" i="87"/>
  <c r="P156" i="87"/>
  <c r="N164" i="87"/>
  <c r="AH117" i="87"/>
  <c r="AQ142" i="87"/>
  <c r="AU167" i="87"/>
  <c r="AL176" i="87"/>
  <c r="AQ127" i="87"/>
  <c r="O152" i="87"/>
  <c r="AB158" i="87"/>
  <c r="J162" i="87"/>
  <c r="AT115" i="87"/>
  <c r="AH91" i="87"/>
  <c r="AL91" i="87"/>
  <c r="AB156" i="87"/>
  <c r="J96" i="87"/>
  <c r="AL135" i="87"/>
  <c r="Q139" i="87"/>
  <c r="AA146" i="87"/>
  <c r="P177" i="87"/>
  <c r="B42" i="87"/>
  <c r="Y90" i="87"/>
  <c r="O155" i="87"/>
  <c r="X166" i="87"/>
  <c r="AQ90" i="87"/>
  <c r="AB101" i="87"/>
  <c r="K113" i="87"/>
  <c r="AJ117" i="87"/>
  <c r="AD143" i="87"/>
  <c r="M167" i="87"/>
  <c r="AO147" i="87"/>
  <c r="AN127" i="87"/>
  <c r="AF151" i="87"/>
  <c r="AQ160" i="87"/>
  <c r="U179" i="87"/>
  <c r="AE170" i="87"/>
  <c r="AA98" i="87"/>
  <c r="J110" i="87"/>
  <c r="AH115" i="87"/>
  <c r="W131" i="87"/>
  <c r="K128" i="87"/>
  <c r="R151" i="87"/>
  <c r="X134" i="87"/>
  <c r="AC102" i="87"/>
  <c r="AE120" i="87"/>
  <c r="AR126" i="87"/>
  <c r="L113" i="87"/>
  <c r="U94" i="87"/>
  <c r="H93" i="87"/>
  <c r="X152" i="87"/>
  <c r="S89" i="87"/>
  <c r="AW130" i="87"/>
  <c r="AS135" i="87"/>
  <c r="U140" i="87"/>
  <c r="AR173" i="87"/>
  <c r="B156" i="87"/>
  <c r="AP91" i="87"/>
  <c r="K151" i="87"/>
  <c r="AH161" i="87"/>
  <c r="AS99" i="87"/>
  <c r="AO139" i="87"/>
  <c r="AP153" i="87"/>
  <c r="B60" i="87"/>
  <c r="AR83" i="87"/>
  <c r="W104" i="87"/>
  <c r="AB121" i="87"/>
  <c r="AG123" i="87"/>
  <c r="U120" i="87"/>
  <c r="AS144" i="87"/>
  <c r="K171" i="87"/>
  <c r="AI162" i="87"/>
  <c r="AL138" i="87"/>
  <c r="S156" i="87"/>
  <c r="X119" i="87"/>
  <c r="AH166" i="87"/>
  <c r="AR94" i="87"/>
  <c r="K86" i="87"/>
  <c r="AT99" i="87"/>
  <c r="K120" i="87"/>
  <c r="R104" i="87"/>
  <c r="AP139" i="87"/>
  <c r="AL144" i="87"/>
  <c r="AE150" i="87"/>
  <c r="B102" i="87"/>
  <c r="M84" i="87"/>
  <c r="AG98" i="87"/>
  <c r="AS118" i="87"/>
  <c r="AL132" i="87"/>
  <c r="AL101" i="87"/>
  <c r="AF105" i="87"/>
  <c r="AE117" i="87"/>
  <c r="AN121" i="87"/>
  <c r="AF145" i="87"/>
  <c r="AH124" i="87"/>
  <c r="AQ149" i="87"/>
  <c r="AP129" i="87"/>
  <c r="AH153" i="87"/>
  <c r="R163" i="87"/>
  <c r="AD166" i="87"/>
  <c r="AG172" i="87"/>
  <c r="AE102" i="87"/>
  <c r="N114" i="87"/>
  <c r="X86" i="87"/>
  <c r="AA135" i="87"/>
  <c r="M130" i="87"/>
  <c r="AK154" i="87"/>
  <c r="Z136" i="87"/>
  <c r="X113" i="87"/>
  <c r="AI124" i="87"/>
  <c r="AV130" i="87"/>
  <c r="J92" i="87"/>
  <c r="O90" i="87"/>
  <c r="P101" i="87"/>
  <c r="AF160" i="87"/>
  <c r="N100" i="87"/>
  <c r="W136" i="87"/>
  <c r="AW139" i="87"/>
  <c r="Y144" i="87"/>
  <c r="AV177" i="87"/>
  <c r="AQ82" i="87"/>
  <c r="AK102" i="87"/>
  <c r="S159" i="87"/>
  <c r="I167" i="87"/>
  <c r="N116" i="87"/>
  <c r="AW147" i="87"/>
  <c r="AT157" i="87"/>
  <c r="N166" i="87"/>
  <c r="AM94" i="87"/>
  <c r="AE112" i="87"/>
  <c r="AF125" i="87"/>
  <c r="K129" i="87"/>
  <c r="H123" i="87"/>
  <c r="AU146" i="87"/>
  <c r="O175" i="87"/>
  <c r="I168" i="87"/>
  <c r="AT146" i="87"/>
  <c r="P162" i="87"/>
  <c r="AB123" i="87"/>
  <c r="X172" i="87"/>
  <c r="M111" i="87"/>
  <c r="S94" i="87"/>
  <c r="AO110" i="87"/>
  <c r="U100" i="87"/>
  <c r="M115" i="87"/>
  <c r="AT143" i="87"/>
  <c r="AP148" i="87"/>
  <c r="AI154" i="87"/>
  <c r="L179" i="87"/>
  <c r="U92" i="87"/>
  <c r="AB109" i="87"/>
  <c r="H125" i="87"/>
  <c r="U131" i="87"/>
  <c r="AT109" i="87"/>
  <c r="AJ109" i="87"/>
  <c r="AI121" i="87"/>
  <c r="AP123" i="87"/>
  <c r="AH147" i="87"/>
  <c r="U127" i="87"/>
  <c r="AS151" i="87"/>
  <c r="AR131" i="87"/>
  <c r="U156" i="87"/>
  <c r="AK166" i="87"/>
  <c r="AI169" i="87"/>
  <c r="T175" i="87"/>
  <c r="AI106" i="87"/>
  <c r="U121" i="87"/>
  <c r="AB90" i="87"/>
  <c r="AE139" i="87"/>
  <c r="O132" i="87"/>
  <c r="X157" i="87"/>
  <c r="AB138" i="87"/>
  <c r="AT84" i="87"/>
  <c r="I130" i="87"/>
  <c r="V136" i="87"/>
  <c r="AU113" i="87"/>
  <c r="W98" i="87"/>
  <c r="K112" i="87"/>
  <c r="AM86" i="87"/>
  <c r="V108" i="87"/>
  <c r="AA140" i="87"/>
  <c r="W145" i="87"/>
  <c r="AC148" i="87"/>
  <c r="B134" i="87"/>
  <c r="AL93" i="87"/>
  <c r="AS110" i="87"/>
  <c r="AJ121" i="87"/>
  <c r="AF126" i="87"/>
  <c r="AW133" i="87"/>
  <c r="J156" i="87"/>
  <c r="Z162" i="87"/>
  <c r="AR170" i="87"/>
  <c r="AU102" i="87"/>
  <c r="AN86" i="87"/>
  <c r="AJ129" i="87"/>
  <c r="O133" i="87"/>
  <c r="J125" i="87"/>
  <c r="AW148" i="87"/>
  <c r="AW178" i="87"/>
  <c r="W96" i="87"/>
  <c r="AO157" i="87"/>
  <c r="X122" i="87"/>
  <c r="AF127" i="87"/>
  <c r="AB176" i="87"/>
  <c r="AV128" i="87"/>
  <c r="N105" i="87"/>
  <c r="AE81" i="87"/>
  <c r="AK116" i="87"/>
  <c r="AA127" i="87"/>
  <c r="T149" i="87"/>
  <c r="AT152" i="87"/>
  <c r="I160" i="87"/>
  <c r="AH168" i="87"/>
  <c r="L112" i="87"/>
  <c r="AA113" i="87"/>
  <c r="AC124" i="87"/>
  <c r="AP174" i="87"/>
  <c r="Q164" i="87"/>
  <c r="H92" i="87"/>
  <c r="AU109" i="87"/>
  <c r="AT139" i="87"/>
  <c r="Y143" i="87"/>
  <c r="O130" i="87"/>
  <c r="X155" i="87"/>
  <c r="I174" i="87"/>
  <c r="AQ116" i="87"/>
  <c r="W128" i="87"/>
  <c r="AW131" i="87"/>
  <c r="H135" i="87"/>
  <c r="AR165" i="87"/>
  <c r="AB175" i="87"/>
  <c r="Z110" i="87"/>
  <c r="AB136" i="87"/>
  <c r="N155" i="87"/>
  <c r="AD156" i="87"/>
  <c r="L135" i="87"/>
  <c r="AJ159" i="87"/>
  <c r="B64" i="87"/>
  <c r="AQ168" i="87"/>
  <c r="Y176" i="87"/>
  <c r="I177" i="87"/>
  <c r="AV167" i="87"/>
  <c r="AQ169" i="87"/>
  <c r="AF103" i="87"/>
  <c r="AL84" i="87"/>
  <c r="AI128" i="87"/>
  <c r="AE133" i="87"/>
  <c r="AV123" i="87"/>
  <c r="J149" i="87"/>
  <c r="R178" i="87"/>
  <c r="S171" i="87"/>
  <c r="AS164" i="87"/>
  <c r="B170" i="87"/>
  <c r="AF102" i="87"/>
  <c r="AF146" i="87"/>
  <c r="AV159" i="87"/>
  <c r="AP168" i="87"/>
  <c r="AD101" i="87"/>
  <c r="AJ82" i="87"/>
  <c r="Q126" i="87"/>
  <c r="AQ129" i="87"/>
  <c r="I124" i="87"/>
  <c r="P147" i="87"/>
  <c r="AH178" i="87"/>
  <c r="K170" i="87"/>
  <c r="P148" i="87"/>
  <c r="AV162" i="87"/>
  <c r="Z121" i="87"/>
  <c r="AM171" i="87"/>
  <c r="AJ178" i="87"/>
  <c r="O83" i="87"/>
  <c r="X102" i="87"/>
  <c r="AF141" i="87"/>
  <c r="K145" i="87"/>
  <c r="U128" i="87"/>
  <c r="AS152" i="87"/>
  <c r="Q166" i="87"/>
  <c r="U173" i="87"/>
  <c r="AQ162" i="87"/>
  <c r="B88" i="87"/>
  <c r="AQ173" i="87"/>
  <c r="AG168" i="87"/>
  <c r="B50" i="87"/>
  <c r="V87" i="87"/>
  <c r="AA151" i="87"/>
  <c r="AQ161" i="87"/>
  <c r="R160" i="87"/>
  <c r="Q140" i="87"/>
  <c r="Q165" i="87"/>
  <c r="AA170" i="87"/>
  <c r="AE179" i="87"/>
  <c r="AF161" i="87"/>
  <c r="U162" i="87"/>
  <c r="AA160" i="87"/>
  <c r="T125" i="87"/>
  <c r="P127" i="87"/>
  <c r="AC177" i="87"/>
  <c r="U168" i="87"/>
  <c r="AC97" i="87"/>
  <c r="U115" i="87"/>
  <c r="AG142" i="87"/>
  <c r="L146" i="87"/>
  <c r="AF131" i="87"/>
  <c r="AO156" i="87"/>
  <c r="AQ176" i="87"/>
  <c r="N84" i="87"/>
  <c r="J131" i="87"/>
  <c r="AJ134" i="87"/>
  <c r="AP137" i="87"/>
  <c r="AE168" i="87"/>
  <c r="O178" i="87"/>
  <c r="AU115" i="87"/>
  <c r="AW141" i="87"/>
  <c r="AV157" i="87"/>
  <c r="AU157" i="87"/>
  <c r="AC136" i="87"/>
  <c r="V161" i="87"/>
  <c r="N168" i="87"/>
  <c r="AD171" i="87"/>
  <c r="B101" i="87"/>
  <c r="AJ161" i="87"/>
  <c r="AI170" i="87"/>
  <c r="AD172" i="87"/>
  <c r="AN111" i="87"/>
  <c r="L90" i="87"/>
  <c r="AM132" i="87"/>
  <c r="R136" i="87"/>
  <c r="R125" i="87"/>
  <c r="AA150" i="87"/>
  <c r="AS162" i="87"/>
  <c r="W175" i="87"/>
  <c r="AF167" i="87"/>
  <c r="AP161" i="87"/>
  <c r="Q119" i="87"/>
  <c r="AN154" i="87"/>
  <c r="K163" i="87"/>
  <c r="AC171" i="87"/>
  <c r="AL109" i="87"/>
  <c r="J88" i="87"/>
  <c r="U130" i="87"/>
  <c r="AD132" i="87"/>
  <c r="Z125" i="87"/>
  <c r="AG148" i="87"/>
  <c r="N163" i="87"/>
  <c r="AN97" i="87"/>
  <c r="X156" i="87"/>
  <c r="AI165" i="87"/>
  <c r="M124" i="87"/>
  <c r="Z174" i="87"/>
  <c r="P163" i="87"/>
  <c r="O146" i="87"/>
  <c r="AS173" i="87"/>
  <c r="AM166" i="87"/>
  <c r="L144" i="87"/>
  <c r="W160" i="87"/>
  <c r="K122" i="87"/>
  <c r="AK169" i="87"/>
  <c r="AM105" i="87"/>
  <c r="AF91" i="87"/>
  <c r="T105" i="87"/>
  <c r="AU94" i="87"/>
  <c r="Z112" i="87"/>
  <c r="AC142" i="87"/>
  <c r="Y147" i="87"/>
  <c r="R153" i="87"/>
  <c r="B73" i="87"/>
  <c r="AH89" i="87"/>
  <c r="AO106" i="87"/>
  <c r="AU125" i="87"/>
  <c r="AB133" i="87"/>
  <c r="L107" i="87"/>
  <c r="S108" i="87"/>
  <c r="R120" i="87"/>
  <c r="J123" i="87"/>
  <c r="AW146" i="87"/>
  <c r="AJ126" i="87"/>
  <c r="M151" i="87"/>
  <c r="L131" i="87"/>
  <c r="AJ155" i="87"/>
  <c r="T165" i="87"/>
  <c r="R168" i="87"/>
  <c r="AI174" i="87"/>
  <c r="R105" i="87"/>
  <c r="AH118" i="87"/>
  <c r="K89" i="87"/>
  <c r="N138" i="87"/>
  <c r="AD131" i="87"/>
  <c r="AM156" i="87"/>
  <c r="AQ137" i="87"/>
  <c r="L82" i="87"/>
  <c r="AM128" i="87"/>
  <c r="AI133" i="87"/>
  <c r="Z108" i="87"/>
  <c r="AJ95" i="87"/>
  <c r="X109" i="87"/>
  <c r="R81" i="87"/>
  <c r="AI105" i="87"/>
  <c r="J139" i="87"/>
  <c r="AJ142" i="87"/>
  <c r="L147" i="87"/>
  <c r="B171" i="87"/>
  <c r="Q88" i="87"/>
  <c r="K108" i="87"/>
  <c r="O120" i="87"/>
  <c r="O125" i="87"/>
  <c r="AB128" i="87"/>
  <c r="W153" i="87"/>
  <c r="AG160" i="87"/>
  <c r="AA169" i="87"/>
  <c r="M100" i="87"/>
  <c r="S81" i="87"/>
  <c r="S128" i="87"/>
  <c r="AS131" i="87"/>
  <c r="Y124" i="87"/>
  <c r="Q148" i="87"/>
  <c r="AW177" i="87"/>
  <c r="AQ170" i="87"/>
  <c r="T152" i="87"/>
  <c r="T166" i="87"/>
  <c r="O126" i="87"/>
  <c r="K175" i="87"/>
  <c r="M123" i="87"/>
  <c r="AA102" i="87"/>
  <c r="O116" i="87"/>
  <c r="P111" i="87"/>
  <c r="AN124" i="87"/>
  <c r="AG146" i="87"/>
  <c r="AC151" i="87"/>
  <c r="AM158" i="87"/>
  <c r="O167" i="87"/>
  <c r="AP97" i="87"/>
  <c r="AW114" i="87"/>
  <c r="AP127" i="87"/>
  <c r="H134" i="87"/>
  <c r="T115" i="87"/>
  <c r="AN113" i="87"/>
  <c r="Y125" i="87"/>
  <c r="L125" i="87"/>
  <c r="AJ149" i="87"/>
  <c r="W129" i="87"/>
  <c r="O153" i="87"/>
  <c r="N133" i="87"/>
  <c r="W158" i="87"/>
  <c r="AM168" i="87"/>
  <c r="AK171" i="87"/>
  <c r="V177" i="87"/>
  <c r="AM110" i="87"/>
  <c r="O80" i="87"/>
  <c r="O93" i="87"/>
  <c r="R142" i="87"/>
  <c r="AF133" i="87"/>
  <c r="AO158" i="87"/>
  <c r="AS139" i="87"/>
  <c r="T90" i="87"/>
  <c r="AQ132" i="87"/>
  <c r="I139" i="87"/>
  <c r="N126" i="87"/>
  <c r="AR103" i="87"/>
  <c r="N80" i="87"/>
  <c r="AH97" i="87"/>
  <c r="AQ113" i="87"/>
  <c r="N143" i="87"/>
  <c r="J148" i="87"/>
  <c r="P151" i="87"/>
  <c r="B36" i="87"/>
  <c r="L99" i="87"/>
  <c r="S116" i="87"/>
  <c r="AN125" i="87"/>
  <c r="S129" i="87"/>
  <c r="AR144" i="87"/>
  <c r="AE161" i="87"/>
  <c r="M165" i="87"/>
  <c r="AE173" i="87"/>
  <c r="U108" i="87"/>
  <c r="N92" i="87"/>
  <c r="AN133" i="87"/>
  <c r="AW135" i="87"/>
  <c r="AA126" i="87"/>
  <c r="S150" i="87"/>
  <c r="AT163" i="87"/>
  <c r="AR101" i="87"/>
  <c r="AK118" i="87"/>
  <c r="AQ125" i="87"/>
  <c r="S130" i="87"/>
  <c r="AO178" i="87"/>
  <c r="AQ139" i="87"/>
  <c r="AI110" i="87"/>
  <c r="AM89" i="87"/>
  <c r="AC89" i="87"/>
  <c r="AV132" i="87"/>
  <c r="X153" i="87"/>
  <c r="AG155" i="87"/>
  <c r="S163" i="87"/>
  <c r="AL172" i="87"/>
  <c r="AK108" i="87"/>
  <c r="Z88" i="87"/>
  <c r="AT131" i="87"/>
  <c r="AR140" i="87"/>
  <c r="L88" i="87"/>
  <c r="Z80" i="87"/>
  <c r="AC129" i="87"/>
  <c r="N127" i="87"/>
  <c r="W152" i="87"/>
  <c r="Y131" i="87"/>
  <c r="Q155" i="87"/>
  <c r="P135" i="87"/>
  <c r="Y160" i="87"/>
  <c r="AO170" i="87"/>
  <c r="X174" i="87"/>
  <c r="B145" i="87"/>
  <c r="AQ114" i="87"/>
  <c r="S84" i="87"/>
  <c r="S97" i="87"/>
  <c r="AM147" i="87"/>
  <c r="AH135" i="87"/>
  <c r="AW160" i="87"/>
  <c r="AU141" i="87"/>
  <c r="O101" i="87"/>
  <c r="AU136" i="87"/>
  <c r="M143" i="87"/>
  <c r="AD142" i="87"/>
  <c r="AM114" i="87"/>
  <c r="V88" i="87"/>
  <c r="U81" i="87"/>
  <c r="J126" i="87"/>
  <c r="R147" i="87"/>
  <c r="N152" i="87"/>
  <c r="AK156" i="87"/>
  <c r="AW167" i="87"/>
  <c r="T107" i="87"/>
  <c r="I87" i="87"/>
  <c r="AR129" i="87"/>
  <c r="AN134" i="87"/>
  <c r="M161" i="87"/>
  <c r="AA122" i="87"/>
  <c r="W171" i="87"/>
  <c r="AI177" i="87"/>
  <c r="AC116" i="87"/>
  <c r="V100" i="87"/>
  <c r="AR137" i="87"/>
  <c r="W141" i="87"/>
  <c r="AC128" i="87"/>
  <c r="AL153" i="87"/>
  <c r="T169" i="87"/>
  <c r="AM112" i="87"/>
  <c r="AH123" i="87"/>
  <c r="AU129" i="87"/>
  <c r="AN135" i="87"/>
  <c r="L165" i="87"/>
  <c r="L156" i="87"/>
  <c r="AN80" i="87"/>
  <c r="AU97" i="87"/>
  <c r="S111" i="87"/>
  <c r="I141" i="87"/>
  <c r="AB157" i="87"/>
  <c r="AT117" i="87"/>
  <c r="L168" i="87"/>
  <c r="AP176" i="87"/>
  <c r="AS116" i="87"/>
  <c r="AH96" i="87"/>
  <c r="T137" i="87"/>
  <c r="AV144" i="87"/>
  <c r="T96" i="87"/>
  <c r="AD84" i="87"/>
  <c r="AG133" i="87"/>
  <c r="P129" i="87"/>
  <c r="Y154" i="87"/>
  <c r="AA133" i="87"/>
  <c r="S157" i="87"/>
  <c r="R137" i="87"/>
  <c r="AI163" i="87"/>
  <c r="AQ172" i="87"/>
  <c r="Z176" i="87"/>
  <c r="B140" i="87"/>
  <c r="AC81" i="87"/>
  <c r="AN89" i="87"/>
  <c r="AN102" i="87"/>
  <c r="AQ151" i="87"/>
  <c r="U138" i="87"/>
  <c r="AL164" i="87"/>
  <c r="AW143" i="87"/>
  <c r="W109" i="87"/>
  <c r="U142" i="87"/>
  <c r="Q147" i="87"/>
  <c r="AV160" i="87"/>
  <c r="AR84" i="87"/>
  <c r="AD96" i="87"/>
  <c r="AK97" i="87"/>
  <c r="R134" i="87"/>
  <c r="AM152" i="87"/>
  <c r="R156" i="87"/>
  <c r="AH162" i="87"/>
  <c r="W173" i="87"/>
  <c r="AR80" i="87"/>
  <c r="Q95" i="87"/>
  <c r="AV133" i="87"/>
  <c r="AR138" i="87"/>
  <c r="X129" i="87"/>
  <c r="AE126" i="87"/>
  <c r="AA175" i="87"/>
  <c r="AF163" i="87"/>
  <c r="AL90" i="87"/>
  <c r="AD108" i="87"/>
  <c r="AV141" i="87"/>
  <c r="AA145" i="87"/>
  <c r="AE130" i="87"/>
  <c r="AN155" i="87"/>
  <c r="AO174" i="87"/>
  <c r="AR82" i="87"/>
  <c r="H129" i="87"/>
  <c r="U135" i="87"/>
  <c r="AR139" i="87"/>
  <c r="P169" i="87"/>
  <c r="AG80" i="87"/>
  <c r="AV88" i="87"/>
  <c r="H106" i="87"/>
  <c r="AB85" i="87"/>
  <c r="Q149" i="87"/>
  <c r="H162" i="87"/>
  <c r="T123" i="87"/>
  <c r="P172" i="87"/>
  <c r="AM162" i="87"/>
  <c r="R80" i="87"/>
  <c r="W144" i="87"/>
  <c r="K138" i="87"/>
  <c r="AD167" i="87"/>
  <c r="AC176" i="87"/>
  <c r="AF116" i="87"/>
  <c r="I133" i="87"/>
  <c r="AB153" i="87"/>
  <c r="AK155" i="87"/>
  <c r="U136" i="87"/>
  <c r="AL162" i="87"/>
  <c r="B32" i="87"/>
  <c r="AD100" i="87"/>
  <c r="R139" i="87"/>
  <c r="N144" i="87"/>
  <c r="T147" i="87"/>
  <c r="I178" i="87"/>
  <c r="Z179" i="87"/>
  <c r="M94" i="87"/>
  <c r="R158" i="87"/>
  <c r="AF166" i="87"/>
  <c r="Y117" i="87"/>
  <c r="AG140" i="87"/>
  <c r="AG165" i="87"/>
  <c r="W166" i="87"/>
  <c r="B90" i="87"/>
  <c r="B162" i="87"/>
  <c r="N171" i="87"/>
  <c r="B149" i="87"/>
  <c r="AV163" i="87"/>
  <c r="AN92" i="87"/>
  <c r="O109" i="87"/>
  <c r="AU140" i="87"/>
  <c r="AQ145" i="87"/>
  <c r="X131" i="87"/>
  <c r="AE154" i="87"/>
  <c r="W172" i="87"/>
  <c r="K168" i="87"/>
  <c r="J177" i="87"/>
  <c r="AF122" i="87"/>
  <c r="Z158" i="87"/>
  <c r="L123" i="87"/>
  <c r="Y173" i="87"/>
  <c r="AU162" i="87"/>
  <c r="U89" i="87"/>
  <c r="M107" i="87"/>
  <c r="AC138" i="87"/>
  <c r="H142" i="87"/>
  <c r="AD129" i="87"/>
  <c r="AM154" i="87"/>
  <c r="AM172" i="87"/>
  <c r="I114" i="87"/>
  <c r="AJ125" i="87"/>
  <c r="AF130" i="87"/>
  <c r="AL133" i="87"/>
  <c r="AA164" i="87"/>
  <c r="K174" i="87"/>
  <c r="AM107" i="87"/>
  <c r="AO133" i="87"/>
  <c r="AR153" i="87"/>
  <c r="AS155" i="87"/>
  <c r="AA134" i="87"/>
  <c r="S158" i="87"/>
  <c r="B167" i="87"/>
  <c r="Z167" i="87"/>
  <c r="H175" i="87"/>
  <c r="AM175" i="87"/>
  <c r="AE166" i="87"/>
  <c r="AN179" i="87"/>
  <c r="X95" i="87"/>
  <c r="AT111" i="87"/>
  <c r="AE124" i="87"/>
  <c r="AA129" i="87"/>
  <c r="AT121" i="87"/>
  <c r="H147" i="87"/>
  <c r="N174" i="87"/>
  <c r="B70" i="87"/>
  <c r="AV178" i="87"/>
  <c r="T172" i="87"/>
  <c r="AU93" i="87"/>
  <c r="T146" i="87"/>
  <c r="AR149" i="87"/>
  <c r="AS140" i="87"/>
  <c r="Q170" i="87"/>
  <c r="B105" i="87"/>
  <c r="V122" i="87"/>
  <c r="AD138" i="87"/>
  <c r="O156" i="87"/>
  <c r="AM157" i="87"/>
  <c r="W138" i="87"/>
  <c r="H164" i="87"/>
  <c r="AT179" i="87"/>
  <c r="AL108" i="87"/>
  <c r="V143" i="87"/>
  <c r="AV146" i="87"/>
  <c r="X151" i="87"/>
  <c r="B78" i="87"/>
  <c r="L83" i="87"/>
  <c r="AH99" i="87"/>
  <c r="L121" i="87"/>
  <c r="AL124" i="87"/>
  <c r="AQ118" i="87"/>
  <c r="AI142" i="87"/>
  <c r="AM167" i="87"/>
  <c r="AR171" i="87"/>
  <c r="B61" i="87"/>
  <c r="AC167" i="87"/>
  <c r="AV173" i="87"/>
  <c r="B176" i="87"/>
  <c r="AI166" i="87"/>
  <c r="N98" i="87"/>
  <c r="AJ114" i="87"/>
  <c r="AH143" i="87"/>
  <c r="AD148" i="87"/>
  <c r="AO132" i="87"/>
  <c r="AV155" i="87"/>
  <c r="J175" i="87"/>
  <c r="AS170" i="87"/>
  <c r="B160" i="87"/>
  <c r="AH128" i="87"/>
  <c r="AG122" i="87"/>
  <c r="AT125" i="87"/>
  <c r="L176" i="87"/>
  <c r="AH165" i="87"/>
  <c r="AP94" i="87"/>
  <c r="AH112" i="87"/>
  <c r="P141" i="87"/>
  <c r="AP144" i="87"/>
  <c r="AU130" i="87"/>
  <c r="I156" i="87"/>
  <c r="Z175" i="87"/>
  <c r="AA81" i="87"/>
  <c r="AN129" i="87"/>
  <c r="S133" i="87"/>
  <c r="Y136" i="87"/>
  <c r="N167" i="87"/>
  <c r="AS176" i="87"/>
  <c r="M113" i="87"/>
  <c r="O139" i="87"/>
  <c r="AE156" i="87"/>
  <c r="O157" i="87"/>
  <c r="AR135" i="87"/>
  <c r="U160" i="87"/>
  <c r="AH179" i="87"/>
  <c r="M170" i="87"/>
  <c r="AP177" i="87"/>
  <c r="Z178" i="87"/>
  <c r="R169" i="87"/>
  <c r="Z168" i="87"/>
  <c r="AS100" i="87"/>
  <c r="T117" i="87"/>
  <c r="R127" i="87"/>
  <c r="N132" i="87"/>
  <c r="P123" i="87"/>
  <c r="Y148" i="87"/>
  <c r="AW169" i="87"/>
  <c r="X176" i="87"/>
  <c r="B80" i="87"/>
  <c r="AI87" i="87"/>
  <c r="AL95" i="87"/>
  <c r="W118" i="87"/>
  <c r="U169" i="87"/>
  <c r="AG175" i="87"/>
  <c r="M81" i="87"/>
  <c r="R96" i="87"/>
  <c r="Y134" i="87"/>
  <c r="AH136" i="87"/>
  <c r="AB127" i="87"/>
  <c r="T151" i="87"/>
  <c r="R167" i="87"/>
  <c r="AV105" i="87"/>
  <c r="AF121" i="87"/>
  <c r="AB126" i="87"/>
  <c r="Q128" i="87"/>
  <c r="AD178" i="87"/>
  <c r="AK168" i="87"/>
  <c r="AR96" i="87"/>
  <c r="I119" i="87"/>
  <c r="AN149" i="87"/>
  <c r="AW151" i="87"/>
  <c r="Y132" i="87"/>
  <c r="Q156" i="87"/>
  <c r="Y174" i="87"/>
  <c r="V163" i="87"/>
  <c r="AH169" i="87"/>
  <c r="R170" i="87"/>
  <c r="AA162" i="87"/>
  <c r="H179" i="87"/>
  <c r="AK92" i="87"/>
  <c r="L109" i="87"/>
  <c r="N123" i="87"/>
  <c r="J128" i="87"/>
  <c r="N121" i="87"/>
  <c r="W146" i="87"/>
  <c r="AR172" i="87"/>
  <c r="B136" i="87"/>
  <c r="AE177" i="87"/>
  <c r="AC170" i="87"/>
  <c r="AP80" i="87"/>
  <c r="AK135" i="87"/>
  <c r="AA154" i="87"/>
  <c r="B65" i="87"/>
  <c r="AI90" i="87"/>
  <c r="AA108" i="87"/>
  <c r="AQ120" i="87"/>
  <c r="V124" i="87"/>
  <c r="AK120" i="87"/>
  <c r="AC144" i="87"/>
  <c r="M173" i="87"/>
  <c r="T163" i="87"/>
  <c r="U137" i="87"/>
  <c r="AH155" i="87"/>
  <c r="AD160" i="87"/>
  <c r="L164" i="87"/>
  <c r="O173" i="87"/>
  <c r="W110" i="87"/>
  <c r="AP88" i="87"/>
  <c r="K136" i="87"/>
  <c r="T138" i="87"/>
  <c r="AW124" i="87"/>
  <c r="K150" i="87"/>
  <c r="Q178" i="87"/>
  <c r="B35" i="87"/>
  <c r="AC175" i="87"/>
  <c r="AF175" i="87"/>
  <c r="V168" i="87"/>
  <c r="AS175" i="87"/>
  <c r="AD177" i="87"/>
  <c r="AG117" i="87"/>
  <c r="AS137" i="87"/>
  <c r="AC154" i="87"/>
  <c r="AE157" i="87"/>
  <c r="AD137" i="87"/>
  <c r="AD162" i="87"/>
  <c r="R172" i="87"/>
  <c r="B159" i="87"/>
  <c r="U152" i="87"/>
  <c r="AG166" i="87"/>
  <c r="R107" i="87"/>
  <c r="Q122" i="87"/>
  <c r="AD128" i="87"/>
  <c r="W134" i="87"/>
  <c r="AP163" i="87"/>
  <c r="AL150" i="87"/>
  <c r="I116" i="87"/>
  <c r="M95" i="87"/>
  <c r="AS105" i="87"/>
  <c r="V138" i="87"/>
  <c r="K156" i="87"/>
  <c r="AK159" i="87"/>
  <c r="R166" i="87"/>
  <c r="Y175" i="87"/>
  <c r="K114" i="87"/>
  <c r="AP104" i="87"/>
  <c r="X150" i="87"/>
  <c r="AE143" i="87"/>
  <c r="AG93" i="87"/>
  <c r="M83" i="87"/>
  <c r="P132" i="87"/>
  <c r="AE128" i="87"/>
  <c r="AN153" i="87"/>
  <c r="AP132" i="87"/>
  <c r="AH156" i="87"/>
  <c r="AG136" i="87"/>
  <c r="R162" i="87"/>
  <c r="K172" i="87"/>
  <c r="AO175" i="87"/>
  <c r="B108" i="87"/>
  <c r="L80" i="87"/>
  <c r="W88" i="87"/>
  <c r="W101" i="87"/>
  <c r="Z150" i="87"/>
  <c r="AJ137" i="87"/>
  <c r="U163" i="87"/>
  <c r="Q143" i="87"/>
  <c r="AJ106" i="87"/>
  <c r="AH139" i="87"/>
  <c r="AU145" i="87"/>
  <c r="N158" i="87"/>
  <c r="J82" i="87"/>
  <c r="AQ93" i="87"/>
  <c r="P92" i="87"/>
  <c r="AE131" i="87"/>
  <c r="V151" i="87"/>
  <c r="AV154" i="87"/>
  <c r="AS160" i="87"/>
  <c r="AJ170" i="87"/>
  <c r="AB115" i="87"/>
  <c r="AD92" i="87"/>
  <c r="AE132" i="87"/>
  <c r="AA137" i="87"/>
  <c r="AK126" i="87"/>
  <c r="N125" i="87"/>
  <c r="J174" i="87"/>
  <c r="O162" i="87"/>
  <c r="Q85" i="87"/>
  <c r="AQ105" i="87"/>
  <c r="AE140" i="87"/>
  <c r="J144" i="87"/>
  <c r="AT129" i="87"/>
  <c r="H155" i="87"/>
  <c r="X173" i="87"/>
  <c r="J80" i="87"/>
  <c r="AL127" i="87"/>
  <c r="AH132" i="87"/>
  <c r="AA138" i="87"/>
  <c r="AT167" i="87"/>
  <c r="AN117" i="87"/>
  <c r="N86" i="87"/>
  <c r="U103" i="87"/>
  <c r="AD122" i="87"/>
  <c r="AD146" i="87"/>
  <c r="O160" i="87"/>
  <c r="AG120" i="87"/>
  <c r="AT170" i="87"/>
  <c r="H161" i="87"/>
  <c r="AV84" i="87"/>
  <c r="H102" i="87"/>
  <c r="X141" i="87"/>
  <c r="AI147" i="87"/>
  <c r="AB104" i="87"/>
  <c r="Q87" i="87"/>
  <c r="AK137" i="87"/>
  <c r="AG130" i="87"/>
  <c r="AP155" i="87"/>
  <c r="AR134" i="87"/>
  <c r="U159" i="87"/>
  <c r="T139" i="87"/>
  <c r="AK165" i="87"/>
  <c r="M174" i="87"/>
  <c r="AQ177" i="87"/>
  <c r="B74" i="87"/>
  <c r="P84" i="87"/>
  <c r="AA92" i="87"/>
  <c r="AA105" i="87"/>
  <c r="AD154" i="87"/>
  <c r="W140" i="87"/>
  <c r="H166" i="87"/>
  <c r="S145" i="87"/>
  <c r="AR114" i="87"/>
  <c r="H145" i="87"/>
  <c r="U151" i="87"/>
  <c r="T83" i="87"/>
  <c r="R90" i="87"/>
  <c r="AL104" i="87"/>
  <c r="AF108" i="87"/>
  <c r="Z142" i="87"/>
  <c r="Z155" i="87"/>
  <c r="V160" i="87"/>
  <c r="AA167" i="87"/>
  <c r="J176" i="87"/>
  <c r="R86" i="87"/>
  <c r="Y103" i="87"/>
  <c r="AI136" i="87"/>
  <c r="AE141" i="87"/>
  <c r="AS134" i="87"/>
  <c r="R129" i="87"/>
  <c r="N178" i="87"/>
  <c r="S166" i="87"/>
  <c r="L96" i="87"/>
  <c r="AL116" i="87"/>
  <c r="AI144" i="87"/>
  <c r="N148" i="87"/>
  <c r="AV131" i="87"/>
  <c r="J157" i="87"/>
  <c r="AB177" i="87"/>
  <c r="R88" i="87"/>
  <c r="AP131" i="87"/>
  <c r="H138" i="87"/>
  <c r="AE142" i="87"/>
  <c r="T173" i="87"/>
  <c r="AW96" i="87"/>
  <c r="V94" i="87"/>
  <c r="AC111" i="87"/>
  <c r="V95" i="87"/>
  <c r="Y157" i="87"/>
  <c r="AP164" i="87"/>
  <c r="X127" i="87"/>
  <c r="T176" i="87"/>
  <c r="Z165" i="87"/>
  <c r="I93" i="87"/>
  <c r="P110" i="87"/>
  <c r="AB145" i="87"/>
  <c r="I153" i="87"/>
  <c r="AJ112" i="87"/>
  <c r="AL92" i="87"/>
  <c r="K143" i="87"/>
  <c r="T133" i="87"/>
  <c r="AR157" i="87"/>
  <c r="AT136" i="87"/>
  <c r="AD117" i="87"/>
  <c r="AM142" i="87"/>
  <c r="M169" i="87"/>
  <c r="O176" i="87"/>
  <c r="AL161" i="87"/>
  <c r="AM179" i="87"/>
  <c r="AK89" i="87"/>
  <c r="AE96" i="87"/>
  <c r="AE109" i="87"/>
  <c r="AH158" i="87"/>
  <c r="Y142" i="87"/>
  <c r="Q123" i="87"/>
  <c r="AL148" i="87"/>
  <c r="X124" i="87"/>
  <c r="L149" i="87"/>
  <c r="Y155" i="87"/>
  <c r="AJ99" i="87"/>
  <c r="M101" i="87"/>
  <c r="AT112" i="87"/>
  <c r="O88" i="87"/>
  <c r="AH150" i="87"/>
  <c r="AD159" i="87"/>
  <c r="AV119" i="87"/>
  <c r="AE171" i="87"/>
  <c r="X163" i="87"/>
  <c r="M97" i="87"/>
  <c r="AG111" i="87"/>
  <c r="I142" i="87"/>
  <c r="AI145" i="87"/>
  <c r="AN145" i="87"/>
  <c r="AM134" i="87"/>
  <c r="K164" i="87"/>
  <c r="AN171" i="87"/>
  <c r="T104" i="87"/>
  <c r="R126" i="87"/>
  <c r="I150" i="87"/>
  <c r="R152" i="87"/>
  <c r="AI134" i="87"/>
  <c r="L159" i="87"/>
  <c r="B114" i="87"/>
  <c r="M99" i="87"/>
  <c r="AT135" i="87"/>
  <c r="L142" i="87"/>
  <c r="AI146" i="87"/>
  <c r="B83" i="87"/>
  <c r="R113" i="87"/>
  <c r="AD102" i="87"/>
  <c r="AQ123" i="87"/>
  <c r="AD103" i="87"/>
  <c r="AM120" i="87"/>
  <c r="R124" i="87"/>
  <c r="AB131" i="87"/>
  <c r="Q162" i="87"/>
  <c r="AD169" i="87"/>
  <c r="Q101" i="87"/>
  <c r="AA121" i="87"/>
  <c r="AF149" i="87"/>
  <c r="M157" i="87"/>
  <c r="M121" i="87"/>
  <c r="AP96" i="87"/>
  <c r="O147" i="87"/>
  <c r="AM136" i="87"/>
  <c r="AT159" i="87"/>
  <c r="AV138" i="87"/>
  <c r="AF119" i="87"/>
  <c r="AO144" i="87"/>
  <c r="O171" i="87"/>
  <c r="S178" i="87"/>
  <c r="AN163" i="87"/>
  <c r="AB83" i="87"/>
  <c r="K95" i="87"/>
  <c r="AI100" i="87"/>
  <c r="AI113" i="87"/>
  <c r="AD119" i="87"/>
  <c r="AA144" i="87"/>
  <c r="AE125" i="87"/>
  <c r="AN150" i="87"/>
  <c r="AF132" i="87"/>
  <c r="P153" i="87"/>
  <c r="AC159" i="87"/>
  <c r="W83" i="87"/>
  <c r="U109" i="87"/>
  <c r="W121" i="87"/>
  <c r="Z99" i="87"/>
  <c r="AP158" i="87"/>
  <c r="J164" i="87"/>
  <c r="V125" i="87"/>
  <c r="AI175" i="87"/>
  <c r="AB167" i="87"/>
  <c r="U105" i="87"/>
  <c r="J120" i="87"/>
  <c r="M146" i="87"/>
  <c r="I151" i="87"/>
  <c r="AV153" i="87"/>
  <c r="AQ138" i="87"/>
  <c r="O168" i="87"/>
  <c r="AR175" i="87"/>
  <c r="O115" i="87"/>
  <c r="M137" i="87"/>
  <c r="M154" i="87"/>
  <c r="W157" i="87"/>
  <c r="V137" i="87"/>
  <c r="AK161" i="87"/>
  <c r="J179" i="87"/>
  <c r="U107" i="87"/>
  <c r="T141" i="87"/>
  <c r="P146" i="87"/>
  <c r="I152" i="87"/>
  <c r="B174" i="87"/>
  <c r="AE91" i="87"/>
  <c r="Y113" i="87"/>
  <c r="AL134" i="87"/>
  <c r="Y114" i="87"/>
  <c r="AQ124" i="87"/>
  <c r="AM129" i="87"/>
  <c r="AF135" i="87"/>
  <c r="AL167" i="87"/>
  <c r="AH173" i="87"/>
  <c r="L129" i="87"/>
  <c r="AP124" i="87"/>
  <c r="W150" i="87"/>
  <c r="B131" i="87"/>
  <c r="AA82" i="87"/>
  <c r="AF97" i="87"/>
  <c r="AG157" i="87"/>
  <c r="AT164" i="87"/>
  <c r="I117" i="87"/>
  <c r="AA142" i="87"/>
  <c r="I169" i="87"/>
  <c r="AJ174" i="87"/>
  <c r="M129" i="87"/>
  <c r="AD151" i="87"/>
  <c r="Z156" i="87"/>
  <c r="AF159" i="87"/>
  <c r="K169" i="87"/>
  <c r="O102" i="87"/>
  <c r="AH80" i="87"/>
  <c r="AK130" i="87"/>
  <c r="AT132" i="87"/>
  <c r="AU122" i="87"/>
  <c r="Y171" i="87"/>
  <c r="M176" i="87"/>
  <c r="AT156" i="87"/>
  <c r="B95" i="87"/>
  <c r="AO136" i="87"/>
  <c r="V130" i="87"/>
  <c r="M160" i="87"/>
  <c r="AR142" i="87"/>
  <c r="Z91" i="87"/>
  <c r="AV139" i="87"/>
  <c r="B135" i="87"/>
  <c r="AS81" i="87"/>
  <c r="AK128" i="87"/>
  <c r="AJ171" i="87"/>
  <c r="P130" i="87"/>
  <c r="AN105" i="87"/>
  <c r="AR143" i="87"/>
  <c r="Q154" i="87"/>
  <c r="AJ107" i="87"/>
  <c r="Q124" i="87"/>
  <c r="L174" i="87"/>
  <c r="B89" i="87"/>
  <c r="P158" i="87"/>
  <c r="B122" i="87"/>
  <c r="AB139" i="87"/>
  <c r="AQ135" i="87"/>
  <c r="W163" i="87"/>
  <c r="AE145" i="87"/>
  <c r="AJ88" i="87"/>
  <c r="S144" i="87"/>
  <c r="W130" i="87"/>
  <c r="U170" i="87"/>
  <c r="AD165" i="87"/>
  <c r="AD176" i="87"/>
  <c r="I179" i="87"/>
  <c r="AV156" i="87"/>
  <c r="AP117" i="87"/>
  <c r="V166" i="87"/>
  <c r="AK173" i="87"/>
  <c r="AJ153" i="87"/>
  <c r="AR155" i="87"/>
  <c r="V93" i="87"/>
  <c r="M122" i="87"/>
  <c r="V121" i="87"/>
  <c r="AD174" i="87"/>
  <c r="H140" i="87"/>
  <c r="Q117" i="87"/>
  <c r="AF174" i="87"/>
  <c r="AC91" i="87"/>
  <c r="AK139" i="87"/>
  <c r="AQ150" i="87"/>
  <c r="S179" i="87"/>
  <c r="AW176" i="87"/>
  <c r="AT165" i="87"/>
  <c r="AI84" i="87"/>
  <c r="AG158" i="87"/>
  <c r="AF139" i="87"/>
  <c r="AN167" i="87"/>
  <c r="B120" i="87"/>
  <c r="AE152" i="87"/>
  <c r="AH171" i="87"/>
  <c r="P81" i="87"/>
  <c r="AF157" i="87"/>
  <c r="H139" i="87"/>
  <c r="AS167" i="87"/>
  <c r="AM144" i="87"/>
  <c r="AO152" i="87"/>
  <c r="AT85" i="87"/>
  <c r="AC122" i="87"/>
  <c r="AB119" i="87"/>
  <c r="X168" i="87"/>
  <c r="N179" i="87"/>
  <c r="R175" i="87"/>
  <c r="R165" i="87"/>
  <c r="AW111" i="87"/>
  <c r="M147" i="87"/>
  <c r="P155" i="87"/>
  <c r="AB169" i="87"/>
  <c r="AH177" i="87"/>
  <c r="AL123" i="87"/>
  <c r="K97" i="87"/>
  <c r="AS143" i="87"/>
  <c r="AE158" i="87"/>
  <c r="Y167" i="87"/>
  <c r="AQ98" i="87"/>
  <c r="AI116" i="87"/>
  <c r="AU124" i="87"/>
  <c r="Z128" i="87"/>
  <c r="X123" i="87"/>
  <c r="AE146" i="87"/>
  <c r="Q177" i="87"/>
  <c r="AO168" i="87"/>
  <c r="AC145" i="87"/>
  <c r="Z161" i="87"/>
  <c r="I120" i="87"/>
  <c r="V170" i="87"/>
  <c r="S177" i="87"/>
  <c r="AB80" i="87"/>
  <c r="AK99" i="87"/>
  <c r="O140" i="87"/>
  <c r="AO143" i="87"/>
  <c r="AJ127" i="87"/>
  <c r="M152" i="87"/>
  <c r="AU164" i="87"/>
  <c r="AH170" i="87"/>
  <c r="P161" i="87"/>
  <c r="B125" i="87"/>
  <c r="Z172" i="87"/>
  <c r="T171" i="87"/>
  <c r="B47" i="87"/>
  <c r="I90" i="87"/>
  <c r="N154" i="87"/>
  <c r="M163" i="87"/>
  <c r="AI161" i="87"/>
  <c r="AW140" i="87"/>
  <c r="J166" i="87"/>
  <c r="AC172" i="87"/>
  <c r="W169" i="87"/>
  <c r="AG169" i="87"/>
  <c r="AO151" i="87"/>
  <c r="AO160" i="87"/>
  <c r="AW144" i="87"/>
  <c r="AL175" i="87"/>
  <c r="B66" i="87"/>
  <c r="X89" i="87"/>
  <c r="Y149" i="87"/>
  <c r="S160" i="87"/>
  <c r="AO159" i="87"/>
  <c r="Y140" i="87"/>
  <c r="Z166" i="87"/>
  <c r="AF170" i="87"/>
  <c r="AW119" i="87"/>
  <c r="Z147" i="87"/>
  <c r="V152" i="87"/>
  <c r="AB155" i="87"/>
  <c r="X179" i="87"/>
  <c r="T91" i="87"/>
  <c r="AP107" i="87"/>
  <c r="P125" i="87"/>
  <c r="AP128" i="87"/>
  <c r="AS120" i="87"/>
  <c r="V145" i="87"/>
  <c r="AP170" i="87"/>
  <c r="AV175" i="87"/>
  <c r="U167" i="87"/>
  <c r="X178" i="87"/>
  <c r="B111" i="87"/>
  <c r="B46" i="87"/>
  <c r="V169" i="87"/>
  <c r="AV100" i="87"/>
  <c r="AM117" i="87"/>
  <c r="U146" i="87"/>
  <c r="AU149" i="87"/>
  <c r="Z133" i="87"/>
  <c r="AG156" i="87"/>
  <c r="AA176" i="87"/>
  <c r="O172" i="87"/>
  <c r="B96" i="87"/>
  <c r="AL163" i="87"/>
  <c r="B69" i="87"/>
  <c r="M172" i="87"/>
  <c r="B38" i="87"/>
  <c r="AJ169" i="87"/>
  <c r="AN175" i="87"/>
  <c r="AC164" i="87"/>
  <c r="O177" i="87"/>
  <c r="R102" i="87"/>
  <c r="AP133" i="87"/>
  <c r="AR177" i="87"/>
  <c r="I166" i="87"/>
  <c r="V174" i="87"/>
  <c r="N165" i="87"/>
  <c r="K98" i="87"/>
  <c r="AV125" i="87"/>
  <c r="AR130" i="87"/>
  <c r="AN147" i="87"/>
  <c r="AE175" i="87"/>
  <c r="K162" i="87"/>
  <c r="AK91" i="87"/>
  <c r="K141" i="87"/>
  <c r="AV179" i="87"/>
  <c r="I96" i="87"/>
  <c r="AD123" i="87"/>
  <c r="I127" i="87"/>
  <c r="AT145" i="87"/>
  <c r="AU175" i="87"/>
  <c r="AP142" i="87"/>
  <c r="AL159" i="87"/>
  <c r="AI167" i="87"/>
  <c r="AW175" i="87"/>
  <c r="P94" i="87"/>
  <c r="AS138" i="87"/>
  <c r="S126" i="87"/>
  <c r="AB151" i="87"/>
  <c r="Q169" i="87"/>
  <c r="W178" i="87"/>
  <c r="I171" i="87"/>
  <c r="B153" i="87"/>
  <c r="AV81" i="87"/>
  <c r="P157" i="87"/>
  <c r="AV158" i="87"/>
  <c r="AU163" i="87"/>
  <c r="B56" i="87"/>
  <c r="AG171" i="87"/>
  <c r="B93" i="87"/>
  <c r="AG178" i="87"/>
  <c r="AT173" i="87"/>
  <c r="B98" i="87"/>
  <c r="AT168" i="87"/>
  <c r="V92" i="87"/>
  <c r="B148" i="87"/>
  <c r="AB162" i="87"/>
  <c r="AE163" i="87"/>
  <c r="J167" i="87"/>
  <c r="AA114" i="87"/>
  <c r="AI137" i="87"/>
  <c r="O164" i="87"/>
  <c r="AW168" i="87"/>
  <c r="W167" i="87"/>
  <c r="B54" i="87"/>
  <c r="I148" i="87"/>
  <c r="L171" i="87"/>
  <c r="AD114" i="87"/>
  <c r="AS136" i="87"/>
  <c r="AP169" i="87"/>
  <c r="M166" i="87"/>
  <c r="K152" i="87"/>
  <c r="B53" i="87"/>
  <c r="AG144" i="87"/>
  <c r="AE155" i="87"/>
  <c r="AV164" i="87"/>
  <c r="AR169" i="87"/>
  <c r="T98" i="87"/>
  <c r="AC152" i="87"/>
  <c r="T179" i="87"/>
  <c r="J153" i="87"/>
  <c r="AC118" i="87"/>
  <c r="AQ171" i="87"/>
  <c r="M159" i="87"/>
  <c r="H86" i="87"/>
  <c r="Z149" i="87"/>
  <c r="O174" i="87"/>
  <c r="T120" i="87"/>
  <c r="O138" i="87"/>
  <c r="Q176" i="87"/>
  <c r="AU168" i="87"/>
  <c r="AS154" i="87"/>
  <c r="W179" i="87"/>
  <c r="AK148" i="87"/>
  <c r="AU96" i="87"/>
  <c r="AV122" i="87"/>
  <c r="R141" i="87"/>
  <c r="J169" i="87"/>
  <c r="Q179" i="87"/>
  <c r="B112" i="87"/>
  <c r="S87" i="87"/>
  <c r="AD139" i="87"/>
  <c r="AM130" i="87"/>
  <c r="AJ177" i="87"/>
  <c r="AT171" i="87"/>
  <c r="V119" i="87"/>
  <c r="I162" i="87"/>
  <c r="AK105" i="87"/>
  <c r="AK146" i="87"/>
  <c r="AW132" i="87"/>
  <c r="B119" i="87"/>
  <c r="AR133" i="87"/>
  <c r="AC140" i="87"/>
  <c r="B84" i="87"/>
  <c r="W147" i="87"/>
  <c r="Q159" i="87"/>
  <c r="AT162" i="87"/>
  <c r="Q174" i="87"/>
  <c r="AN165" i="87"/>
  <c r="Q175" i="87"/>
  <c r="AG95" i="87"/>
  <c r="V140" i="87"/>
  <c r="AR151" i="87"/>
  <c r="J178" i="87"/>
  <c r="X175" i="87"/>
  <c r="N160" i="87"/>
  <c r="P174" i="87"/>
  <c r="AE93" i="87"/>
  <c r="Q135" i="87"/>
  <c r="AI150" i="87"/>
  <c r="N103" i="87"/>
  <c r="K125" i="87"/>
  <c r="M177" i="87"/>
  <c r="J94" i="87"/>
  <c r="W148" i="87"/>
  <c r="AN131" i="87"/>
  <c r="H173" i="87"/>
  <c r="Q168" i="87"/>
  <c r="AS178" i="87"/>
  <c r="AP81" i="87"/>
  <c r="AR117" i="87"/>
  <c r="L119" i="87"/>
  <c r="AN168" i="87"/>
  <c r="AA173" i="87"/>
  <c r="AK172" i="87"/>
  <c r="O148" i="87"/>
  <c r="AE147" i="87"/>
  <c r="AP121" i="87"/>
  <c r="H172" i="87"/>
  <c r="X161" i="87"/>
  <c r="AH86" i="87"/>
  <c r="Z104" i="87"/>
  <c r="L137" i="87"/>
  <c r="AL140" i="87"/>
  <c r="AS128" i="87"/>
  <c r="V153" i="87"/>
  <c r="V171" i="87"/>
  <c r="V111" i="87"/>
  <c r="S124" i="87"/>
  <c r="O129" i="87"/>
  <c r="U132" i="87"/>
  <c r="J163" i="87"/>
  <c r="AO172" i="87"/>
  <c r="T128" i="87"/>
  <c r="AA152" i="87"/>
  <c r="AJ154" i="87"/>
  <c r="AH157" i="87"/>
  <c r="AL173" i="87"/>
  <c r="AT166" i="87"/>
  <c r="AG114" i="87"/>
  <c r="AE122" i="87"/>
  <c r="AI179" i="87"/>
  <c r="T177" i="87"/>
  <c r="N157" i="87"/>
  <c r="AV113" i="87"/>
  <c r="AM122" i="87"/>
  <c r="X167" i="87"/>
  <c r="AM118" i="87"/>
  <c r="AR115" i="87"/>
  <c r="X142" i="87"/>
  <c r="AD163" i="87"/>
  <c r="P178" i="87"/>
  <c r="L163" i="87"/>
  <c r="S143" i="87"/>
  <c r="AU138" i="87"/>
  <c r="S162" i="87"/>
  <c r="AG174" i="87"/>
  <c r="P167" i="87"/>
  <c r="U164" i="87"/>
  <c r="J140" i="87"/>
  <c r="AE138" i="87"/>
  <c r="B67" i="87"/>
  <c r="AT92" i="87"/>
  <c r="AN176" i="87"/>
  <c r="B51" i="87"/>
  <c r="AT174" i="87"/>
  <c r="B72" i="87"/>
  <c r="K135" i="87"/>
  <c r="AS161" i="87"/>
  <c r="AT140" i="87"/>
  <c r="L175" i="87"/>
  <c r="T154" i="87"/>
  <c r="AQ97" i="87"/>
  <c r="AM176" i="87"/>
  <c r="O165" i="87"/>
  <c r="AJ163" i="87"/>
  <c r="B85" i="87"/>
  <c r="AQ136" i="87"/>
  <c r="AW166" i="87"/>
  <c r="T144" i="87"/>
  <c r="B158" i="87"/>
  <c r="P122" i="87"/>
  <c r="AN178" i="87"/>
  <c r="AP162" i="87"/>
  <c r="AO134" i="87"/>
  <c r="AG177" i="87"/>
  <c r="AL166" i="87"/>
  <c r="AF140" i="87"/>
  <c r="O163" i="87"/>
  <c r="AG143" i="87"/>
  <c r="AT177" i="87"/>
  <c r="V156" i="87"/>
  <c r="Q103" i="87"/>
  <c r="B115" i="87"/>
  <c r="AS107" i="87"/>
  <c r="AS147" i="87"/>
  <c r="O154" i="87"/>
  <c r="H176" i="87"/>
  <c r="B59" i="87"/>
  <c r="AO176" i="87"/>
  <c r="AQ92" i="87"/>
  <c r="AD164" i="87"/>
  <c r="AH141" i="87"/>
  <c r="H167" i="87"/>
  <c r="AC179" i="87"/>
  <c r="X138" i="87"/>
  <c r="M179" i="87"/>
  <c r="N111" i="87"/>
  <c r="AM125" i="87"/>
  <c r="N145" i="87"/>
  <c r="AK164" i="87"/>
  <c r="U158" i="87"/>
  <c r="AC165" i="87"/>
  <c r="J113" i="87"/>
  <c r="AB137" i="87"/>
  <c r="AH125" i="87"/>
  <c r="M162" i="87"/>
  <c r="AT176" i="87"/>
  <c r="AM169" i="87"/>
  <c r="B116" i="87"/>
  <c r="AN148" i="87"/>
  <c r="AG159" i="87"/>
  <c r="AF164" i="87"/>
  <c r="B40" i="87"/>
  <c r="AK147" i="87"/>
  <c r="O142" i="87"/>
  <c r="B169" i="87"/>
  <c r="Q141" i="87"/>
  <c r="X158" i="87"/>
  <c r="AN164" i="87"/>
  <c r="Y111" i="87"/>
  <c r="R148" i="87"/>
  <c r="B142" i="87"/>
  <c r="U102" i="87"/>
  <c r="H126" i="87"/>
  <c r="T143" i="87"/>
  <c r="N173" i="87"/>
  <c r="P170" i="87"/>
  <c r="B43" i="87"/>
  <c r="AA95" i="87"/>
  <c r="Q142" i="87"/>
  <c r="I132" i="87"/>
  <c r="AN173" i="87"/>
  <c r="AM178" i="87"/>
  <c r="AD173" i="87"/>
  <c r="AP136" i="87"/>
  <c r="AW138" i="87"/>
  <c r="X135" i="87"/>
  <c r="AQ164" i="87"/>
  <c r="AP173" i="87"/>
  <c r="K111" i="87"/>
  <c r="AI127" i="87"/>
  <c r="AO150" i="87"/>
  <c r="AG151" i="87"/>
  <c r="S134" i="87"/>
  <c r="AB159" i="87"/>
  <c r="B146" i="87"/>
  <c r="I95" i="87"/>
  <c r="AE136" i="87"/>
  <c r="AA141" i="87"/>
  <c r="P143" i="87"/>
  <c r="V175" i="87"/>
  <c r="B55" i="87"/>
  <c r="AM88" i="87"/>
  <c r="AR152" i="87"/>
  <c r="AS163" i="87"/>
  <c r="AH160" i="87"/>
  <c r="P139" i="87"/>
  <c r="P164" i="87"/>
  <c r="AC178" i="87"/>
  <c r="AA178" i="87"/>
  <c r="L177" i="87"/>
  <c r="AA168" i="87"/>
  <c r="Z177" i="87"/>
  <c r="AM160" i="87"/>
  <c r="AF84" i="87"/>
  <c r="AO103" i="87"/>
  <c r="M138" i="87"/>
  <c r="I143" i="87"/>
  <c r="V129" i="87"/>
  <c r="N153" i="87"/>
  <c r="S168" i="87"/>
  <c r="X165" i="87"/>
  <c r="W174" i="87"/>
  <c r="V179" i="87"/>
  <c r="J142" i="87"/>
  <c r="Y120" i="87"/>
  <c r="AL170" i="87"/>
  <c r="T178" i="87"/>
  <c r="AU83" i="87"/>
  <c r="AM101" i="87"/>
  <c r="AP135" i="87"/>
  <c r="U139" i="87"/>
  <c r="M128" i="87"/>
  <c r="AK152" i="87"/>
  <c r="AI168" i="87"/>
  <c r="AI108" i="87"/>
  <c r="AW122" i="87"/>
  <c r="AS127" i="87"/>
  <c r="AH129" i="87"/>
  <c r="AN161" i="87"/>
  <c r="X171" i="87"/>
  <c r="AE99" i="87"/>
  <c r="AG125" i="87"/>
  <c r="J151" i="87"/>
  <c r="S153" i="87"/>
  <c r="J133" i="87"/>
  <c r="AW156" i="87"/>
  <c r="AP175" i="87"/>
  <c r="AM164" i="87"/>
  <c r="U172" i="87"/>
  <c r="AI171" i="87"/>
  <c r="AR163" i="87"/>
  <c r="B62" i="87"/>
  <c r="P87" i="87"/>
  <c r="Y106" i="87"/>
  <c r="AR121" i="87"/>
  <c r="AN126" i="87"/>
  <c r="AC120" i="87"/>
  <c r="AL145" i="87"/>
  <c r="AA171" i="87"/>
  <c r="B173" i="87"/>
  <c r="N176" i="87"/>
  <c r="AU174" i="87"/>
  <c r="X170" i="87"/>
  <c r="AP167" i="87"/>
  <c r="B79" i="87"/>
  <c r="AT153" i="87"/>
  <c r="AO166" i="87"/>
  <c r="B157" i="87"/>
  <c r="B143" i="87"/>
  <c r="B141" i="87"/>
  <c r="AS113" i="87"/>
  <c r="AV137" i="87"/>
  <c r="S161" i="87"/>
  <c r="B127" i="87"/>
  <c r="AM141" i="87"/>
  <c r="AK162" i="87"/>
  <c r="AV87" i="87"/>
  <c r="T119" i="87"/>
  <c r="AS171" i="87"/>
  <c r="AG135" i="87"/>
  <c r="AF178" i="87"/>
  <c r="AM177" i="87"/>
  <c r="J147" i="87"/>
  <c r="AL137" i="87"/>
  <c r="AI140" i="87"/>
  <c r="N119" i="87"/>
  <c r="AP166" i="87"/>
  <c r="B154" i="87"/>
  <c r="AE162" i="87"/>
  <c r="AB106" i="87"/>
  <c r="AK160" i="87"/>
  <c r="B106" i="87"/>
  <c r="T131" i="87"/>
  <c r="K121" i="87"/>
  <c r="AT148" i="87"/>
  <c r="AI89" i="87"/>
  <c r="R171" i="87"/>
  <c r="AI160" i="87"/>
  <c r="AT137" i="87"/>
  <c r="B128" i="87"/>
  <c r="AM174" i="87"/>
  <c r="Z135" i="87"/>
  <c r="AF165" i="87"/>
  <c r="O131" i="87"/>
  <c r="L115" i="87"/>
  <c r="H133" i="87"/>
  <c r="AV165" i="87"/>
  <c r="AU126" i="87"/>
  <c r="T167" i="87"/>
  <c r="AF150" i="87"/>
  <c r="AP178" i="87"/>
  <c r="AV168" i="87"/>
  <c r="Q98" i="87"/>
  <c r="AJ143" i="87"/>
  <c r="AG176" i="87"/>
  <c r="AK167" i="87"/>
  <c r="K153" i="87"/>
  <c r="S146" i="87"/>
  <c r="B31" i="87"/>
  <c r="L152" i="87"/>
  <c r="Z160" i="87"/>
  <c r="J141" i="87"/>
  <c r="AW171" i="87"/>
  <c r="AQ148" i="87"/>
  <c r="AS156" i="87"/>
  <c r="AO96" i="87"/>
  <c r="AC110" i="87"/>
  <c r="L130" i="87"/>
  <c r="AM146" i="87"/>
  <c r="L172" i="87"/>
  <c r="AL168" i="87"/>
  <c r="B175" i="87"/>
  <c r="AL179" i="87"/>
  <c r="I109" i="87"/>
  <c r="Y150" i="87"/>
  <c r="U155" i="87"/>
  <c r="T159" i="87"/>
  <c r="S176" i="87"/>
  <c r="L138" i="87"/>
  <c r="AK132" i="87"/>
  <c r="Z163" i="87"/>
  <c r="X108" i="87"/>
  <c r="X149" i="87"/>
  <c r="P150" i="87"/>
  <c r="AQ158" i="87"/>
  <c r="N135" i="87"/>
  <c r="AI172" i="87"/>
  <c r="R83" i="87"/>
  <c r="AW159" i="87"/>
  <c r="AH175" i="87"/>
  <c r="I176" i="87"/>
  <c r="I134" i="87"/>
  <c r="L151" i="87"/>
  <c r="Y179" i="87"/>
  <c r="K173" i="87"/>
  <c r="L169" i="87"/>
  <c r="AB174" i="87"/>
  <c r="L153" i="87"/>
  <c r="AE169" i="87"/>
  <c r="AJ141" i="87"/>
  <c r="AJ135" i="87"/>
  <c r="B34" i="87"/>
  <c r="AH176" i="87"/>
  <c r="AG106" i="87"/>
  <c r="AH134" i="87"/>
  <c r="B168" i="87"/>
  <c r="AT155" i="87"/>
  <c r="AI119" i="87"/>
  <c r="Y80" i="87"/>
  <c r="K118" i="87"/>
  <c r="AE172" i="87"/>
  <c r="Z144" i="87"/>
  <c r="L93" i="87"/>
  <c r="H171" i="87"/>
  <c r="K158" i="87"/>
  <c r="AN138" i="87"/>
  <c r="AE80" i="87"/>
  <c r="AI173" i="87"/>
  <c r="N117" i="87"/>
  <c r="T127" i="87"/>
  <c r="S170" i="87"/>
  <c r="AW165" i="87"/>
  <c r="AQ126" i="87"/>
  <c r="M117" i="87"/>
  <c r="S113" i="87"/>
  <c r="AF155" i="87"/>
  <c r="B144" i="87"/>
  <c r="Q167" i="87"/>
  <c r="AW179" i="87"/>
  <c r="AW163" i="87"/>
  <c r="H177" i="87"/>
  <c r="K92" i="87"/>
  <c r="L162" i="87"/>
  <c r="AE167" i="87"/>
  <c r="AK123" i="87"/>
  <c r="AM153" i="87"/>
  <c r="AP179" i="87"/>
  <c r="AG126" i="87"/>
  <c r="AD121" i="87"/>
  <c r="R177" i="87"/>
  <c r="AL165" i="87"/>
  <c r="Z173" i="87"/>
  <c r="AK129" i="87"/>
  <c r="AB135" i="87"/>
  <c r="B179" i="87"/>
  <c r="T174" i="87"/>
  <c r="O136" i="87"/>
  <c r="Y172" i="87"/>
  <c r="AV124" i="87"/>
  <c r="AH133" i="87"/>
  <c r="B82" i="87"/>
  <c r="AT141" i="87"/>
  <c r="J150" i="87"/>
  <c r="V176" i="87"/>
  <c r="AU173" i="87"/>
  <c r="AI126" i="87"/>
  <c r="K178" i="87"/>
  <c r="AN170" i="87"/>
  <c r="N15" i="176" l="1"/>
  <c r="K15" i="176"/>
  <c r="H15" i="176"/>
  <c r="E15" i="176"/>
  <c r="N14" i="176"/>
  <c r="O14" i="176" s="1"/>
  <c r="K14" i="176"/>
  <c r="H14" i="176"/>
  <c r="E14" i="176"/>
  <c r="N13" i="176"/>
  <c r="O13" i="176" s="1"/>
  <c r="K13" i="176"/>
  <c r="H13" i="176"/>
  <c r="E13" i="176"/>
  <c r="N12" i="176"/>
  <c r="K12" i="176"/>
  <c r="H12" i="176"/>
  <c r="E12" i="176"/>
  <c r="B12" i="176"/>
  <c r="N10" i="176"/>
  <c r="O10" i="176" s="1"/>
  <c r="K10" i="176"/>
  <c r="H10" i="176"/>
  <c r="E10" i="176"/>
  <c r="B10" i="176"/>
  <c r="N9" i="176"/>
  <c r="K9" i="176"/>
  <c r="H9" i="176"/>
  <c r="E9" i="176"/>
  <c r="B9" i="176"/>
  <c r="N8" i="176"/>
  <c r="K8" i="176"/>
  <c r="H8" i="176"/>
  <c r="E8" i="176"/>
  <c r="B8" i="176"/>
  <c r="N7" i="176"/>
  <c r="K7" i="176"/>
  <c r="H7" i="176"/>
  <c r="E7" i="176"/>
  <c r="E11" i="176" s="1"/>
  <c r="B7" i="176"/>
  <c r="N6" i="176"/>
  <c r="K6" i="176"/>
  <c r="H6" i="176"/>
  <c r="E6" i="176"/>
  <c r="F9" i="176" s="1"/>
  <c r="B6" i="176"/>
  <c r="K11" i="176" l="1"/>
  <c r="L9" i="176"/>
  <c r="I8" i="176"/>
  <c r="I12" i="176"/>
  <c r="C10" i="176"/>
  <c r="D8" i="176"/>
  <c r="F8" i="176"/>
  <c r="P8" i="176"/>
  <c r="C9" i="176"/>
  <c r="I9" i="176"/>
  <c r="O9" i="176"/>
  <c r="J10" i="176"/>
  <c r="L10" i="176"/>
  <c r="F12" i="176"/>
  <c r="P12" i="176"/>
  <c r="J13" i="176"/>
  <c r="L13" i="176"/>
  <c r="J14" i="176"/>
  <c r="L14" i="176"/>
  <c r="J15" i="176"/>
  <c r="L15" i="176"/>
  <c r="C7" i="176"/>
  <c r="I7" i="176"/>
  <c r="O7" i="176"/>
  <c r="C8" i="176"/>
  <c r="J8" i="176"/>
  <c r="L8" i="176"/>
  <c r="O8" i="176"/>
  <c r="G9" i="176"/>
  <c r="M9" i="176"/>
  <c r="D10" i="176"/>
  <c r="F10" i="176"/>
  <c r="I10" i="176"/>
  <c r="P10" i="176"/>
  <c r="D12" i="176"/>
  <c r="J12" i="176"/>
  <c r="L12" i="176"/>
  <c r="F13" i="176"/>
  <c r="I13" i="176"/>
  <c r="P13" i="176"/>
  <c r="F14" i="176"/>
  <c r="I14" i="176"/>
  <c r="P14" i="176"/>
  <c r="F15" i="176"/>
  <c r="I15" i="176"/>
  <c r="P15" i="176"/>
  <c r="C12" i="176"/>
  <c r="O12" i="176"/>
  <c r="M11" i="176"/>
  <c r="L11" i="176"/>
  <c r="G11" i="176"/>
  <c r="F11" i="176"/>
  <c r="M15" i="176"/>
  <c r="O15" i="176"/>
  <c r="D7" i="176"/>
  <c r="F7" i="176"/>
  <c r="J7" i="176"/>
  <c r="L7" i="176"/>
  <c r="P7" i="176"/>
  <c r="G8" i="176"/>
  <c r="M8" i="176"/>
  <c r="D9" i="176"/>
  <c r="J9" i="176"/>
  <c r="P9" i="176"/>
  <c r="G10" i="176"/>
  <c r="M10" i="176"/>
  <c r="B11" i="176"/>
  <c r="H11" i="176"/>
  <c r="N11" i="176"/>
  <c r="G12" i="176"/>
  <c r="M12" i="176"/>
  <c r="G13" i="176"/>
  <c r="M13" i="176"/>
  <c r="G14" i="176"/>
  <c r="M14" i="176"/>
  <c r="G15" i="176"/>
  <c r="G7" i="176"/>
  <c r="M7" i="176"/>
  <c r="N15" i="175"/>
  <c r="K15" i="175"/>
  <c r="H15" i="175"/>
  <c r="E15" i="175"/>
  <c r="N14" i="175"/>
  <c r="K14" i="175"/>
  <c r="H14" i="175"/>
  <c r="E14" i="175"/>
  <c r="N13" i="175"/>
  <c r="K13" i="175"/>
  <c r="H13" i="175"/>
  <c r="I13" i="175" s="1"/>
  <c r="E13" i="175"/>
  <c r="N12" i="175"/>
  <c r="K12" i="175"/>
  <c r="H12" i="175"/>
  <c r="E12" i="175"/>
  <c r="B12" i="175"/>
  <c r="C12" i="175" s="1"/>
  <c r="N10" i="175"/>
  <c r="K10" i="175"/>
  <c r="H10" i="175"/>
  <c r="E10" i="175"/>
  <c r="B10" i="175"/>
  <c r="N9" i="175"/>
  <c r="P9" i="175" s="1"/>
  <c r="K9" i="175"/>
  <c r="H9" i="175"/>
  <c r="E9" i="175"/>
  <c r="B9" i="175"/>
  <c r="N8" i="175"/>
  <c r="K8" i="175"/>
  <c r="H8" i="175"/>
  <c r="E8" i="175"/>
  <c r="B8" i="175"/>
  <c r="N7" i="175"/>
  <c r="K7" i="175"/>
  <c r="H7" i="175"/>
  <c r="E7" i="175"/>
  <c r="B7" i="175"/>
  <c r="N6" i="175"/>
  <c r="K6" i="175"/>
  <c r="H6" i="175"/>
  <c r="E6" i="175"/>
  <c r="B6" i="175"/>
  <c r="I10" i="175" l="1"/>
  <c r="I8" i="175"/>
  <c r="D9" i="175"/>
  <c r="I12" i="175"/>
  <c r="I15" i="175"/>
  <c r="J9" i="175"/>
  <c r="I14" i="175"/>
  <c r="I11" i="176"/>
  <c r="J11" i="176"/>
  <c r="O11" i="176"/>
  <c r="P11" i="176"/>
  <c r="C11" i="176"/>
  <c r="D11" i="176"/>
  <c r="L15" i="175"/>
  <c r="B11" i="175"/>
  <c r="D11" i="175" s="1"/>
  <c r="H11" i="175"/>
  <c r="I11" i="175" s="1"/>
  <c r="N11" i="175"/>
  <c r="P11" i="175" s="1"/>
  <c r="G8" i="175"/>
  <c r="L8" i="175"/>
  <c r="G10" i="175"/>
  <c r="L10" i="175"/>
  <c r="L12" i="175"/>
  <c r="G13" i="175"/>
  <c r="L13" i="175"/>
  <c r="G14" i="175"/>
  <c r="L14" i="175"/>
  <c r="G15" i="175"/>
  <c r="C9" i="175"/>
  <c r="I9" i="175"/>
  <c r="O9" i="175"/>
  <c r="F7" i="175"/>
  <c r="L7" i="175"/>
  <c r="C8" i="175"/>
  <c r="F8" i="175"/>
  <c r="M8" i="175"/>
  <c r="O8" i="175"/>
  <c r="F9" i="175"/>
  <c r="L9" i="175"/>
  <c r="C10" i="175"/>
  <c r="F10" i="175"/>
  <c r="M10" i="175"/>
  <c r="O10" i="175"/>
  <c r="G12" i="175"/>
  <c r="M12" i="175"/>
  <c r="O12" i="175"/>
  <c r="F13" i="175"/>
  <c r="M13" i="175"/>
  <c r="O13" i="175"/>
  <c r="F14" i="175"/>
  <c r="M14" i="175"/>
  <c r="O14" i="175"/>
  <c r="F15" i="175"/>
  <c r="M15" i="175"/>
  <c r="O15" i="175"/>
  <c r="F12" i="175"/>
  <c r="C7" i="175"/>
  <c r="G7" i="175"/>
  <c r="I7" i="175"/>
  <c r="M7" i="175"/>
  <c r="O7" i="175"/>
  <c r="D8" i="175"/>
  <c r="J8" i="175"/>
  <c r="P8" i="175"/>
  <c r="G9" i="175"/>
  <c r="M9" i="175"/>
  <c r="D10" i="175"/>
  <c r="J10" i="175"/>
  <c r="P10" i="175"/>
  <c r="E11" i="175"/>
  <c r="K11" i="175"/>
  <c r="D12" i="175"/>
  <c r="J12" i="175"/>
  <c r="P12" i="175"/>
  <c r="J13" i="175"/>
  <c r="P13" i="175"/>
  <c r="J14" i="175"/>
  <c r="P14" i="175"/>
  <c r="J15" i="175"/>
  <c r="P15" i="175"/>
  <c r="D7" i="175"/>
  <c r="J7" i="175"/>
  <c r="P7" i="175"/>
  <c r="N15" i="174"/>
  <c r="K15" i="174"/>
  <c r="H15" i="174"/>
  <c r="J15" i="174" s="1"/>
  <c r="E15" i="174"/>
  <c r="F15" i="174" s="1"/>
  <c r="N14" i="174"/>
  <c r="K14" i="174"/>
  <c r="H14" i="174"/>
  <c r="J14" i="174" s="1"/>
  <c r="E14" i="174"/>
  <c r="F14" i="174" s="1"/>
  <c r="N13" i="174"/>
  <c r="K13" i="174"/>
  <c r="H13" i="174"/>
  <c r="J13" i="174" s="1"/>
  <c r="E13" i="174"/>
  <c r="F13" i="174" s="1"/>
  <c r="N12" i="174"/>
  <c r="K12" i="174"/>
  <c r="H12" i="174"/>
  <c r="J12" i="174" s="1"/>
  <c r="E12" i="174"/>
  <c r="F12" i="174" s="1"/>
  <c r="B12" i="174"/>
  <c r="N10" i="174"/>
  <c r="K10" i="174"/>
  <c r="I10" i="174"/>
  <c r="H10" i="174"/>
  <c r="E10" i="174"/>
  <c r="B10" i="174"/>
  <c r="D10" i="174" s="1"/>
  <c r="N9" i="174"/>
  <c r="K9" i="174"/>
  <c r="H9" i="174"/>
  <c r="E9" i="174"/>
  <c r="B9" i="174"/>
  <c r="N8" i="174"/>
  <c r="O8" i="174" s="1"/>
  <c r="K8" i="174"/>
  <c r="H8" i="174"/>
  <c r="J8" i="174" s="1"/>
  <c r="E8" i="174"/>
  <c r="F8" i="174" s="1"/>
  <c r="B8" i="174"/>
  <c r="D8" i="174" s="1"/>
  <c r="N7" i="174"/>
  <c r="O7" i="174" s="1"/>
  <c r="K7" i="174"/>
  <c r="H7" i="174"/>
  <c r="I7" i="174" s="1"/>
  <c r="E7" i="174"/>
  <c r="E11" i="174" s="1"/>
  <c r="B7" i="174"/>
  <c r="C7" i="174" s="1"/>
  <c r="N6" i="174"/>
  <c r="K6" i="174"/>
  <c r="L9" i="174" s="1"/>
  <c r="H6" i="174"/>
  <c r="E6" i="174"/>
  <c r="F9" i="174" s="1"/>
  <c r="B6" i="174"/>
  <c r="O9" i="174" l="1"/>
  <c r="P10" i="174"/>
  <c r="I14" i="174"/>
  <c r="C10" i="174"/>
  <c r="O10" i="174"/>
  <c r="L13" i="174"/>
  <c r="L15" i="174"/>
  <c r="F10" i="174"/>
  <c r="P12" i="174"/>
  <c r="P14" i="174"/>
  <c r="P15" i="174"/>
  <c r="J11" i="175"/>
  <c r="L8" i="174"/>
  <c r="M9" i="174"/>
  <c r="P8" i="174"/>
  <c r="L10" i="174"/>
  <c r="C8" i="174"/>
  <c r="I12" i="174"/>
  <c r="I13" i="174"/>
  <c r="I15" i="174"/>
  <c r="C9" i="174"/>
  <c r="L12" i="174"/>
  <c r="L14" i="174"/>
  <c r="O11" i="175"/>
  <c r="G9" i="174"/>
  <c r="D12" i="174"/>
  <c r="P13" i="174"/>
  <c r="K11" i="174"/>
  <c r="M11" i="174" s="1"/>
  <c r="I8" i="174"/>
  <c r="I9" i="174"/>
  <c r="J10" i="174"/>
  <c r="C12" i="174"/>
  <c r="O12" i="174"/>
  <c r="O13" i="174"/>
  <c r="O14" i="174"/>
  <c r="O15" i="174"/>
  <c r="C11" i="175"/>
  <c r="F11" i="175"/>
  <c r="G11" i="175"/>
  <c r="L11" i="175"/>
  <c r="M11" i="175"/>
  <c r="G11" i="174"/>
  <c r="F11" i="174"/>
  <c r="D7" i="174"/>
  <c r="F7" i="174"/>
  <c r="J7" i="174"/>
  <c r="L7" i="174"/>
  <c r="P7" i="174"/>
  <c r="G8" i="174"/>
  <c r="M8" i="174"/>
  <c r="D9" i="174"/>
  <c r="J9" i="174"/>
  <c r="P9" i="174"/>
  <c r="G10" i="174"/>
  <c r="M10" i="174"/>
  <c r="B11" i="174"/>
  <c r="H11" i="174"/>
  <c r="N11" i="174"/>
  <c r="G12" i="174"/>
  <c r="M12" i="174"/>
  <c r="G13" i="174"/>
  <c r="M13" i="174"/>
  <c r="G14" i="174"/>
  <c r="M14" i="174"/>
  <c r="G15" i="174"/>
  <c r="M15" i="174"/>
  <c r="G7" i="174"/>
  <c r="M7" i="174"/>
  <c r="N15" i="173"/>
  <c r="K15" i="173"/>
  <c r="H15" i="173"/>
  <c r="E15" i="173"/>
  <c r="N14" i="173"/>
  <c r="K14" i="173"/>
  <c r="H14" i="173"/>
  <c r="E14" i="173"/>
  <c r="N13" i="173"/>
  <c r="K13" i="173"/>
  <c r="H13" i="173"/>
  <c r="E13" i="173"/>
  <c r="N12" i="173"/>
  <c r="K12" i="173"/>
  <c r="H12" i="173"/>
  <c r="E12" i="173"/>
  <c r="B12" i="173"/>
  <c r="N10" i="173"/>
  <c r="K10" i="173"/>
  <c r="H10" i="173"/>
  <c r="E10" i="173"/>
  <c r="B10" i="173"/>
  <c r="N9" i="173"/>
  <c r="K9" i="173"/>
  <c r="H9" i="173"/>
  <c r="E9" i="173"/>
  <c r="B9" i="173"/>
  <c r="N8" i="173"/>
  <c r="K8" i="173"/>
  <c r="H8" i="173"/>
  <c r="E8" i="173"/>
  <c r="B8" i="173"/>
  <c r="N7" i="173"/>
  <c r="K7" i="173"/>
  <c r="H7" i="173"/>
  <c r="E7" i="173"/>
  <c r="B7" i="173"/>
  <c r="N6" i="173"/>
  <c r="K6" i="173"/>
  <c r="H6" i="173"/>
  <c r="E6" i="173"/>
  <c r="B6" i="173"/>
  <c r="L11" i="174" l="1"/>
  <c r="I11" i="174"/>
  <c r="J11" i="174"/>
  <c r="O11" i="174"/>
  <c r="P11" i="174"/>
  <c r="C11" i="174"/>
  <c r="D11" i="174"/>
  <c r="I10" i="173"/>
  <c r="C10" i="173"/>
  <c r="F15" i="173"/>
  <c r="C7" i="173"/>
  <c r="I7" i="173"/>
  <c r="O7" i="173"/>
  <c r="C9" i="173"/>
  <c r="I9" i="173"/>
  <c r="O9" i="173"/>
  <c r="D12" i="173"/>
  <c r="J12" i="173"/>
  <c r="P12" i="173"/>
  <c r="J13" i="173"/>
  <c r="P13" i="173"/>
  <c r="J14" i="173"/>
  <c r="P14" i="173"/>
  <c r="J15" i="173"/>
  <c r="P15" i="173"/>
  <c r="L15" i="173"/>
  <c r="F8" i="173"/>
  <c r="L8" i="173"/>
  <c r="F10" i="173"/>
  <c r="L10" i="173"/>
  <c r="E11" i="173"/>
  <c r="F11" i="173" s="1"/>
  <c r="K11" i="173"/>
  <c r="M11" i="173" s="1"/>
  <c r="D8" i="173"/>
  <c r="J8" i="173"/>
  <c r="P8" i="173"/>
  <c r="G9" i="173"/>
  <c r="M9" i="173"/>
  <c r="D10" i="173"/>
  <c r="J10" i="173"/>
  <c r="P10" i="173"/>
  <c r="F12" i="173"/>
  <c r="L12" i="173"/>
  <c r="G13" i="173"/>
  <c r="M13" i="173"/>
  <c r="G14" i="173"/>
  <c r="M14" i="173"/>
  <c r="G15" i="173"/>
  <c r="M15" i="173"/>
  <c r="D7" i="173"/>
  <c r="F7" i="173"/>
  <c r="J7" i="173"/>
  <c r="L7" i="173"/>
  <c r="P7" i="173"/>
  <c r="C8" i="173"/>
  <c r="G8" i="173"/>
  <c r="I8" i="173"/>
  <c r="M8" i="173"/>
  <c r="O8" i="173"/>
  <c r="D9" i="173"/>
  <c r="F9" i="173"/>
  <c r="J9" i="173"/>
  <c r="L9" i="173"/>
  <c r="P9" i="173"/>
  <c r="G10" i="173"/>
  <c r="M10" i="173"/>
  <c r="O10" i="173"/>
  <c r="B11" i="173"/>
  <c r="H11" i="173"/>
  <c r="N11" i="173"/>
  <c r="C12" i="173"/>
  <c r="G12" i="173"/>
  <c r="I12" i="173"/>
  <c r="M12" i="173"/>
  <c r="O12" i="173"/>
  <c r="I13" i="173"/>
  <c r="O13" i="173"/>
  <c r="I14" i="173"/>
  <c r="O14" i="173"/>
  <c r="I15" i="173"/>
  <c r="O15" i="173"/>
  <c r="G7" i="173"/>
  <c r="M7" i="173"/>
  <c r="F13" i="173"/>
  <c r="L13" i="173"/>
  <c r="F14" i="173"/>
  <c r="L14" i="173"/>
  <c r="N15" i="172"/>
  <c r="K15" i="172"/>
  <c r="H15" i="172"/>
  <c r="E15" i="172"/>
  <c r="N14" i="172"/>
  <c r="K14" i="172"/>
  <c r="H14" i="172"/>
  <c r="E14" i="172"/>
  <c r="N13" i="172"/>
  <c r="K13" i="172"/>
  <c r="H13" i="172"/>
  <c r="E13" i="172"/>
  <c r="N12" i="172"/>
  <c r="K12" i="172"/>
  <c r="H12" i="172"/>
  <c r="E12" i="172"/>
  <c r="B12" i="172"/>
  <c r="N10" i="172"/>
  <c r="K10" i="172"/>
  <c r="H10" i="172"/>
  <c r="E10" i="172"/>
  <c r="B10" i="172"/>
  <c r="N9" i="172"/>
  <c r="K9" i="172"/>
  <c r="H9" i="172"/>
  <c r="E9" i="172"/>
  <c r="B9" i="172"/>
  <c r="N8" i="172"/>
  <c r="K8" i="172"/>
  <c r="H8" i="172"/>
  <c r="E8" i="172"/>
  <c r="B8" i="172"/>
  <c r="N7" i="172"/>
  <c r="K7" i="172"/>
  <c r="H7" i="172"/>
  <c r="E7" i="172"/>
  <c r="E11" i="172" s="1"/>
  <c r="B7" i="172"/>
  <c r="N6" i="172"/>
  <c r="O15" i="172" s="1"/>
  <c r="K6" i="172"/>
  <c r="H6" i="172"/>
  <c r="E6" i="172"/>
  <c r="F9" i="172" s="1"/>
  <c r="B6" i="172"/>
  <c r="K11" i="172" l="1"/>
  <c r="L11" i="172" s="1"/>
  <c r="L9" i="172"/>
  <c r="G11" i="173"/>
  <c r="L11" i="173"/>
  <c r="I11" i="173"/>
  <c r="J11" i="173"/>
  <c r="O11" i="173"/>
  <c r="P11" i="173"/>
  <c r="C11" i="173"/>
  <c r="D11" i="173"/>
  <c r="I15" i="172"/>
  <c r="D8" i="172"/>
  <c r="J8" i="172"/>
  <c r="P8" i="172"/>
  <c r="G9" i="172"/>
  <c r="M9" i="172"/>
  <c r="D10" i="172"/>
  <c r="J10" i="172"/>
  <c r="P10" i="172"/>
  <c r="F12" i="172"/>
  <c r="L12" i="172"/>
  <c r="F13" i="172"/>
  <c r="L13" i="172"/>
  <c r="F14" i="172"/>
  <c r="L14" i="172"/>
  <c r="F15" i="172"/>
  <c r="L15" i="172"/>
  <c r="C7" i="172"/>
  <c r="I7" i="172"/>
  <c r="O7" i="172"/>
  <c r="F8" i="172"/>
  <c r="L8" i="172"/>
  <c r="C9" i="172"/>
  <c r="I9" i="172"/>
  <c r="O9" i="172"/>
  <c r="F10" i="172"/>
  <c r="L10" i="172"/>
  <c r="D12" i="172"/>
  <c r="J12" i="172"/>
  <c r="P12" i="172"/>
  <c r="J13" i="172"/>
  <c r="P13" i="172"/>
  <c r="J14" i="172"/>
  <c r="P14" i="172"/>
  <c r="J15" i="172"/>
  <c r="P15" i="172"/>
  <c r="C12" i="172"/>
  <c r="G11" i="172"/>
  <c r="F11" i="172"/>
  <c r="M11" i="172"/>
  <c r="D7" i="172"/>
  <c r="F7" i="172"/>
  <c r="J7" i="172"/>
  <c r="L7" i="172"/>
  <c r="P7" i="172"/>
  <c r="C8" i="172"/>
  <c r="G8" i="172"/>
  <c r="I8" i="172"/>
  <c r="M8" i="172"/>
  <c r="O8" i="172"/>
  <c r="D9" i="172"/>
  <c r="J9" i="172"/>
  <c r="P9" i="172"/>
  <c r="C10" i="172"/>
  <c r="G10" i="172"/>
  <c r="I10" i="172"/>
  <c r="M10" i="172"/>
  <c r="O10" i="172"/>
  <c r="B11" i="172"/>
  <c r="H11" i="172"/>
  <c r="N11" i="172"/>
  <c r="G12" i="172"/>
  <c r="I12" i="172"/>
  <c r="M12" i="172"/>
  <c r="O12" i="172"/>
  <c r="G13" i="172"/>
  <c r="I13" i="172"/>
  <c r="M13" i="172"/>
  <c r="O13" i="172"/>
  <c r="G14" i="172"/>
  <c r="I14" i="172"/>
  <c r="M14" i="172"/>
  <c r="O14" i="172"/>
  <c r="G15" i="172"/>
  <c r="M15" i="172"/>
  <c r="G7" i="172"/>
  <c r="M7" i="172"/>
  <c r="N15" i="171"/>
  <c r="K15" i="171"/>
  <c r="L15" i="171" s="1"/>
  <c r="H15" i="171"/>
  <c r="E15" i="171"/>
  <c r="N14" i="171"/>
  <c r="K14" i="171"/>
  <c r="L14" i="171" s="1"/>
  <c r="H14" i="171"/>
  <c r="J14" i="171" s="1"/>
  <c r="E14" i="171"/>
  <c r="F14" i="171" s="1"/>
  <c r="N13" i="171"/>
  <c r="K13" i="171"/>
  <c r="L13" i="171" s="1"/>
  <c r="H13" i="171"/>
  <c r="E13" i="171"/>
  <c r="N12" i="171"/>
  <c r="K12" i="171"/>
  <c r="L12" i="171" s="1"/>
  <c r="H12" i="171"/>
  <c r="J12" i="171" s="1"/>
  <c r="E12" i="171"/>
  <c r="B12" i="171"/>
  <c r="N10" i="171"/>
  <c r="K10" i="171"/>
  <c r="L10" i="171" s="1"/>
  <c r="H10" i="171"/>
  <c r="J10" i="171" s="1"/>
  <c r="E10" i="171"/>
  <c r="B10" i="171"/>
  <c r="N9" i="171"/>
  <c r="K9" i="171"/>
  <c r="M9" i="171" s="1"/>
  <c r="H9" i="171"/>
  <c r="E9" i="171"/>
  <c r="G9" i="171" s="1"/>
  <c r="B9" i="171"/>
  <c r="N8" i="171"/>
  <c r="K8" i="171"/>
  <c r="L8" i="171" s="1"/>
  <c r="H8" i="171"/>
  <c r="J8" i="171" s="1"/>
  <c r="E8" i="171"/>
  <c r="B8" i="171"/>
  <c r="N7" i="171"/>
  <c r="K7" i="171"/>
  <c r="H7" i="171"/>
  <c r="I7" i="171" s="1"/>
  <c r="E7" i="171"/>
  <c r="B7" i="171"/>
  <c r="N6" i="171"/>
  <c r="K6" i="171"/>
  <c r="H6" i="171"/>
  <c r="E6" i="171"/>
  <c r="B6" i="171"/>
  <c r="P10" i="171" l="1"/>
  <c r="D10" i="171"/>
  <c r="O9" i="171"/>
  <c r="P12" i="171"/>
  <c r="P15" i="171"/>
  <c r="P8" i="171"/>
  <c r="D12" i="171"/>
  <c r="F13" i="171"/>
  <c r="O7" i="171"/>
  <c r="C9" i="171"/>
  <c r="F10" i="171"/>
  <c r="F12" i="171"/>
  <c r="J13" i="171"/>
  <c r="P14" i="171"/>
  <c r="D8" i="171"/>
  <c r="F15" i="171"/>
  <c r="C7" i="171"/>
  <c r="F8" i="171"/>
  <c r="I9" i="171"/>
  <c r="I10" i="171"/>
  <c r="I12" i="171"/>
  <c r="P13" i="171"/>
  <c r="J15" i="171"/>
  <c r="I11" i="172"/>
  <c r="J11" i="172"/>
  <c r="O11" i="172"/>
  <c r="P11" i="172"/>
  <c r="C11" i="172"/>
  <c r="D11" i="172"/>
  <c r="L9" i="171"/>
  <c r="F9" i="171"/>
  <c r="O8" i="171"/>
  <c r="C8" i="171"/>
  <c r="E11" i="171"/>
  <c r="F11" i="171" s="1"/>
  <c r="K11" i="171"/>
  <c r="M11" i="171" s="1"/>
  <c r="I8" i="171"/>
  <c r="C10" i="171"/>
  <c r="O10" i="171"/>
  <c r="I15" i="171"/>
  <c r="O13" i="171"/>
  <c r="O14" i="171"/>
  <c r="I13" i="171"/>
  <c r="I14" i="171"/>
  <c r="C12" i="171"/>
  <c r="O12" i="171"/>
  <c r="G11" i="171"/>
  <c r="O15" i="171"/>
  <c r="D7" i="171"/>
  <c r="F7" i="171"/>
  <c r="J7" i="171"/>
  <c r="L7" i="171"/>
  <c r="P7" i="171"/>
  <c r="G8" i="171"/>
  <c r="M8" i="171"/>
  <c r="D9" i="171"/>
  <c r="J9" i="171"/>
  <c r="P9" i="171"/>
  <c r="G10" i="171"/>
  <c r="M10" i="171"/>
  <c r="B11" i="171"/>
  <c r="H11" i="171"/>
  <c r="N11" i="171"/>
  <c r="G12" i="171"/>
  <c r="M12" i="171"/>
  <c r="G13" i="171"/>
  <c r="M13" i="171"/>
  <c r="G14" i="171"/>
  <c r="M14" i="171"/>
  <c r="G15" i="171"/>
  <c r="M15" i="171"/>
  <c r="G7" i="171"/>
  <c r="M7" i="171"/>
  <c r="N15" i="170"/>
  <c r="K15" i="170"/>
  <c r="L15" i="170" s="1"/>
  <c r="H15" i="170"/>
  <c r="E15" i="170"/>
  <c r="N14" i="170"/>
  <c r="K14" i="170"/>
  <c r="H14" i="170"/>
  <c r="E14" i="170"/>
  <c r="N13" i="170"/>
  <c r="K13" i="170"/>
  <c r="H13" i="170"/>
  <c r="E13" i="170"/>
  <c r="N12" i="170"/>
  <c r="O12" i="170" s="1"/>
  <c r="K12" i="170"/>
  <c r="H12" i="170"/>
  <c r="E12" i="170"/>
  <c r="B12" i="170"/>
  <c r="N10" i="170"/>
  <c r="K10" i="170"/>
  <c r="H10" i="170"/>
  <c r="E10" i="170"/>
  <c r="B10" i="170"/>
  <c r="D10" i="170" s="1"/>
  <c r="N9" i="170"/>
  <c r="P9" i="170" s="1"/>
  <c r="K9" i="170"/>
  <c r="H9" i="170"/>
  <c r="E9" i="170"/>
  <c r="B9" i="170"/>
  <c r="N8" i="170"/>
  <c r="P8" i="170" s="1"/>
  <c r="K8" i="170"/>
  <c r="M8" i="170" s="1"/>
  <c r="H8" i="170"/>
  <c r="E8" i="170"/>
  <c r="B8" i="170"/>
  <c r="N7" i="170"/>
  <c r="P7" i="170" s="1"/>
  <c r="K7" i="170"/>
  <c r="M7" i="170" s="1"/>
  <c r="H7" i="170"/>
  <c r="E7" i="170"/>
  <c r="B7" i="170"/>
  <c r="D7" i="170" s="1"/>
  <c r="N6" i="170"/>
  <c r="K6" i="170"/>
  <c r="H6" i="170"/>
  <c r="E6" i="170"/>
  <c r="B6" i="170"/>
  <c r="J7" i="170" l="1"/>
  <c r="D12" i="170"/>
  <c r="D9" i="170"/>
  <c r="D8" i="170"/>
  <c r="J15" i="170"/>
  <c r="P15" i="170"/>
  <c r="L11" i="171"/>
  <c r="O11" i="171"/>
  <c r="P11" i="171"/>
  <c r="C11" i="171"/>
  <c r="D11" i="171"/>
  <c r="I11" i="171"/>
  <c r="J11" i="171"/>
  <c r="H11" i="170"/>
  <c r="J11" i="170" s="1"/>
  <c r="G14" i="170"/>
  <c r="I15" i="170"/>
  <c r="G13" i="170"/>
  <c r="J14" i="170"/>
  <c r="G10" i="170"/>
  <c r="G12" i="170"/>
  <c r="J13" i="170"/>
  <c r="M14" i="170"/>
  <c r="G9" i="170"/>
  <c r="J10" i="170"/>
  <c r="J12" i="170"/>
  <c r="M13" i="170"/>
  <c r="P14" i="170"/>
  <c r="O15" i="170"/>
  <c r="G8" i="170"/>
  <c r="I9" i="170"/>
  <c r="L10" i="170"/>
  <c r="M12" i="170"/>
  <c r="P13" i="170"/>
  <c r="O14" i="170"/>
  <c r="G7" i="170"/>
  <c r="J8" i="170"/>
  <c r="M9" i="170"/>
  <c r="P10" i="170"/>
  <c r="P12" i="170"/>
  <c r="O13" i="170"/>
  <c r="G15" i="170"/>
  <c r="C12" i="170"/>
  <c r="M15" i="170"/>
  <c r="B11" i="170"/>
  <c r="N11" i="170"/>
  <c r="C7" i="170"/>
  <c r="O7" i="170"/>
  <c r="F8" i="170"/>
  <c r="C9" i="170"/>
  <c r="O9" i="170"/>
  <c r="F10" i="170"/>
  <c r="F12" i="170"/>
  <c r="L12" i="170"/>
  <c r="F13" i="170"/>
  <c r="L13" i="170"/>
  <c r="F14" i="170"/>
  <c r="L14" i="170"/>
  <c r="F15" i="170"/>
  <c r="J9" i="170"/>
  <c r="M10" i="170"/>
  <c r="E11" i="170"/>
  <c r="K11" i="170"/>
  <c r="I7" i="170"/>
  <c r="L8" i="170"/>
  <c r="F7" i="170"/>
  <c r="L7" i="170"/>
  <c r="C8" i="170"/>
  <c r="I8" i="170"/>
  <c r="O8" i="170"/>
  <c r="F9" i="170"/>
  <c r="L9" i="170"/>
  <c r="C10" i="170"/>
  <c r="I10" i="170"/>
  <c r="O10" i="170"/>
  <c r="I12" i="170"/>
  <c r="I13" i="170"/>
  <c r="I14" i="170"/>
  <c r="N15" i="169"/>
  <c r="K15" i="169"/>
  <c r="M15" i="169" s="1"/>
  <c r="H15" i="169"/>
  <c r="E15" i="169"/>
  <c r="N14" i="169"/>
  <c r="K14" i="169"/>
  <c r="H14" i="169"/>
  <c r="E14" i="169"/>
  <c r="F14" i="169" s="1"/>
  <c r="N13" i="169"/>
  <c r="K13" i="169"/>
  <c r="H13" i="169"/>
  <c r="E13" i="169"/>
  <c r="N12" i="169"/>
  <c r="K12" i="169"/>
  <c r="H12" i="169"/>
  <c r="E12" i="169"/>
  <c r="B12" i="169"/>
  <c r="D12" i="169" s="1"/>
  <c r="N10" i="169"/>
  <c r="K10" i="169"/>
  <c r="L10" i="169" s="1"/>
  <c r="H10" i="169"/>
  <c r="E10" i="169"/>
  <c r="B10" i="169"/>
  <c r="N9" i="169"/>
  <c r="K9" i="169"/>
  <c r="H9" i="169"/>
  <c r="I9" i="169" s="1"/>
  <c r="E9" i="169"/>
  <c r="B9" i="169"/>
  <c r="N8" i="169"/>
  <c r="K8" i="169"/>
  <c r="M8" i="169" s="1"/>
  <c r="H8" i="169"/>
  <c r="E8" i="169"/>
  <c r="F8" i="169" s="1"/>
  <c r="B8" i="169"/>
  <c r="D8" i="169" s="1"/>
  <c r="N7" i="169"/>
  <c r="K7" i="169"/>
  <c r="H7" i="169"/>
  <c r="E7" i="169"/>
  <c r="B7" i="169"/>
  <c r="N6" i="169"/>
  <c r="K6" i="169"/>
  <c r="H6" i="169"/>
  <c r="E6" i="169"/>
  <c r="G15" i="169" s="1"/>
  <c r="B6" i="169"/>
  <c r="P12" i="169" l="1"/>
  <c r="P10" i="169"/>
  <c r="F13" i="169"/>
  <c r="M14" i="169"/>
  <c r="H11" i="169"/>
  <c r="J11" i="169" s="1"/>
  <c r="P9" i="169"/>
  <c r="P14" i="169"/>
  <c r="J9" i="169"/>
  <c r="P8" i="169"/>
  <c r="D10" i="169"/>
  <c r="L13" i="169"/>
  <c r="F15" i="169"/>
  <c r="I11" i="170"/>
  <c r="N11" i="169"/>
  <c r="F10" i="169"/>
  <c r="P13" i="169"/>
  <c r="M11" i="170"/>
  <c r="L11" i="170"/>
  <c r="P11" i="170"/>
  <c r="O11" i="170"/>
  <c r="G11" i="170"/>
  <c r="F11" i="170"/>
  <c r="D11" i="170"/>
  <c r="C11" i="170"/>
  <c r="L8" i="169"/>
  <c r="P7" i="169"/>
  <c r="M10" i="169"/>
  <c r="L14" i="169"/>
  <c r="M13" i="169"/>
  <c r="B11" i="169"/>
  <c r="C11" i="169" s="1"/>
  <c r="J8" i="169"/>
  <c r="G9" i="169"/>
  <c r="O9" i="169"/>
  <c r="J12" i="169"/>
  <c r="J14" i="169"/>
  <c r="D9" i="169"/>
  <c r="G7" i="169"/>
  <c r="O7" i="169"/>
  <c r="M12" i="169"/>
  <c r="J15" i="169"/>
  <c r="L15" i="169"/>
  <c r="I7" i="169"/>
  <c r="J7" i="169"/>
  <c r="M9" i="169"/>
  <c r="M7" i="169"/>
  <c r="J10" i="169"/>
  <c r="F12" i="169"/>
  <c r="J13" i="169"/>
  <c r="P15" i="169"/>
  <c r="L12" i="169"/>
  <c r="P11" i="169"/>
  <c r="O11" i="169"/>
  <c r="C7" i="169"/>
  <c r="C9" i="169"/>
  <c r="D7" i="169"/>
  <c r="G8" i="169"/>
  <c r="G10" i="169"/>
  <c r="G12" i="169"/>
  <c r="G13" i="169"/>
  <c r="G14" i="169"/>
  <c r="E11" i="169"/>
  <c r="K11" i="169"/>
  <c r="F7" i="169"/>
  <c r="L7" i="169"/>
  <c r="C8" i="169"/>
  <c r="I8" i="169"/>
  <c r="O8" i="169"/>
  <c r="F9" i="169"/>
  <c r="L9" i="169"/>
  <c r="C10" i="169"/>
  <c r="I10" i="169"/>
  <c r="O10" i="169"/>
  <c r="C12" i="169"/>
  <c r="I12" i="169"/>
  <c r="O12" i="169"/>
  <c r="I13" i="169"/>
  <c r="O13" i="169"/>
  <c r="I14" i="169"/>
  <c r="O14" i="169"/>
  <c r="I15" i="169"/>
  <c r="O15" i="169"/>
  <c r="N15" i="168"/>
  <c r="K15" i="168"/>
  <c r="H15" i="168"/>
  <c r="E15" i="168"/>
  <c r="N14" i="168"/>
  <c r="K14" i="168"/>
  <c r="H14" i="168"/>
  <c r="E14" i="168"/>
  <c r="N13" i="168"/>
  <c r="K13" i="168"/>
  <c r="H13" i="168"/>
  <c r="E13" i="168"/>
  <c r="N12" i="168"/>
  <c r="P12" i="168" s="1"/>
  <c r="K12" i="168"/>
  <c r="H12" i="168"/>
  <c r="E12" i="168"/>
  <c r="B12" i="168"/>
  <c r="N10" i="168"/>
  <c r="P10" i="168" s="1"/>
  <c r="K10" i="168"/>
  <c r="M10" i="168" s="1"/>
  <c r="H10" i="168"/>
  <c r="E10" i="168"/>
  <c r="B10" i="168"/>
  <c r="N9" i="168"/>
  <c r="O9" i="168" s="1"/>
  <c r="K9" i="168"/>
  <c r="H9" i="168"/>
  <c r="E9" i="168"/>
  <c r="B9" i="168"/>
  <c r="N8" i="168"/>
  <c r="K8" i="168"/>
  <c r="H8" i="168"/>
  <c r="E8" i="168"/>
  <c r="B8" i="168"/>
  <c r="N7" i="168"/>
  <c r="K7" i="168"/>
  <c r="H7" i="168"/>
  <c r="E7" i="168"/>
  <c r="B7" i="168"/>
  <c r="C7" i="168" s="1"/>
  <c r="N6" i="168"/>
  <c r="K6" i="168"/>
  <c r="H6" i="168"/>
  <c r="E6" i="168"/>
  <c r="B6" i="168"/>
  <c r="D12" i="168" l="1"/>
  <c r="I11" i="169"/>
  <c r="D10" i="168"/>
  <c r="M13" i="168"/>
  <c r="C9" i="168"/>
  <c r="J15" i="168"/>
  <c r="D8" i="168"/>
  <c r="L15" i="168"/>
  <c r="D11" i="169"/>
  <c r="M11" i="169"/>
  <c r="L11" i="169"/>
  <c r="G11" i="169"/>
  <c r="F11" i="169"/>
  <c r="G8" i="168"/>
  <c r="F14" i="168"/>
  <c r="F8" i="168"/>
  <c r="D9" i="168"/>
  <c r="F13" i="168"/>
  <c r="J14" i="168"/>
  <c r="J8" i="168"/>
  <c r="G9" i="168"/>
  <c r="J13" i="168"/>
  <c r="L14" i="168"/>
  <c r="M15" i="168"/>
  <c r="M7" i="168"/>
  <c r="L8" i="168"/>
  <c r="I9" i="168"/>
  <c r="F10" i="168"/>
  <c r="F12" i="168"/>
  <c r="P15" i="168"/>
  <c r="G7" i="168"/>
  <c r="O7" i="168"/>
  <c r="M8" i="168"/>
  <c r="J9" i="168"/>
  <c r="J10" i="168"/>
  <c r="J12" i="168"/>
  <c r="P14" i="168"/>
  <c r="D7" i="168"/>
  <c r="P7" i="168"/>
  <c r="P8" i="168"/>
  <c r="M9" i="168"/>
  <c r="L10" i="168"/>
  <c r="L12" i="168"/>
  <c r="P13" i="168"/>
  <c r="F15" i="168"/>
  <c r="I7" i="168"/>
  <c r="P9" i="168"/>
  <c r="J7" i="168"/>
  <c r="L13" i="168"/>
  <c r="M14" i="168"/>
  <c r="M12" i="168"/>
  <c r="G10" i="168"/>
  <c r="G12" i="168"/>
  <c r="G13" i="168"/>
  <c r="G14" i="168"/>
  <c r="G15" i="168"/>
  <c r="E11" i="168"/>
  <c r="K11" i="168"/>
  <c r="F7" i="168"/>
  <c r="L7" i="168"/>
  <c r="C8" i="168"/>
  <c r="I8" i="168"/>
  <c r="O8" i="168"/>
  <c r="F9" i="168"/>
  <c r="L9" i="168"/>
  <c r="C10" i="168"/>
  <c r="I10" i="168"/>
  <c r="O10" i="168"/>
  <c r="C12" i="168"/>
  <c r="I12" i="168"/>
  <c r="O12" i="168"/>
  <c r="I13" i="168"/>
  <c r="O13" i="168"/>
  <c r="I14" i="168"/>
  <c r="O14" i="168"/>
  <c r="I15" i="168"/>
  <c r="O15" i="168"/>
  <c r="B11" i="168"/>
  <c r="H11" i="168"/>
  <c r="N11" i="168"/>
  <c r="N15" i="167"/>
  <c r="K15" i="167"/>
  <c r="H15" i="167"/>
  <c r="E15" i="167"/>
  <c r="N14" i="167"/>
  <c r="K14" i="167"/>
  <c r="H14" i="167"/>
  <c r="E14" i="167"/>
  <c r="N13" i="167"/>
  <c r="K13" i="167"/>
  <c r="H13" i="167"/>
  <c r="E13" i="167"/>
  <c r="N12" i="167"/>
  <c r="K12" i="167"/>
  <c r="H12" i="167"/>
  <c r="E12" i="167"/>
  <c r="B12" i="167"/>
  <c r="N10" i="167"/>
  <c r="K10" i="167"/>
  <c r="H10" i="167"/>
  <c r="E10" i="167"/>
  <c r="B10" i="167"/>
  <c r="N9" i="167"/>
  <c r="K9" i="167"/>
  <c r="H9" i="167"/>
  <c r="E9" i="167"/>
  <c r="B9" i="167"/>
  <c r="N8" i="167"/>
  <c r="K8" i="167"/>
  <c r="H8" i="167"/>
  <c r="E8" i="167"/>
  <c r="B8" i="167"/>
  <c r="N7" i="167"/>
  <c r="K7" i="167"/>
  <c r="H7" i="167"/>
  <c r="E7" i="167"/>
  <c r="B7" i="167"/>
  <c r="N6" i="167"/>
  <c r="K6" i="167"/>
  <c r="H6" i="167"/>
  <c r="E6" i="167"/>
  <c r="B6" i="167"/>
  <c r="O8" i="167" l="1"/>
  <c r="I11" i="168"/>
  <c r="J11" i="168"/>
  <c r="C11" i="168"/>
  <c r="D11" i="168"/>
  <c r="M11" i="168"/>
  <c r="L11" i="168"/>
  <c r="G11" i="168"/>
  <c r="F11" i="168"/>
  <c r="O11" i="168"/>
  <c r="P11" i="168"/>
  <c r="K11" i="167"/>
  <c r="L11" i="167" s="1"/>
  <c r="L15" i="167"/>
  <c r="F15" i="167"/>
  <c r="E11" i="167"/>
  <c r="F11" i="167" s="1"/>
  <c r="D8" i="167"/>
  <c r="J8" i="167"/>
  <c r="P8" i="167"/>
  <c r="G9" i="167"/>
  <c r="M9" i="167"/>
  <c r="D10" i="167"/>
  <c r="J10" i="167"/>
  <c r="P10" i="167"/>
  <c r="F12" i="167"/>
  <c r="M12" i="167"/>
  <c r="G13" i="167"/>
  <c r="M13" i="167"/>
  <c r="G14" i="167"/>
  <c r="M14" i="167"/>
  <c r="G15" i="167"/>
  <c r="M15" i="167"/>
  <c r="C7" i="167"/>
  <c r="I7" i="167"/>
  <c r="O7" i="167"/>
  <c r="F8" i="167"/>
  <c r="L8" i="167"/>
  <c r="C9" i="167"/>
  <c r="I9" i="167"/>
  <c r="O9" i="167"/>
  <c r="F10" i="167"/>
  <c r="L10" i="167"/>
  <c r="D12" i="167"/>
  <c r="J12" i="167"/>
  <c r="P12" i="167"/>
  <c r="J13" i="167"/>
  <c r="P13" i="167"/>
  <c r="J14" i="167"/>
  <c r="P14" i="167"/>
  <c r="J15" i="167"/>
  <c r="P15" i="167"/>
  <c r="G11" i="167"/>
  <c r="D7" i="167"/>
  <c r="F7" i="167"/>
  <c r="J7" i="167"/>
  <c r="L7" i="167"/>
  <c r="P7" i="167"/>
  <c r="C8" i="167"/>
  <c r="G8" i="167"/>
  <c r="I8" i="167"/>
  <c r="M8" i="167"/>
  <c r="D9" i="167"/>
  <c r="F9" i="167"/>
  <c r="J9" i="167"/>
  <c r="L9" i="167"/>
  <c r="P9" i="167"/>
  <c r="C10" i="167"/>
  <c r="G10" i="167"/>
  <c r="I10" i="167"/>
  <c r="M10" i="167"/>
  <c r="O10" i="167"/>
  <c r="B11" i="167"/>
  <c r="H11" i="167"/>
  <c r="N11" i="167"/>
  <c r="C12" i="167"/>
  <c r="G12" i="167"/>
  <c r="I12" i="167"/>
  <c r="O12" i="167"/>
  <c r="I13" i="167"/>
  <c r="O13" i="167"/>
  <c r="I14" i="167"/>
  <c r="O14" i="167"/>
  <c r="I15" i="167"/>
  <c r="O15" i="167"/>
  <c r="G7" i="167"/>
  <c r="M7" i="167"/>
  <c r="L12" i="167"/>
  <c r="F13" i="167"/>
  <c r="L13" i="167"/>
  <c r="F14" i="167"/>
  <c r="L14" i="167"/>
  <c r="N15" i="166"/>
  <c r="K15" i="166"/>
  <c r="H15" i="166"/>
  <c r="E15" i="166"/>
  <c r="N14" i="166"/>
  <c r="K14" i="166"/>
  <c r="H14" i="166"/>
  <c r="E14" i="166"/>
  <c r="N13" i="166"/>
  <c r="K13" i="166"/>
  <c r="H13" i="166"/>
  <c r="E13" i="166"/>
  <c r="N12" i="166"/>
  <c r="K12" i="166"/>
  <c r="H12" i="166"/>
  <c r="E12" i="166"/>
  <c r="B12" i="166"/>
  <c r="N10" i="166"/>
  <c r="K10" i="166"/>
  <c r="H10" i="166"/>
  <c r="I10" i="166" s="1"/>
  <c r="E10" i="166"/>
  <c r="B10" i="166"/>
  <c r="N9" i="166"/>
  <c r="K9" i="166"/>
  <c r="H9" i="166"/>
  <c r="E9" i="166"/>
  <c r="B9" i="166"/>
  <c r="N8" i="166"/>
  <c r="K8" i="166"/>
  <c r="H8" i="166"/>
  <c r="E8" i="166"/>
  <c r="B8" i="166"/>
  <c r="C8" i="166" s="1"/>
  <c r="N7" i="166"/>
  <c r="K7" i="166"/>
  <c r="H7" i="166"/>
  <c r="I7" i="166" s="1"/>
  <c r="E7" i="166"/>
  <c r="B7" i="166"/>
  <c r="N6" i="166"/>
  <c r="K6" i="166"/>
  <c r="H6" i="166"/>
  <c r="E6" i="166"/>
  <c r="B6" i="166"/>
  <c r="J8" i="166" l="1"/>
  <c r="O7" i="166"/>
  <c r="O13" i="166"/>
  <c r="J15" i="166"/>
  <c r="C7" i="166"/>
  <c r="J14" i="166"/>
  <c r="M11" i="167"/>
  <c r="O12" i="166"/>
  <c r="P10" i="166"/>
  <c r="O8" i="166"/>
  <c r="D10" i="166"/>
  <c r="D12" i="166"/>
  <c r="J13" i="166"/>
  <c r="O14" i="166"/>
  <c r="O11" i="167"/>
  <c r="P11" i="167"/>
  <c r="C11" i="167"/>
  <c r="D11" i="167"/>
  <c r="I11" i="167"/>
  <c r="J11" i="167"/>
  <c r="L9" i="166"/>
  <c r="F9" i="166"/>
  <c r="L8" i="166"/>
  <c r="G9" i="166"/>
  <c r="M9" i="166"/>
  <c r="F10" i="166"/>
  <c r="F12" i="166"/>
  <c r="L12" i="166"/>
  <c r="L13" i="166"/>
  <c r="L14" i="166"/>
  <c r="L15" i="166"/>
  <c r="E11" i="166"/>
  <c r="F11" i="166" s="1"/>
  <c r="K11" i="166"/>
  <c r="L11" i="166" s="1"/>
  <c r="D8" i="166"/>
  <c r="F8" i="166"/>
  <c r="I8" i="166"/>
  <c r="P8" i="166"/>
  <c r="C9" i="166"/>
  <c r="I9" i="166"/>
  <c r="O9" i="166"/>
  <c r="C10" i="166"/>
  <c r="J10" i="166"/>
  <c r="L10" i="166"/>
  <c r="O10" i="166"/>
  <c r="C12" i="166"/>
  <c r="J12" i="166"/>
  <c r="P12" i="166"/>
  <c r="F13" i="166"/>
  <c r="I13" i="166"/>
  <c r="P13" i="166"/>
  <c r="F14" i="166"/>
  <c r="I14" i="166"/>
  <c r="P14" i="166"/>
  <c r="F15" i="166"/>
  <c r="I15" i="166"/>
  <c r="P15" i="166"/>
  <c r="I12" i="166"/>
  <c r="O15" i="166"/>
  <c r="D7" i="166"/>
  <c r="F7" i="166"/>
  <c r="J7" i="166"/>
  <c r="L7" i="166"/>
  <c r="P7" i="166"/>
  <c r="G8" i="166"/>
  <c r="M8" i="166"/>
  <c r="D9" i="166"/>
  <c r="J9" i="166"/>
  <c r="P9" i="166"/>
  <c r="G10" i="166"/>
  <c r="M10" i="166"/>
  <c r="B11" i="166"/>
  <c r="H11" i="166"/>
  <c r="N11" i="166"/>
  <c r="G12" i="166"/>
  <c r="M12" i="166"/>
  <c r="G13" i="166"/>
  <c r="M13" i="166"/>
  <c r="G14" i="166"/>
  <c r="M14" i="166"/>
  <c r="G15" i="166"/>
  <c r="M15" i="166"/>
  <c r="G7" i="166"/>
  <c r="M7" i="166"/>
  <c r="G11" i="166" l="1"/>
  <c r="M11" i="166"/>
  <c r="O11" i="166"/>
  <c r="P11" i="166"/>
  <c r="C11" i="166"/>
  <c r="D11" i="166"/>
  <c r="I11" i="166"/>
  <c r="J11" i="166"/>
  <c r="N15" i="165" l="1"/>
  <c r="K15" i="165"/>
  <c r="H15" i="165"/>
  <c r="E15" i="165"/>
  <c r="N14" i="165"/>
  <c r="K14" i="165"/>
  <c r="H14" i="165"/>
  <c r="E14" i="165"/>
  <c r="N13" i="165"/>
  <c r="K13" i="165"/>
  <c r="H13" i="165"/>
  <c r="I13" i="165" s="1"/>
  <c r="E13" i="165"/>
  <c r="N12" i="165"/>
  <c r="K12" i="165"/>
  <c r="H12" i="165"/>
  <c r="E12" i="165"/>
  <c r="B12" i="165"/>
  <c r="N10" i="165"/>
  <c r="K10" i="165"/>
  <c r="H10" i="165"/>
  <c r="E10" i="165"/>
  <c r="B10" i="165"/>
  <c r="N9" i="165"/>
  <c r="P9" i="165" s="1"/>
  <c r="K9" i="165"/>
  <c r="H9" i="165"/>
  <c r="E9" i="165"/>
  <c r="B9" i="165"/>
  <c r="N8" i="165"/>
  <c r="K8" i="165"/>
  <c r="H8" i="165"/>
  <c r="I8" i="165" s="1"/>
  <c r="E8" i="165"/>
  <c r="B8" i="165"/>
  <c r="N7" i="165"/>
  <c r="K7" i="165"/>
  <c r="H7" i="165"/>
  <c r="E7" i="165"/>
  <c r="B7" i="165"/>
  <c r="N6" i="165"/>
  <c r="K6" i="165"/>
  <c r="L15" i="165" s="1"/>
  <c r="H6" i="165"/>
  <c r="E6" i="165"/>
  <c r="B6" i="165"/>
  <c r="J9" i="165" l="1"/>
  <c r="I14" i="165"/>
  <c r="C12" i="165"/>
  <c r="D9" i="165"/>
  <c r="I15" i="165"/>
  <c r="I10" i="165"/>
  <c r="F12" i="165"/>
  <c r="B11" i="165"/>
  <c r="D11" i="165" s="1"/>
  <c r="H11" i="165"/>
  <c r="I11" i="165" s="1"/>
  <c r="N11" i="165"/>
  <c r="O11" i="165" s="1"/>
  <c r="G8" i="165"/>
  <c r="L8" i="165"/>
  <c r="G10" i="165"/>
  <c r="L10" i="165"/>
  <c r="M12" i="165"/>
  <c r="G13" i="165"/>
  <c r="L13" i="165"/>
  <c r="G14" i="165"/>
  <c r="L14" i="165"/>
  <c r="G15" i="165"/>
  <c r="C9" i="165"/>
  <c r="I9" i="165"/>
  <c r="O9" i="165"/>
  <c r="F7" i="165"/>
  <c r="L7" i="165"/>
  <c r="C8" i="165"/>
  <c r="F8" i="165"/>
  <c r="M8" i="165"/>
  <c r="O8" i="165"/>
  <c r="F9" i="165"/>
  <c r="L9" i="165"/>
  <c r="C10" i="165"/>
  <c r="F10" i="165"/>
  <c r="M10" i="165"/>
  <c r="O10" i="165"/>
  <c r="G12" i="165"/>
  <c r="I12" i="165"/>
  <c r="O12" i="165"/>
  <c r="F13" i="165"/>
  <c r="M13" i="165"/>
  <c r="O13" i="165"/>
  <c r="F14" i="165"/>
  <c r="M14" i="165"/>
  <c r="O14" i="165"/>
  <c r="F15" i="165"/>
  <c r="M15" i="165"/>
  <c r="P15" i="165"/>
  <c r="L12" i="165"/>
  <c r="C7" i="165"/>
  <c r="G7" i="165"/>
  <c r="I7" i="165"/>
  <c r="M7" i="165"/>
  <c r="O7" i="165"/>
  <c r="D8" i="165"/>
  <c r="J8" i="165"/>
  <c r="P8" i="165"/>
  <c r="G9" i="165"/>
  <c r="M9" i="165"/>
  <c r="D10" i="165"/>
  <c r="J10" i="165"/>
  <c r="P10" i="165"/>
  <c r="E11" i="165"/>
  <c r="K11" i="165"/>
  <c r="D12" i="165"/>
  <c r="J12" i="165"/>
  <c r="P12" i="165"/>
  <c r="J13" i="165"/>
  <c r="P13" i="165"/>
  <c r="J14" i="165"/>
  <c r="P14" i="165"/>
  <c r="J15" i="165"/>
  <c r="D7" i="165"/>
  <c r="J7" i="165"/>
  <c r="P7" i="165"/>
  <c r="O15" i="165"/>
  <c r="P11" i="165" l="1"/>
  <c r="C11" i="165"/>
  <c r="J11" i="165"/>
  <c r="F11" i="165"/>
  <c r="G11" i="165"/>
  <c r="L11" i="165"/>
  <c r="M11" i="165"/>
  <c r="N15" i="164" l="1"/>
  <c r="K15" i="164"/>
  <c r="H15" i="164"/>
  <c r="E15" i="164"/>
  <c r="N14" i="164"/>
  <c r="K14" i="164"/>
  <c r="H14" i="164"/>
  <c r="E14" i="164"/>
  <c r="N13" i="164"/>
  <c r="K13" i="164"/>
  <c r="H13" i="164"/>
  <c r="E13" i="164"/>
  <c r="N12" i="164"/>
  <c r="K12" i="164"/>
  <c r="H12" i="164"/>
  <c r="E12" i="164"/>
  <c r="B12" i="164"/>
  <c r="N10" i="164"/>
  <c r="K10" i="164"/>
  <c r="H10" i="164"/>
  <c r="E10" i="164"/>
  <c r="B10" i="164"/>
  <c r="N9" i="164"/>
  <c r="K9" i="164"/>
  <c r="H9" i="164"/>
  <c r="E9" i="164"/>
  <c r="B9" i="164"/>
  <c r="N8" i="164"/>
  <c r="K8" i="164"/>
  <c r="H8" i="164"/>
  <c r="E8" i="164"/>
  <c r="B8" i="164"/>
  <c r="N7" i="164"/>
  <c r="K7" i="164"/>
  <c r="H7" i="164"/>
  <c r="E7" i="164"/>
  <c r="B7" i="164"/>
  <c r="N6" i="164"/>
  <c r="K6" i="164"/>
  <c r="H6" i="164"/>
  <c r="E6" i="164"/>
  <c r="B6" i="164"/>
  <c r="B11" i="164" l="1"/>
  <c r="D11" i="164" s="1"/>
  <c r="H11" i="164"/>
  <c r="J11" i="164" s="1"/>
  <c r="N11" i="164"/>
  <c r="L8" i="164"/>
  <c r="L10" i="164"/>
  <c r="L14" i="164"/>
  <c r="L15" i="164"/>
  <c r="F12" i="164"/>
  <c r="F10" i="164"/>
  <c r="C9" i="164"/>
  <c r="I9" i="164"/>
  <c r="O9" i="164"/>
  <c r="L13" i="164"/>
  <c r="G8" i="164"/>
  <c r="I8" i="164"/>
  <c r="D9" i="164"/>
  <c r="J9" i="164"/>
  <c r="P9" i="164"/>
  <c r="G10" i="164"/>
  <c r="I10" i="164"/>
  <c r="C12" i="164"/>
  <c r="M12" i="164"/>
  <c r="G13" i="164"/>
  <c r="I13" i="164"/>
  <c r="G14" i="164"/>
  <c r="I14" i="164"/>
  <c r="G15" i="164"/>
  <c r="I15" i="164"/>
  <c r="F7" i="164"/>
  <c r="L7" i="164"/>
  <c r="C8" i="164"/>
  <c r="F8" i="164"/>
  <c r="M8" i="164"/>
  <c r="O8" i="164"/>
  <c r="F9" i="164"/>
  <c r="L9" i="164"/>
  <c r="C10" i="164"/>
  <c r="M10" i="164"/>
  <c r="O10" i="164"/>
  <c r="G12" i="164"/>
  <c r="I12" i="164"/>
  <c r="O12" i="164"/>
  <c r="F13" i="164"/>
  <c r="M13" i="164"/>
  <c r="O13" i="164"/>
  <c r="F14" i="164"/>
  <c r="M14" i="164"/>
  <c r="O14" i="164"/>
  <c r="F15" i="164"/>
  <c r="M15" i="164"/>
  <c r="P15" i="164"/>
  <c r="L12" i="164"/>
  <c r="P11" i="164"/>
  <c r="O11" i="164"/>
  <c r="C7" i="164"/>
  <c r="G7" i="164"/>
  <c r="I7" i="164"/>
  <c r="M7" i="164"/>
  <c r="O7" i="164"/>
  <c r="D8" i="164"/>
  <c r="J8" i="164"/>
  <c r="P8" i="164"/>
  <c r="G9" i="164"/>
  <c r="M9" i="164"/>
  <c r="D10" i="164"/>
  <c r="J10" i="164"/>
  <c r="P10" i="164"/>
  <c r="E11" i="164"/>
  <c r="K11" i="164"/>
  <c r="D12" i="164"/>
  <c r="J12" i="164"/>
  <c r="P12" i="164"/>
  <c r="J13" i="164"/>
  <c r="P13" i="164"/>
  <c r="J14" i="164"/>
  <c r="P14" i="164"/>
  <c r="J15" i="164"/>
  <c r="D7" i="164"/>
  <c r="J7" i="164"/>
  <c r="P7" i="164"/>
  <c r="O15" i="164"/>
  <c r="N15" i="163"/>
  <c r="K15" i="163"/>
  <c r="H15" i="163"/>
  <c r="E15" i="163"/>
  <c r="N14" i="163"/>
  <c r="K14" i="163"/>
  <c r="H14" i="163"/>
  <c r="E14" i="163"/>
  <c r="N13" i="163"/>
  <c r="K13" i="163"/>
  <c r="H13" i="163"/>
  <c r="E13" i="163"/>
  <c r="N12" i="163"/>
  <c r="K12" i="163"/>
  <c r="H12" i="163"/>
  <c r="E12" i="163"/>
  <c r="B12" i="163"/>
  <c r="N10" i="163"/>
  <c r="K10" i="163"/>
  <c r="H10" i="163"/>
  <c r="E10" i="163"/>
  <c r="B10" i="163"/>
  <c r="N9" i="163"/>
  <c r="K9" i="163"/>
  <c r="M9" i="163" s="1"/>
  <c r="H9" i="163"/>
  <c r="E9" i="163"/>
  <c r="B9" i="163"/>
  <c r="N8" i="163"/>
  <c r="K8" i="163"/>
  <c r="H8" i="163"/>
  <c r="E8" i="163"/>
  <c r="B8" i="163"/>
  <c r="N7" i="163"/>
  <c r="K7" i="163"/>
  <c r="H7" i="163"/>
  <c r="E7" i="163"/>
  <c r="B7" i="163"/>
  <c r="N6" i="163"/>
  <c r="O8" i="163" s="1"/>
  <c r="K6" i="163"/>
  <c r="H6" i="163"/>
  <c r="E6" i="163"/>
  <c r="B6" i="163"/>
  <c r="G13" i="163" l="1"/>
  <c r="M14" i="163"/>
  <c r="C11" i="164"/>
  <c r="I11" i="164"/>
  <c r="K11" i="163"/>
  <c r="M11" i="163" s="1"/>
  <c r="G12" i="163"/>
  <c r="M13" i="163"/>
  <c r="G15" i="163"/>
  <c r="E11" i="163"/>
  <c r="F11" i="163" s="1"/>
  <c r="G9" i="163"/>
  <c r="M12" i="163"/>
  <c r="G14" i="163"/>
  <c r="M15" i="163"/>
  <c r="L11" i="164"/>
  <c r="M11" i="164"/>
  <c r="F11" i="164"/>
  <c r="G11" i="164"/>
  <c r="I10" i="163"/>
  <c r="C10" i="163"/>
  <c r="D8" i="163"/>
  <c r="J8" i="163"/>
  <c r="P8" i="163"/>
  <c r="D10" i="163"/>
  <c r="J10" i="163"/>
  <c r="P10" i="163"/>
  <c r="F15" i="163"/>
  <c r="L15" i="163"/>
  <c r="C7" i="163"/>
  <c r="I7" i="163"/>
  <c r="O7" i="163"/>
  <c r="F8" i="163"/>
  <c r="L8" i="163"/>
  <c r="C9" i="163"/>
  <c r="I9" i="163"/>
  <c r="O9" i="163"/>
  <c r="F10" i="163"/>
  <c r="L10" i="163"/>
  <c r="D12" i="163"/>
  <c r="J12" i="163"/>
  <c r="P12" i="163"/>
  <c r="J13" i="163"/>
  <c r="P13" i="163"/>
  <c r="J14" i="163"/>
  <c r="P14" i="163"/>
  <c r="J15" i="163"/>
  <c r="P15" i="163"/>
  <c r="G11" i="163"/>
  <c r="D7" i="163"/>
  <c r="F7" i="163"/>
  <c r="J7" i="163"/>
  <c r="L7" i="163"/>
  <c r="P7" i="163"/>
  <c r="C8" i="163"/>
  <c r="G8" i="163"/>
  <c r="I8" i="163"/>
  <c r="M8" i="163"/>
  <c r="D9" i="163"/>
  <c r="F9" i="163"/>
  <c r="J9" i="163"/>
  <c r="L9" i="163"/>
  <c r="P9" i="163"/>
  <c r="G10" i="163"/>
  <c r="M10" i="163"/>
  <c r="O10" i="163"/>
  <c r="B11" i="163"/>
  <c r="H11" i="163"/>
  <c r="N11" i="163"/>
  <c r="C12" i="163"/>
  <c r="I12" i="163"/>
  <c r="O12" i="163"/>
  <c r="I13" i="163"/>
  <c r="O13" i="163"/>
  <c r="I14" i="163"/>
  <c r="O14" i="163"/>
  <c r="I15" i="163"/>
  <c r="O15" i="163"/>
  <c r="G7" i="163"/>
  <c r="M7" i="163"/>
  <c r="F12" i="163"/>
  <c r="L12" i="163"/>
  <c r="F13" i="163"/>
  <c r="L13" i="163"/>
  <c r="F14" i="163"/>
  <c r="L14" i="163"/>
  <c r="L11" i="163" l="1"/>
  <c r="O11" i="163"/>
  <c r="P11" i="163"/>
  <c r="C11" i="163"/>
  <c r="D11" i="163"/>
  <c r="I11" i="163"/>
  <c r="J11" i="163"/>
  <c r="N15" i="162"/>
  <c r="K15" i="162"/>
  <c r="H15" i="162"/>
  <c r="E15" i="162"/>
  <c r="N14" i="162"/>
  <c r="K14" i="162"/>
  <c r="H14" i="162"/>
  <c r="E14" i="162"/>
  <c r="N13" i="162"/>
  <c r="K13" i="162"/>
  <c r="H13" i="162"/>
  <c r="E13" i="162"/>
  <c r="N12" i="162"/>
  <c r="K12" i="162"/>
  <c r="H12" i="162"/>
  <c r="E12" i="162"/>
  <c r="B12" i="162"/>
  <c r="N10" i="162"/>
  <c r="K10" i="162"/>
  <c r="H10" i="162"/>
  <c r="E10" i="162"/>
  <c r="B10" i="162"/>
  <c r="N9" i="162"/>
  <c r="K9" i="162"/>
  <c r="H9" i="162"/>
  <c r="E9" i="162"/>
  <c r="B9" i="162"/>
  <c r="N8" i="162"/>
  <c r="K8" i="162"/>
  <c r="H8" i="162"/>
  <c r="E8" i="162"/>
  <c r="B8" i="162"/>
  <c r="N7" i="162"/>
  <c r="K7" i="162"/>
  <c r="H7" i="162"/>
  <c r="E7" i="162"/>
  <c r="E11" i="162" s="1"/>
  <c r="B7" i="162"/>
  <c r="N6" i="162"/>
  <c r="K6" i="162"/>
  <c r="H6" i="162"/>
  <c r="I14" i="162" s="1"/>
  <c r="E6" i="162"/>
  <c r="B6" i="162"/>
  <c r="K11" i="162" l="1"/>
  <c r="M11" i="162" s="1"/>
  <c r="I8" i="162"/>
  <c r="C10" i="162"/>
  <c r="O10" i="162"/>
  <c r="F9" i="162"/>
  <c r="L9" i="162"/>
  <c r="I12" i="162"/>
  <c r="O13" i="162"/>
  <c r="O14" i="162"/>
  <c r="D8" i="162"/>
  <c r="F8" i="162"/>
  <c r="P8" i="162"/>
  <c r="C9" i="162"/>
  <c r="I9" i="162"/>
  <c r="O9" i="162"/>
  <c r="J10" i="162"/>
  <c r="L10" i="162"/>
  <c r="F12" i="162"/>
  <c r="P12" i="162"/>
  <c r="J13" i="162"/>
  <c r="L13" i="162"/>
  <c r="J14" i="162"/>
  <c r="L14" i="162"/>
  <c r="J15" i="162"/>
  <c r="L15" i="162"/>
  <c r="C7" i="162"/>
  <c r="I7" i="162"/>
  <c r="O7" i="162"/>
  <c r="C8" i="162"/>
  <c r="J8" i="162"/>
  <c r="L8" i="162"/>
  <c r="O8" i="162"/>
  <c r="G9" i="162"/>
  <c r="M9" i="162"/>
  <c r="D10" i="162"/>
  <c r="F10" i="162"/>
  <c r="I10" i="162"/>
  <c r="P10" i="162"/>
  <c r="D12" i="162"/>
  <c r="J12" i="162"/>
  <c r="L12" i="162"/>
  <c r="F13" i="162"/>
  <c r="I13" i="162"/>
  <c r="P13" i="162"/>
  <c r="F14" i="162"/>
  <c r="P14" i="162"/>
  <c r="F15" i="162"/>
  <c r="I15" i="162"/>
  <c r="P15" i="162"/>
  <c r="C12" i="162"/>
  <c r="O12" i="162"/>
  <c r="G11" i="162"/>
  <c r="F11" i="162"/>
  <c r="M15" i="162"/>
  <c r="O15" i="162"/>
  <c r="D7" i="162"/>
  <c r="F7" i="162"/>
  <c r="J7" i="162"/>
  <c r="L7" i="162"/>
  <c r="P7" i="162"/>
  <c r="G8" i="162"/>
  <c r="M8" i="162"/>
  <c r="D9" i="162"/>
  <c r="J9" i="162"/>
  <c r="P9" i="162"/>
  <c r="G10" i="162"/>
  <c r="M10" i="162"/>
  <c r="B11" i="162"/>
  <c r="H11" i="162"/>
  <c r="N11" i="162"/>
  <c r="G12" i="162"/>
  <c r="M12" i="162"/>
  <c r="G13" i="162"/>
  <c r="M13" i="162"/>
  <c r="G14" i="162"/>
  <c r="M14" i="162"/>
  <c r="G15" i="162"/>
  <c r="G7" i="162"/>
  <c r="M7" i="162"/>
  <c r="L11" i="162" l="1"/>
  <c r="O11" i="162"/>
  <c r="P11" i="162"/>
  <c r="C11" i="162"/>
  <c r="D11" i="162"/>
  <c r="I11" i="162"/>
  <c r="J11" i="162"/>
  <c r="N15" i="161" l="1"/>
  <c r="K15" i="161"/>
  <c r="H15" i="161"/>
  <c r="E15" i="161"/>
  <c r="N14" i="161"/>
  <c r="K14" i="161"/>
  <c r="H14" i="161"/>
  <c r="E14" i="161"/>
  <c r="N13" i="161"/>
  <c r="K13" i="161"/>
  <c r="H13" i="161"/>
  <c r="E13" i="161"/>
  <c r="N12" i="161"/>
  <c r="K12" i="161"/>
  <c r="H12" i="161"/>
  <c r="E12" i="161"/>
  <c r="B12" i="161"/>
  <c r="N10" i="161"/>
  <c r="K10" i="161"/>
  <c r="H10" i="161"/>
  <c r="E10" i="161"/>
  <c r="B10" i="161"/>
  <c r="N9" i="161"/>
  <c r="K9" i="161"/>
  <c r="H9" i="161"/>
  <c r="E9" i="161"/>
  <c r="B9" i="161"/>
  <c r="N8" i="161"/>
  <c r="K8" i="161"/>
  <c r="H8" i="161"/>
  <c r="E8" i="161"/>
  <c r="B8" i="161"/>
  <c r="N7" i="161"/>
  <c r="K7" i="161"/>
  <c r="H7" i="161"/>
  <c r="E7" i="161"/>
  <c r="B7" i="161"/>
  <c r="N6" i="161"/>
  <c r="K6" i="161"/>
  <c r="H6" i="161"/>
  <c r="E6" i="161"/>
  <c r="B6" i="161"/>
  <c r="I10" i="161" l="1"/>
  <c r="L15" i="161"/>
  <c r="F15" i="161"/>
  <c r="O10" i="161"/>
  <c r="C10" i="161"/>
  <c r="E11" i="161"/>
  <c r="G11" i="161" s="1"/>
  <c r="K11" i="161"/>
  <c r="L11" i="161" s="1"/>
  <c r="D8" i="161"/>
  <c r="J8" i="161"/>
  <c r="P8" i="161"/>
  <c r="G9" i="161"/>
  <c r="M9" i="161"/>
  <c r="D10" i="161"/>
  <c r="J10" i="161"/>
  <c r="P10" i="161"/>
  <c r="G12" i="161"/>
  <c r="M12" i="161"/>
  <c r="F13" i="161"/>
  <c r="M13" i="161"/>
  <c r="G14" i="161"/>
  <c r="M14" i="161"/>
  <c r="G15" i="161"/>
  <c r="M15" i="161"/>
  <c r="C7" i="161"/>
  <c r="I7" i="161"/>
  <c r="O7" i="161"/>
  <c r="F8" i="161"/>
  <c r="L8" i="161"/>
  <c r="C9" i="161"/>
  <c r="I9" i="161"/>
  <c r="O9" i="161"/>
  <c r="F10" i="161"/>
  <c r="L10" i="161"/>
  <c r="D12" i="161"/>
  <c r="J12" i="161"/>
  <c r="P12" i="161"/>
  <c r="J13" i="161"/>
  <c r="P13" i="161"/>
  <c r="J14" i="161"/>
  <c r="P14" i="161"/>
  <c r="J15" i="161"/>
  <c r="P15" i="161"/>
  <c r="D7" i="161"/>
  <c r="F7" i="161"/>
  <c r="J7" i="161"/>
  <c r="L7" i="161"/>
  <c r="P7" i="161"/>
  <c r="C8" i="161"/>
  <c r="G8" i="161"/>
  <c r="I8" i="161"/>
  <c r="M8" i="161"/>
  <c r="O8" i="161"/>
  <c r="D9" i="161"/>
  <c r="F9" i="161"/>
  <c r="J9" i="161"/>
  <c r="L9" i="161"/>
  <c r="P9" i="161"/>
  <c r="G10" i="161"/>
  <c r="M10" i="161"/>
  <c r="B11" i="161"/>
  <c r="H11" i="161"/>
  <c r="N11" i="161"/>
  <c r="C12" i="161"/>
  <c r="I12" i="161"/>
  <c r="O12" i="161"/>
  <c r="G13" i="161"/>
  <c r="I13" i="161"/>
  <c r="O13" i="161"/>
  <c r="I14" i="161"/>
  <c r="O14" i="161"/>
  <c r="I15" i="161"/>
  <c r="O15" i="161"/>
  <c r="G7" i="161"/>
  <c r="M7" i="161"/>
  <c r="F12" i="161"/>
  <c r="L12" i="161"/>
  <c r="L13" i="161"/>
  <c r="F14" i="161"/>
  <c r="L14" i="161"/>
  <c r="N15" i="160"/>
  <c r="K15" i="160"/>
  <c r="H15" i="160"/>
  <c r="E15" i="160"/>
  <c r="N14" i="160"/>
  <c r="K14" i="160"/>
  <c r="H14" i="160"/>
  <c r="E14" i="160"/>
  <c r="N13" i="160"/>
  <c r="K13" i="160"/>
  <c r="H13" i="160"/>
  <c r="E13" i="160"/>
  <c r="N12" i="160"/>
  <c r="K12" i="160"/>
  <c r="H12" i="160"/>
  <c r="E12" i="160"/>
  <c r="B12" i="160"/>
  <c r="N10" i="160"/>
  <c r="K10" i="160"/>
  <c r="H10" i="160"/>
  <c r="E10" i="160"/>
  <c r="B10" i="160"/>
  <c r="N9" i="160"/>
  <c r="K9" i="160"/>
  <c r="H9" i="160"/>
  <c r="E9" i="160"/>
  <c r="B9" i="160"/>
  <c r="N8" i="160"/>
  <c r="K8" i="160"/>
  <c r="H8" i="160"/>
  <c r="E8" i="160"/>
  <c r="B8" i="160"/>
  <c r="N7" i="160"/>
  <c r="K7" i="160"/>
  <c r="H7" i="160"/>
  <c r="E7" i="160"/>
  <c r="B7" i="160"/>
  <c r="N6" i="160"/>
  <c r="K6" i="160"/>
  <c r="H6" i="160"/>
  <c r="I10" i="160" s="1"/>
  <c r="E6" i="160"/>
  <c r="B6" i="160"/>
  <c r="C10" i="160" s="1"/>
  <c r="O10" i="160" l="1"/>
  <c r="M11" i="161"/>
  <c r="F11" i="161"/>
  <c r="O11" i="161"/>
  <c r="P11" i="161"/>
  <c r="C11" i="161"/>
  <c r="D11" i="161"/>
  <c r="I11" i="161"/>
  <c r="J11" i="161"/>
  <c r="L15" i="160"/>
  <c r="F15" i="160"/>
  <c r="E11" i="160"/>
  <c r="G11" i="160" s="1"/>
  <c r="K11" i="160"/>
  <c r="L11" i="160" s="1"/>
  <c r="D8" i="160"/>
  <c r="J8" i="160"/>
  <c r="P8" i="160"/>
  <c r="G9" i="160"/>
  <c r="M9" i="160"/>
  <c r="D10" i="160"/>
  <c r="J10" i="160"/>
  <c r="P10" i="160"/>
  <c r="F12" i="160"/>
  <c r="L12" i="160"/>
  <c r="F13" i="160"/>
  <c r="L13" i="160"/>
  <c r="F14" i="160"/>
  <c r="M14" i="160"/>
  <c r="G15" i="160"/>
  <c r="M15" i="160"/>
  <c r="C7" i="160"/>
  <c r="I7" i="160"/>
  <c r="O7" i="160"/>
  <c r="F8" i="160"/>
  <c r="L8" i="160"/>
  <c r="C9" i="160"/>
  <c r="I9" i="160"/>
  <c r="O9" i="160"/>
  <c r="F10" i="160"/>
  <c r="L10" i="160"/>
  <c r="D12" i="160"/>
  <c r="J12" i="160"/>
  <c r="P12" i="160"/>
  <c r="J13" i="160"/>
  <c r="P13" i="160"/>
  <c r="J14" i="160"/>
  <c r="P14" i="160"/>
  <c r="J15" i="160"/>
  <c r="P15" i="160"/>
  <c r="D7" i="160"/>
  <c r="F7" i="160"/>
  <c r="J7" i="160"/>
  <c r="L7" i="160"/>
  <c r="P7" i="160"/>
  <c r="C8" i="160"/>
  <c r="G8" i="160"/>
  <c r="I8" i="160"/>
  <c r="M8" i="160"/>
  <c r="O8" i="160"/>
  <c r="D9" i="160"/>
  <c r="F9" i="160"/>
  <c r="J9" i="160"/>
  <c r="L9" i="160"/>
  <c r="P9" i="160"/>
  <c r="G10" i="160"/>
  <c r="M10" i="160"/>
  <c r="B11" i="160"/>
  <c r="H11" i="160"/>
  <c r="N11" i="160"/>
  <c r="C12" i="160"/>
  <c r="G12" i="160"/>
  <c r="I12" i="160"/>
  <c r="M12" i="160"/>
  <c r="O12" i="160"/>
  <c r="G13" i="160"/>
  <c r="I13" i="160"/>
  <c r="M13" i="160"/>
  <c r="O13" i="160"/>
  <c r="G14" i="160"/>
  <c r="I14" i="160"/>
  <c r="O14" i="160"/>
  <c r="I15" i="160"/>
  <c r="O15" i="160"/>
  <c r="G7" i="160"/>
  <c r="M7" i="160"/>
  <c r="L14" i="160"/>
  <c r="M11" i="160" l="1"/>
  <c r="F11" i="160"/>
  <c r="O11" i="160"/>
  <c r="P11" i="160"/>
  <c r="C11" i="160"/>
  <c r="D11" i="160"/>
  <c r="I11" i="160"/>
  <c r="J11" i="160"/>
  <c r="N15" i="159" l="1"/>
  <c r="K15" i="159"/>
  <c r="H15" i="159"/>
  <c r="E15" i="159"/>
  <c r="N14" i="159"/>
  <c r="K14" i="159"/>
  <c r="H14" i="159"/>
  <c r="J14" i="159" s="1"/>
  <c r="E14" i="159"/>
  <c r="N13" i="159"/>
  <c r="K13" i="159"/>
  <c r="H13" i="159"/>
  <c r="E13" i="159"/>
  <c r="N12" i="159"/>
  <c r="K12" i="159"/>
  <c r="H12" i="159"/>
  <c r="E12" i="159"/>
  <c r="B12" i="159"/>
  <c r="N10" i="159"/>
  <c r="K10" i="159"/>
  <c r="L10" i="159" s="1"/>
  <c r="H10" i="159"/>
  <c r="E10" i="159"/>
  <c r="B10" i="159"/>
  <c r="N9" i="159"/>
  <c r="K9" i="159"/>
  <c r="M9" i="159" s="1"/>
  <c r="H9" i="159"/>
  <c r="I9" i="159" s="1"/>
  <c r="E9" i="159"/>
  <c r="B9" i="159"/>
  <c r="N8" i="159"/>
  <c r="K8" i="159"/>
  <c r="L8" i="159" s="1"/>
  <c r="H8" i="159"/>
  <c r="J8" i="159" s="1"/>
  <c r="E8" i="159"/>
  <c r="F8" i="159" s="1"/>
  <c r="B8" i="159"/>
  <c r="N7" i="159"/>
  <c r="K7" i="159"/>
  <c r="H7" i="159"/>
  <c r="I7" i="159" s="1"/>
  <c r="E7" i="159"/>
  <c r="B7" i="159"/>
  <c r="C7" i="159" s="1"/>
  <c r="N6" i="159"/>
  <c r="O8" i="159" s="1"/>
  <c r="K6" i="159"/>
  <c r="H6" i="159"/>
  <c r="E6" i="159"/>
  <c r="F15" i="159" s="1"/>
  <c r="B6" i="159"/>
  <c r="P12" i="159" l="1"/>
  <c r="P10" i="159"/>
  <c r="G13" i="159"/>
  <c r="M14" i="159"/>
  <c r="C8" i="159"/>
  <c r="J13" i="159"/>
  <c r="P14" i="159"/>
  <c r="P15" i="159"/>
  <c r="O9" i="159"/>
  <c r="L15" i="159"/>
  <c r="K11" i="159"/>
  <c r="L11" i="159" s="1"/>
  <c r="P8" i="159"/>
  <c r="D10" i="159"/>
  <c r="G12" i="159"/>
  <c r="M13" i="159"/>
  <c r="G15" i="159"/>
  <c r="O7" i="159"/>
  <c r="C9" i="159"/>
  <c r="F10" i="159"/>
  <c r="J12" i="159"/>
  <c r="P13" i="159"/>
  <c r="J15" i="159"/>
  <c r="E11" i="159"/>
  <c r="G11" i="159" s="1"/>
  <c r="D12" i="159"/>
  <c r="I8" i="159"/>
  <c r="D8" i="159"/>
  <c r="G9" i="159"/>
  <c r="J10" i="159"/>
  <c r="M12" i="159"/>
  <c r="G14" i="159"/>
  <c r="M15" i="159"/>
  <c r="M11" i="159"/>
  <c r="D7" i="159"/>
  <c r="F7" i="159"/>
  <c r="J7" i="159"/>
  <c r="L7" i="159"/>
  <c r="P7" i="159"/>
  <c r="G8" i="159"/>
  <c r="M8" i="159"/>
  <c r="D9" i="159"/>
  <c r="F9" i="159"/>
  <c r="J9" i="159"/>
  <c r="L9" i="159"/>
  <c r="P9" i="159"/>
  <c r="C10" i="159"/>
  <c r="G10" i="159"/>
  <c r="I10" i="159"/>
  <c r="M10" i="159"/>
  <c r="O10" i="159"/>
  <c r="B11" i="159"/>
  <c r="H11" i="159"/>
  <c r="N11" i="159"/>
  <c r="C12" i="159"/>
  <c r="I12" i="159"/>
  <c r="O12" i="159"/>
  <c r="I13" i="159"/>
  <c r="O13" i="159"/>
  <c r="I14" i="159"/>
  <c r="O14" i="159"/>
  <c r="I15" i="159"/>
  <c r="O15" i="159"/>
  <c r="G7" i="159"/>
  <c r="M7" i="159"/>
  <c r="F12" i="159"/>
  <c r="L12" i="159"/>
  <c r="F13" i="159"/>
  <c r="L13" i="159"/>
  <c r="F14" i="159"/>
  <c r="L14" i="159"/>
  <c r="F11" i="159" l="1"/>
  <c r="O11" i="159"/>
  <c r="P11" i="159"/>
  <c r="C11" i="159"/>
  <c r="D11" i="159"/>
  <c r="I11" i="159"/>
  <c r="J11" i="159"/>
  <c r="N15" i="158" l="1"/>
  <c r="K15" i="158"/>
  <c r="H15" i="158"/>
  <c r="E15" i="158"/>
  <c r="N14" i="158"/>
  <c r="K14" i="158"/>
  <c r="H14" i="158"/>
  <c r="E14" i="158"/>
  <c r="N13" i="158"/>
  <c r="K13" i="158"/>
  <c r="H13" i="158"/>
  <c r="E13" i="158"/>
  <c r="N12" i="158"/>
  <c r="K12" i="158"/>
  <c r="H12" i="158"/>
  <c r="E12" i="158"/>
  <c r="B12" i="158"/>
  <c r="N10" i="158"/>
  <c r="K10" i="158"/>
  <c r="H10" i="158"/>
  <c r="E10" i="158"/>
  <c r="B10" i="158"/>
  <c r="N9" i="158"/>
  <c r="K9" i="158"/>
  <c r="H9" i="158"/>
  <c r="E9" i="158"/>
  <c r="B9" i="158"/>
  <c r="N8" i="158"/>
  <c r="K8" i="158"/>
  <c r="H8" i="158"/>
  <c r="E8" i="158"/>
  <c r="B8" i="158"/>
  <c r="N7" i="158"/>
  <c r="K7" i="158"/>
  <c r="H7" i="158"/>
  <c r="E7" i="158"/>
  <c r="E11" i="158" s="1"/>
  <c r="B7" i="158"/>
  <c r="N6" i="158"/>
  <c r="K6" i="158"/>
  <c r="H6" i="158"/>
  <c r="E6" i="158"/>
  <c r="B6" i="158"/>
  <c r="G9" i="158" l="1"/>
  <c r="M9" i="158"/>
  <c r="F12" i="158"/>
  <c r="M12" i="158"/>
  <c r="G13" i="158"/>
  <c r="M13" i="158"/>
  <c r="G14" i="158"/>
  <c r="M14" i="158"/>
  <c r="G15" i="158"/>
  <c r="O9" i="158"/>
  <c r="C7" i="158"/>
  <c r="M15" i="158"/>
  <c r="K11" i="158"/>
  <c r="M11" i="158" s="1"/>
  <c r="I7" i="158"/>
  <c r="D8" i="158"/>
  <c r="J8" i="158"/>
  <c r="P8" i="158"/>
  <c r="D10" i="158"/>
  <c r="J10" i="158"/>
  <c r="P10" i="158"/>
  <c r="F15" i="158"/>
  <c r="L15" i="158"/>
  <c r="B11" i="158"/>
  <c r="C11" i="158" s="1"/>
  <c r="H11" i="158"/>
  <c r="J11" i="158" s="1"/>
  <c r="N11" i="158"/>
  <c r="P11" i="158" s="1"/>
  <c r="F8" i="158"/>
  <c r="L8" i="158"/>
  <c r="C9" i="158"/>
  <c r="I9" i="158"/>
  <c r="P9" i="158"/>
  <c r="F10" i="158"/>
  <c r="L10" i="158"/>
  <c r="D12" i="158"/>
  <c r="J12" i="158"/>
  <c r="P12" i="158"/>
  <c r="J13" i="158"/>
  <c r="P13" i="158"/>
  <c r="J14" i="158"/>
  <c r="P14" i="158"/>
  <c r="J15" i="158"/>
  <c r="P15" i="158"/>
  <c r="G11" i="158"/>
  <c r="F11" i="158"/>
  <c r="D7" i="158"/>
  <c r="F7" i="158"/>
  <c r="J7" i="158"/>
  <c r="L7" i="158"/>
  <c r="P7" i="158"/>
  <c r="C8" i="158"/>
  <c r="G8" i="158"/>
  <c r="I8" i="158"/>
  <c r="M8" i="158"/>
  <c r="O8" i="158"/>
  <c r="D9" i="158"/>
  <c r="F9" i="158"/>
  <c r="J9" i="158"/>
  <c r="L9" i="158"/>
  <c r="C10" i="158"/>
  <c r="G10" i="158"/>
  <c r="I10" i="158"/>
  <c r="M10" i="158"/>
  <c r="O10" i="158"/>
  <c r="C12" i="158"/>
  <c r="G12" i="158"/>
  <c r="I12" i="158"/>
  <c r="O12" i="158"/>
  <c r="I13" i="158"/>
  <c r="O13" i="158"/>
  <c r="I14" i="158"/>
  <c r="O14" i="158"/>
  <c r="I15" i="158"/>
  <c r="O15" i="158"/>
  <c r="G7" i="158"/>
  <c r="M7" i="158"/>
  <c r="O7" i="158"/>
  <c r="L12" i="158"/>
  <c r="F13" i="158"/>
  <c r="L13" i="158"/>
  <c r="F14" i="158"/>
  <c r="L14" i="158"/>
  <c r="N15" i="157"/>
  <c r="K15" i="157"/>
  <c r="H15" i="157"/>
  <c r="E15" i="157"/>
  <c r="N14" i="157"/>
  <c r="K14" i="157"/>
  <c r="H14" i="157"/>
  <c r="E14" i="157"/>
  <c r="N13" i="157"/>
  <c r="K13" i="157"/>
  <c r="H13" i="157"/>
  <c r="E13" i="157"/>
  <c r="N12" i="157"/>
  <c r="K12" i="157"/>
  <c r="H12" i="157"/>
  <c r="E12" i="157"/>
  <c r="B12" i="157"/>
  <c r="N10" i="157"/>
  <c r="K10" i="157"/>
  <c r="H10" i="157"/>
  <c r="E10" i="157"/>
  <c r="B10" i="157"/>
  <c r="N9" i="157"/>
  <c r="K9" i="157"/>
  <c r="H9" i="157"/>
  <c r="E9" i="157"/>
  <c r="B9" i="157"/>
  <c r="N8" i="157"/>
  <c r="K8" i="157"/>
  <c r="H8" i="157"/>
  <c r="E8" i="157"/>
  <c r="B8" i="157"/>
  <c r="N7" i="157"/>
  <c r="K7" i="157"/>
  <c r="H7" i="157"/>
  <c r="E7" i="157"/>
  <c r="B7" i="157"/>
  <c r="N6" i="157"/>
  <c r="K6" i="157"/>
  <c r="H6" i="157"/>
  <c r="I9" i="157" s="1"/>
  <c r="E6" i="157"/>
  <c r="F8" i="157" s="1"/>
  <c r="B6" i="157"/>
  <c r="H11" i="157" l="1"/>
  <c r="N11" i="157"/>
  <c r="L12" i="157"/>
  <c r="L15" i="157"/>
  <c r="L10" i="157"/>
  <c r="B11" i="157"/>
  <c r="C11" i="157" s="1"/>
  <c r="L8" i="157"/>
  <c r="L11" i="158"/>
  <c r="O11" i="158"/>
  <c r="D11" i="158"/>
  <c r="I11" i="158"/>
  <c r="O9" i="157"/>
  <c r="C9" i="157"/>
  <c r="L14" i="157"/>
  <c r="G8" i="157"/>
  <c r="I8" i="157"/>
  <c r="D9" i="157"/>
  <c r="J9" i="157"/>
  <c r="P9" i="157"/>
  <c r="G10" i="157"/>
  <c r="I10" i="157"/>
  <c r="C12" i="157"/>
  <c r="I12" i="157"/>
  <c r="G13" i="157"/>
  <c r="I13" i="157"/>
  <c r="L13" i="157"/>
  <c r="G14" i="157"/>
  <c r="I14" i="157"/>
  <c r="G15" i="157"/>
  <c r="I15" i="157"/>
  <c r="F7" i="157"/>
  <c r="L7" i="157"/>
  <c r="C8" i="157"/>
  <c r="M8" i="157"/>
  <c r="O8" i="157"/>
  <c r="F9" i="157"/>
  <c r="L9" i="157"/>
  <c r="C10" i="157"/>
  <c r="F10" i="157"/>
  <c r="M10" i="157"/>
  <c r="O10" i="157"/>
  <c r="G12" i="157"/>
  <c r="M12" i="157"/>
  <c r="O12" i="157"/>
  <c r="F13" i="157"/>
  <c r="M13" i="157"/>
  <c r="O13" i="157"/>
  <c r="F14" i="157"/>
  <c r="M14" i="157"/>
  <c r="O14" i="157"/>
  <c r="F15" i="157"/>
  <c r="M15" i="157"/>
  <c r="P15" i="157"/>
  <c r="F12" i="157"/>
  <c r="J11" i="157"/>
  <c r="I11" i="157"/>
  <c r="P11" i="157"/>
  <c r="O11" i="157"/>
  <c r="C7" i="157"/>
  <c r="G7" i="157"/>
  <c r="I7" i="157"/>
  <c r="M7" i="157"/>
  <c r="O7" i="157"/>
  <c r="D8" i="157"/>
  <c r="J8" i="157"/>
  <c r="P8" i="157"/>
  <c r="G9" i="157"/>
  <c r="M9" i="157"/>
  <c r="D10" i="157"/>
  <c r="J10" i="157"/>
  <c r="P10" i="157"/>
  <c r="E11" i="157"/>
  <c r="K11" i="157"/>
  <c r="D12" i="157"/>
  <c r="J12" i="157"/>
  <c r="P12" i="157"/>
  <c r="J13" i="157"/>
  <c r="P13" i="157"/>
  <c r="J14" i="157"/>
  <c r="P14" i="157"/>
  <c r="J15" i="157"/>
  <c r="D7" i="157"/>
  <c r="J7" i="157"/>
  <c r="P7" i="157"/>
  <c r="O15" i="157"/>
  <c r="N15" i="156"/>
  <c r="K15" i="156"/>
  <c r="H15" i="156"/>
  <c r="E15" i="156"/>
  <c r="N14" i="156"/>
  <c r="K14" i="156"/>
  <c r="H14" i="156"/>
  <c r="E14" i="156"/>
  <c r="N13" i="156"/>
  <c r="O13" i="156" s="1"/>
  <c r="K13" i="156"/>
  <c r="H13" i="156"/>
  <c r="E13" i="156"/>
  <c r="N12" i="156"/>
  <c r="K12" i="156"/>
  <c r="H12" i="156"/>
  <c r="E12" i="156"/>
  <c r="B12" i="156"/>
  <c r="N10" i="156"/>
  <c r="K10" i="156"/>
  <c r="H10" i="156"/>
  <c r="E10" i="156"/>
  <c r="B10" i="156"/>
  <c r="C10" i="156" s="1"/>
  <c r="N9" i="156"/>
  <c r="K9" i="156"/>
  <c r="H9" i="156"/>
  <c r="E9" i="156"/>
  <c r="B9" i="156"/>
  <c r="N8" i="156"/>
  <c r="K8" i="156"/>
  <c r="H8" i="156"/>
  <c r="E8" i="156"/>
  <c r="B8" i="156"/>
  <c r="N7" i="156"/>
  <c r="K7" i="156"/>
  <c r="K11" i="156" s="1"/>
  <c r="H7" i="156"/>
  <c r="E7" i="156"/>
  <c r="B7" i="156"/>
  <c r="N6" i="156"/>
  <c r="K6" i="156"/>
  <c r="H6" i="156"/>
  <c r="E6" i="156"/>
  <c r="B6" i="156"/>
  <c r="C8" i="156" s="1"/>
  <c r="D11" i="157" l="1"/>
  <c r="O8" i="156"/>
  <c r="I12" i="156"/>
  <c r="E11" i="156"/>
  <c r="I8" i="156"/>
  <c r="O10" i="156"/>
  <c r="O14" i="156"/>
  <c r="F11" i="157"/>
  <c r="G11" i="157"/>
  <c r="L11" i="157"/>
  <c r="M11" i="157"/>
  <c r="L9" i="156"/>
  <c r="F9" i="156"/>
  <c r="I15" i="156"/>
  <c r="D8" i="156"/>
  <c r="F8" i="156"/>
  <c r="P8" i="156"/>
  <c r="C9" i="156"/>
  <c r="I9" i="156"/>
  <c r="O9" i="156"/>
  <c r="J10" i="156"/>
  <c r="L10" i="156"/>
  <c r="F12" i="156"/>
  <c r="P12" i="156"/>
  <c r="J13" i="156"/>
  <c r="L13" i="156"/>
  <c r="J14" i="156"/>
  <c r="L14" i="156"/>
  <c r="J15" i="156"/>
  <c r="L15" i="156"/>
  <c r="C7" i="156"/>
  <c r="I7" i="156"/>
  <c r="O7" i="156"/>
  <c r="J8" i="156"/>
  <c r="L8" i="156"/>
  <c r="G9" i="156"/>
  <c r="M9" i="156"/>
  <c r="D10" i="156"/>
  <c r="F10" i="156"/>
  <c r="I10" i="156"/>
  <c r="P10" i="156"/>
  <c r="D12" i="156"/>
  <c r="J12" i="156"/>
  <c r="L12" i="156"/>
  <c r="F13" i="156"/>
  <c r="I13" i="156"/>
  <c r="P13" i="156"/>
  <c r="F14" i="156"/>
  <c r="I14" i="156"/>
  <c r="P14" i="156"/>
  <c r="F15" i="156"/>
  <c r="P15" i="156"/>
  <c r="C12" i="156"/>
  <c r="O12" i="156"/>
  <c r="G11" i="156"/>
  <c r="F11" i="156"/>
  <c r="M11" i="156"/>
  <c r="L11" i="156"/>
  <c r="O15" i="156"/>
  <c r="D7" i="156"/>
  <c r="F7" i="156"/>
  <c r="J7" i="156"/>
  <c r="L7" i="156"/>
  <c r="P7" i="156"/>
  <c r="G8" i="156"/>
  <c r="M8" i="156"/>
  <c r="D9" i="156"/>
  <c r="J9" i="156"/>
  <c r="P9" i="156"/>
  <c r="G10" i="156"/>
  <c r="M10" i="156"/>
  <c r="B11" i="156"/>
  <c r="H11" i="156"/>
  <c r="N11" i="156"/>
  <c r="G12" i="156"/>
  <c r="M12" i="156"/>
  <c r="G13" i="156"/>
  <c r="M13" i="156"/>
  <c r="G14" i="156"/>
  <c r="M14" i="156"/>
  <c r="G15" i="156"/>
  <c r="M15" i="156"/>
  <c r="G7" i="156"/>
  <c r="M7" i="156"/>
  <c r="N15" i="155"/>
  <c r="K15" i="155"/>
  <c r="H15" i="155"/>
  <c r="E15" i="155"/>
  <c r="N14" i="155"/>
  <c r="K14" i="155"/>
  <c r="M14" i="155" s="1"/>
  <c r="H14" i="155"/>
  <c r="E14" i="155"/>
  <c r="N13" i="155"/>
  <c r="K13" i="155"/>
  <c r="H13" i="155"/>
  <c r="E13" i="155"/>
  <c r="N12" i="155"/>
  <c r="K12" i="155"/>
  <c r="H12" i="155"/>
  <c r="E12" i="155"/>
  <c r="B12" i="155"/>
  <c r="D12" i="155" s="1"/>
  <c r="N10" i="155"/>
  <c r="K10" i="155"/>
  <c r="H10" i="155"/>
  <c r="J10" i="155" s="1"/>
  <c r="E10" i="155"/>
  <c r="B10" i="155"/>
  <c r="N9" i="155"/>
  <c r="P9" i="155" s="1"/>
  <c r="K9" i="155"/>
  <c r="H9" i="155"/>
  <c r="E9" i="155"/>
  <c r="B9" i="155"/>
  <c r="N8" i="155"/>
  <c r="K8" i="155"/>
  <c r="M8" i="155" s="1"/>
  <c r="H8" i="155"/>
  <c r="E8" i="155"/>
  <c r="B8" i="155"/>
  <c r="N7" i="155"/>
  <c r="K7" i="155"/>
  <c r="H7" i="155"/>
  <c r="E7" i="155"/>
  <c r="B7" i="155"/>
  <c r="N6" i="155"/>
  <c r="K6" i="155"/>
  <c r="H6" i="155"/>
  <c r="E6" i="155"/>
  <c r="B6" i="155"/>
  <c r="D10" i="155" l="1"/>
  <c r="M13" i="155"/>
  <c r="D8" i="155"/>
  <c r="F8" i="155"/>
  <c r="I9" i="155"/>
  <c r="F10" i="155"/>
  <c r="L13" i="155"/>
  <c r="M12" i="155"/>
  <c r="F15" i="155"/>
  <c r="J9" i="155"/>
  <c r="L8" i="155"/>
  <c r="L10" i="155"/>
  <c r="P12" i="155"/>
  <c r="P13" i="155"/>
  <c r="J15" i="155"/>
  <c r="P8" i="155"/>
  <c r="P7" i="155"/>
  <c r="P10" i="155"/>
  <c r="F13" i="155"/>
  <c r="F14" i="155"/>
  <c r="L15" i="155"/>
  <c r="O11" i="156"/>
  <c r="P11" i="156"/>
  <c r="C11" i="156"/>
  <c r="D11" i="156"/>
  <c r="I11" i="156"/>
  <c r="J11" i="156"/>
  <c r="M10" i="155"/>
  <c r="G15" i="155"/>
  <c r="F12" i="155"/>
  <c r="P14" i="155"/>
  <c r="M15" i="155"/>
  <c r="B11" i="155"/>
  <c r="C11" i="155" s="1"/>
  <c r="N11" i="155"/>
  <c r="P11" i="155" s="1"/>
  <c r="J8" i="155"/>
  <c r="G9" i="155"/>
  <c r="O9" i="155"/>
  <c r="J12" i="155"/>
  <c r="J13" i="155"/>
  <c r="P15" i="155"/>
  <c r="D9" i="155"/>
  <c r="G7" i="155"/>
  <c r="O7" i="155"/>
  <c r="L12" i="155"/>
  <c r="J14" i="155"/>
  <c r="H11" i="155"/>
  <c r="J11" i="155" s="1"/>
  <c r="I7" i="155"/>
  <c r="L14" i="155"/>
  <c r="J7" i="155"/>
  <c r="M9" i="155"/>
  <c r="M7" i="155"/>
  <c r="D11" i="155"/>
  <c r="C7" i="155"/>
  <c r="C9" i="155"/>
  <c r="D7" i="155"/>
  <c r="G8" i="155"/>
  <c r="G10" i="155"/>
  <c r="G12" i="155"/>
  <c r="G13" i="155"/>
  <c r="G14" i="155"/>
  <c r="E11" i="155"/>
  <c r="K11" i="155"/>
  <c r="F7" i="155"/>
  <c r="L7" i="155"/>
  <c r="C8" i="155"/>
  <c r="I8" i="155"/>
  <c r="O8" i="155"/>
  <c r="F9" i="155"/>
  <c r="L9" i="155"/>
  <c r="C10" i="155"/>
  <c r="I10" i="155"/>
  <c r="O10" i="155"/>
  <c r="C12" i="155"/>
  <c r="I12" i="155"/>
  <c r="O12" i="155"/>
  <c r="I13" i="155"/>
  <c r="O13" i="155"/>
  <c r="I14" i="155"/>
  <c r="O14" i="155"/>
  <c r="I15" i="155"/>
  <c r="O15" i="155"/>
  <c r="N15" i="154"/>
  <c r="K15" i="154"/>
  <c r="H15" i="154"/>
  <c r="E15" i="154"/>
  <c r="N14" i="154"/>
  <c r="K14" i="154"/>
  <c r="H14" i="154"/>
  <c r="E14" i="154"/>
  <c r="G14" i="154" s="1"/>
  <c r="N13" i="154"/>
  <c r="K13" i="154"/>
  <c r="H13" i="154"/>
  <c r="E13" i="154"/>
  <c r="N12" i="154"/>
  <c r="K12" i="154"/>
  <c r="L12" i="154" s="1"/>
  <c r="H12" i="154"/>
  <c r="E12" i="154"/>
  <c r="B12" i="154"/>
  <c r="N10" i="154"/>
  <c r="K10" i="154"/>
  <c r="H10" i="154"/>
  <c r="J10" i="154" s="1"/>
  <c r="E10" i="154"/>
  <c r="B10" i="154"/>
  <c r="N9" i="154"/>
  <c r="K9" i="154"/>
  <c r="H9" i="154"/>
  <c r="E9" i="154"/>
  <c r="F9" i="154" s="1"/>
  <c r="B9" i="154"/>
  <c r="N8" i="154"/>
  <c r="K8" i="154"/>
  <c r="H8" i="154"/>
  <c r="E8" i="154"/>
  <c r="G8" i="154" s="1"/>
  <c r="B8" i="154"/>
  <c r="N7" i="154"/>
  <c r="K7" i="154"/>
  <c r="H7" i="154"/>
  <c r="E7" i="154"/>
  <c r="B7" i="154"/>
  <c r="D7" i="154" s="1"/>
  <c r="N6" i="154"/>
  <c r="P15" i="154" s="1"/>
  <c r="K6" i="154"/>
  <c r="H6" i="154"/>
  <c r="E6" i="154"/>
  <c r="B6" i="154"/>
  <c r="J7" i="154" l="1"/>
  <c r="C12" i="154"/>
  <c r="F7" i="154"/>
  <c r="O10" i="154"/>
  <c r="G13" i="154"/>
  <c r="O12" i="154"/>
  <c r="C10" i="154"/>
  <c r="G12" i="154"/>
  <c r="M13" i="154"/>
  <c r="G15" i="154"/>
  <c r="G10" i="154"/>
  <c r="J15" i="154"/>
  <c r="O11" i="155"/>
  <c r="I11" i="155"/>
  <c r="M11" i="155"/>
  <c r="L11" i="155"/>
  <c r="G11" i="155"/>
  <c r="F11" i="155"/>
  <c r="J14" i="154"/>
  <c r="L7" i="154"/>
  <c r="I8" i="154"/>
  <c r="G9" i="154"/>
  <c r="D10" i="154"/>
  <c r="L13" i="154"/>
  <c r="M14" i="154"/>
  <c r="M7" i="154"/>
  <c r="J8" i="154"/>
  <c r="J9" i="154"/>
  <c r="D12" i="154"/>
  <c r="O13" i="154"/>
  <c r="L14" i="154"/>
  <c r="M15" i="154"/>
  <c r="P7" i="154"/>
  <c r="M8" i="154"/>
  <c r="L9" i="154"/>
  <c r="F13" i="154"/>
  <c r="O14" i="154"/>
  <c r="L15" i="154"/>
  <c r="C8" i="154"/>
  <c r="O8" i="154"/>
  <c r="M9" i="154"/>
  <c r="I12" i="154"/>
  <c r="I13" i="154"/>
  <c r="F14" i="154"/>
  <c r="O15" i="154"/>
  <c r="G7" i="154"/>
  <c r="D8" i="154"/>
  <c r="D9" i="154"/>
  <c r="P9" i="154"/>
  <c r="M10" i="154"/>
  <c r="M12" i="154"/>
  <c r="J13" i="154"/>
  <c r="I14" i="154"/>
  <c r="F15" i="154"/>
  <c r="I15" i="154"/>
  <c r="I10" i="154"/>
  <c r="F12" i="154"/>
  <c r="J12" i="154"/>
  <c r="N11" i="154"/>
  <c r="P8" i="154"/>
  <c r="P10" i="154"/>
  <c r="P12" i="154"/>
  <c r="P13" i="154"/>
  <c r="P14" i="154"/>
  <c r="B11" i="154"/>
  <c r="H11" i="154"/>
  <c r="C7" i="154"/>
  <c r="I7" i="154"/>
  <c r="O7" i="154"/>
  <c r="F8" i="154"/>
  <c r="L8" i="154"/>
  <c r="C9" i="154"/>
  <c r="I9" i="154"/>
  <c r="O9" i="154"/>
  <c r="F10" i="154"/>
  <c r="L10" i="154"/>
  <c r="E11" i="154"/>
  <c r="K11" i="154"/>
  <c r="N15" i="153"/>
  <c r="K15" i="153"/>
  <c r="H15" i="153"/>
  <c r="E15" i="153"/>
  <c r="N14" i="153"/>
  <c r="K14" i="153"/>
  <c r="H14" i="153"/>
  <c r="E14" i="153"/>
  <c r="N13" i="153"/>
  <c r="K13" i="153"/>
  <c r="H13" i="153"/>
  <c r="J13" i="153" s="1"/>
  <c r="E13" i="153"/>
  <c r="N12" i="153"/>
  <c r="K12" i="153"/>
  <c r="H12" i="153"/>
  <c r="E12" i="153"/>
  <c r="B12" i="153"/>
  <c r="N10" i="153"/>
  <c r="K10" i="153"/>
  <c r="H10" i="153"/>
  <c r="E10" i="153"/>
  <c r="B10" i="153"/>
  <c r="N9" i="153"/>
  <c r="K9" i="153"/>
  <c r="H9" i="153"/>
  <c r="E9" i="153"/>
  <c r="B9" i="153"/>
  <c r="N8" i="153"/>
  <c r="K8" i="153"/>
  <c r="H8" i="153"/>
  <c r="E8" i="153"/>
  <c r="B8" i="153"/>
  <c r="N7" i="153"/>
  <c r="K7" i="153"/>
  <c r="H7" i="153"/>
  <c r="J7" i="153" s="1"/>
  <c r="E7" i="153"/>
  <c r="B7" i="153"/>
  <c r="N6" i="153"/>
  <c r="K6" i="153"/>
  <c r="H6" i="153"/>
  <c r="E6" i="153"/>
  <c r="B6" i="153"/>
  <c r="C8" i="153" l="1"/>
  <c r="C12" i="153"/>
  <c r="P14" i="153"/>
  <c r="O8" i="153"/>
  <c r="D10" i="153"/>
  <c r="O13" i="153"/>
  <c r="L11" i="154"/>
  <c r="M11" i="154"/>
  <c r="J11" i="154"/>
  <c r="I11" i="154"/>
  <c r="F11" i="154"/>
  <c r="G11" i="154"/>
  <c r="P11" i="154"/>
  <c r="O11" i="154"/>
  <c r="D11" i="154"/>
  <c r="C11" i="154"/>
  <c r="G14" i="153"/>
  <c r="G15" i="153"/>
  <c r="F10" i="153"/>
  <c r="J15" i="153"/>
  <c r="F9" i="153"/>
  <c r="J10" i="153"/>
  <c r="F14" i="153"/>
  <c r="L15" i="153"/>
  <c r="F8" i="153"/>
  <c r="I9" i="153"/>
  <c r="O12" i="153"/>
  <c r="I14" i="153"/>
  <c r="P15" i="153"/>
  <c r="F7" i="153"/>
  <c r="J8" i="153"/>
  <c r="O10" i="153"/>
  <c r="F13" i="153"/>
  <c r="J9" i="153"/>
  <c r="J14" i="153"/>
  <c r="P9" i="153"/>
  <c r="I7" i="153"/>
  <c r="D8" i="153"/>
  <c r="G9" i="153"/>
  <c r="I10" i="153"/>
  <c r="F12" i="153"/>
  <c r="O15" i="153"/>
  <c r="B11" i="153"/>
  <c r="C11" i="153" s="1"/>
  <c r="C10" i="153"/>
  <c r="J12" i="153"/>
  <c r="I13" i="153"/>
  <c r="O14" i="153"/>
  <c r="I15" i="153"/>
  <c r="D9" i="153"/>
  <c r="E11" i="153"/>
  <c r="G11" i="153" s="1"/>
  <c r="K11" i="153"/>
  <c r="M11" i="153" s="1"/>
  <c r="N11" i="153"/>
  <c r="P11" i="153" s="1"/>
  <c r="G7" i="153"/>
  <c r="I8" i="153"/>
  <c r="F15" i="153"/>
  <c r="M15" i="153"/>
  <c r="H11" i="153"/>
  <c r="J11" i="153" s="1"/>
  <c r="I12" i="153"/>
  <c r="D12" i="153"/>
  <c r="L7" i="153"/>
  <c r="L9" i="153"/>
  <c r="M7" i="153"/>
  <c r="P8" i="153"/>
  <c r="M9" i="153"/>
  <c r="P10" i="153"/>
  <c r="P12" i="153"/>
  <c r="P13" i="153"/>
  <c r="C7" i="153"/>
  <c r="O7" i="153"/>
  <c r="L8" i="153"/>
  <c r="C9" i="153"/>
  <c r="O9" i="153"/>
  <c r="L10" i="153"/>
  <c r="L12" i="153"/>
  <c r="L13" i="153"/>
  <c r="L14" i="153"/>
  <c r="D7" i="153"/>
  <c r="P7" i="153"/>
  <c r="G8" i="153"/>
  <c r="M8" i="153"/>
  <c r="G10" i="153"/>
  <c r="M10" i="153"/>
  <c r="G12" i="153"/>
  <c r="M12" i="153"/>
  <c r="G13" i="153"/>
  <c r="M13" i="153"/>
  <c r="M14" i="153"/>
  <c r="N15" i="152"/>
  <c r="K15" i="152"/>
  <c r="H15" i="152"/>
  <c r="E15" i="152"/>
  <c r="N14" i="152"/>
  <c r="K14" i="152"/>
  <c r="H14" i="152"/>
  <c r="E14" i="152"/>
  <c r="N13" i="152"/>
  <c r="K13" i="152"/>
  <c r="H13" i="152"/>
  <c r="E13" i="152"/>
  <c r="N12" i="152"/>
  <c r="K12" i="152"/>
  <c r="H12" i="152"/>
  <c r="E12" i="152"/>
  <c r="B12" i="152"/>
  <c r="N10" i="152"/>
  <c r="K10" i="152"/>
  <c r="H10" i="152"/>
  <c r="E10" i="152"/>
  <c r="B10" i="152"/>
  <c r="N9" i="152"/>
  <c r="K9" i="152"/>
  <c r="H9" i="152"/>
  <c r="E9" i="152"/>
  <c r="B9" i="152"/>
  <c r="C9" i="152" s="1"/>
  <c r="N8" i="152"/>
  <c r="K8" i="152"/>
  <c r="H8" i="152"/>
  <c r="E8" i="152"/>
  <c r="F8" i="152" s="1"/>
  <c r="B8" i="152"/>
  <c r="N7" i="152"/>
  <c r="K7" i="152"/>
  <c r="H7" i="152"/>
  <c r="E7" i="152"/>
  <c r="B7" i="152"/>
  <c r="C7" i="152" s="1"/>
  <c r="N6" i="152"/>
  <c r="P15" i="152" s="1"/>
  <c r="K6" i="152"/>
  <c r="H6" i="152"/>
  <c r="E6" i="152"/>
  <c r="B6" i="152"/>
  <c r="F7" i="152" l="1"/>
  <c r="D12" i="152"/>
  <c r="O14" i="152"/>
  <c r="O8" i="152"/>
  <c r="C10" i="152"/>
  <c r="D8" i="152"/>
  <c r="F9" i="152"/>
  <c r="F10" i="152"/>
  <c r="O13" i="152"/>
  <c r="J13" i="152"/>
  <c r="I9" i="152"/>
  <c r="J10" i="152"/>
  <c r="M15" i="152"/>
  <c r="J8" i="152"/>
  <c r="O12" i="152"/>
  <c r="I14" i="152"/>
  <c r="O15" i="152"/>
  <c r="D10" i="152"/>
  <c r="I7" i="152"/>
  <c r="O10" i="152"/>
  <c r="D11" i="153"/>
  <c r="L11" i="153"/>
  <c r="I11" i="153"/>
  <c r="F11" i="153"/>
  <c r="O11" i="153"/>
  <c r="J15" i="152"/>
  <c r="M7" i="152"/>
  <c r="C8" i="152"/>
  <c r="D7" i="152"/>
  <c r="O7" i="152"/>
  <c r="I8" i="152"/>
  <c r="D9" i="152"/>
  <c r="O9" i="152"/>
  <c r="I10" i="152"/>
  <c r="I13" i="152"/>
  <c r="G12" i="152"/>
  <c r="E11" i="152"/>
  <c r="F11" i="152" s="1"/>
  <c r="I12" i="152"/>
  <c r="L8" i="152"/>
  <c r="L10" i="152"/>
  <c r="J14" i="152"/>
  <c r="I15" i="152"/>
  <c r="J9" i="152"/>
  <c r="J7" i="152"/>
  <c r="K11" i="152"/>
  <c r="M11" i="152" s="1"/>
  <c r="J12" i="152"/>
  <c r="C12" i="152"/>
  <c r="L7" i="152"/>
  <c r="L9" i="152"/>
  <c r="P8" i="152"/>
  <c r="M9" i="152"/>
  <c r="B11" i="152"/>
  <c r="H11" i="152"/>
  <c r="N11" i="152"/>
  <c r="G7" i="152"/>
  <c r="G9" i="152"/>
  <c r="P10" i="152"/>
  <c r="P12" i="152"/>
  <c r="P13" i="152"/>
  <c r="P14" i="152"/>
  <c r="F12" i="152"/>
  <c r="L12" i="152"/>
  <c r="F13" i="152"/>
  <c r="L13" i="152"/>
  <c r="F14" i="152"/>
  <c r="L14" i="152"/>
  <c r="F15" i="152"/>
  <c r="L15" i="152"/>
  <c r="M12" i="152"/>
  <c r="G13" i="152"/>
  <c r="M13" i="152"/>
  <c r="G14" i="152"/>
  <c r="M14" i="152"/>
  <c r="G15" i="152"/>
  <c r="P7" i="152"/>
  <c r="G8" i="152"/>
  <c r="M8" i="152"/>
  <c r="P9" i="152"/>
  <c r="G10" i="152"/>
  <c r="M10" i="152"/>
  <c r="N15" i="151"/>
  <c r="K15" i="151"/>
  <c r="H15" i="151"/>
  <c r="E15" i="151"/>
  <c r="N14" i="151"/>
  <c r="K14" i="151"/>
  <c r="H14" i="151"/>
  <c r="E14" i="151"/>
  <c r="N13" i="151"/>
  <c r="K13" i="151"/>
  <c r="H13" i="151"/>
  <c r="E13" i="151"/>
  <c r="N12" i="151"/>
  <c r="K12" i="151"/>
  <c r="H12" i="151"/>
  <c r="E12" i="151"/>
  <c r="B12" i="151"/>
  <c r="N10" i="151"/>
  <c r="K10" i="151"/>
  <c r="H10" i="151"/>
  <c r="E10" i="151"/>
  <c r="B10" i="151"/>
  <c r="N9" i="151"/>
  <c r="K9" i="151"/>
  <c r="H9" i="151"/>
  <c r="E9" i="151"/>
  <c r="B9" i="151"/>
  <c r="N8" i="151"/>
  <c r="K8" i="151"/>
  <c r="H8" i="151"/>
  <c r="E8" i="151"/>
  <c r="B8" i="151"/>
  <c r="N7" i="151"/>
  <c r="K7" i="151"/>
  <c r="H7" i="151"/>
  <c r="J7" i="151" s="1"/>
  <c r="E7" i="151"/>
  <c r="B7" i="151"/>
  <c r="N6" i="151"/>
  <c r="K6" i="151"/>
  <c r="H6" i="151"/>
  <c r="E6" i="151"/>
  <c r="B6" i="151"/>
  <c r="N15" i="150"/>
  <c r="K15" i="150"/>
  <c r="H15" i="150"/>
  <c r="E15" i="150"/>
  <c r="N14" i="150"/>
  <c r="K14" i="150"/>
  <c r="H14" i="150"/>
  <c r="E14" i="150"/>
  <c r="N13" i="150"/>
  <c r="K13" i="150"/>
  <c r="H13" i="150"/>
  <c r="E13" i="150"/>
  <c r="N12" i="150"/>
  <c r="K12" i="150"/>
  <c r="H12" i="150"/>
  <c r="E12" i="150"/>
  <c r="B12" i="150"/>
  <c r="N10" i="150"/>
  <c r="K10" i="150"/>
  <c r="H10" i="150"/>
  <c r="E10" i="150"/>
  <c r="B10" i="150"/>
  <c r="N9" i="150"/>
  <c r="K9" i="150"/>
  <c r="H9" i="150"/>
  <c r="E9" i="150"/>
  <c r="B9" i="150"/>
  <c r="N8" i="150"/>
  <c r="K8" i="150"/>
  <c r="H8" i="150"/>
  <c r="E8" i="150"/>
  <c r="B8" i="150"/>
  <c r="N7" i="150"/>
  <c r="K7" i="150"/>
  <c r="H7" i="150"/>
  <c r="E7" i="150"/>
  <c r="B7" i="150"/>
  <c r="N6" i="150"/>
  <c r="K6" i="150"/>
  <c r="H6" i="150"/>
  <c r="E6" i="150"/>
  <c r="B6" i="150"/>
  <c r="D8" i="150" l="1"/>
  <c r="D8" i="151"/>
  <c r="C7" i="150"/>
  <c r="D7" i="151"/>
  <c r="P10" i="150"/>
  <c r="M14" i="150"/>
  <c r="P15" i="150"/>
  <c r="I7" i="150"/>
  <c r="L8" i="150"/>
  <c r="O9" i="150"/>
  <c r="P14" i="150"/>
  <c r="P9" i="151"/>
  <c r="D12" i="151"/>
  <c r="J13" i="151"/>
  <c r="P14" i="151"/>
  <c r="M7" i="150"/>
  <c r="P8" i="150"/>
  <c r="D10" i="150"/>
  <c r="L13" i="150"/>
  <c r="P8" i="151"/>
  <c r="D10" i="151"/>
  <c r="P12" i="150"/>
  <c r="O7" i="150"/>
  <c r="D9" i="150"/>
  <c r="J15" i="150"/>
  <c r="P7" i="151"/>
  <c r="D9" i="151"/>
  <c r="P13" i="151"/>
  <c r="L11" i="152"/>
  <c r="G11" i="152"/>
  <c r="D11" i="152"/>
  <c r="C11" i="152"/>
  <c r="P11" i="152"/>
  <c r="O11" i="152"/>
  <c r="J11" i="152"/>
  <c r="I11" i="152"/>
  <c r="G12" i="151"/>
  <c r="G15" i="151"/>
  <c r="G10" i="151"/>
  <c r="G9" i="151"/>
  <c r="G14" i="151"/>
  <c r="G8" i="151"/>
  <c r="E11" i="150"/>
  <c r="G11" i="150" s="1"/>
  <c r="G15" i="150"/>
  <c r="J9" i="150"/>
  <c r="M15" i="150"/>
  <c r="P7" i="150"/>
  <c r="C9" i="150"/>
  <c r="P9" i="150"/>
  <c r="D12" i="150"/>
  <c r="D7" i="150"/>
  <c r="P13" i="150"/>
  <c r="P12" i="151"/>
  <c r="P15" i="151"/>
  <c r="P10" i="151"/>
  <c r="M12" i="151"/>
  <c r="M10" i="151"/>
  <c r="M9" i="151"/>
  <c r="M14" i="151"/>
  <c r="M7" i="151"/>
  <c r="M13" i="151"/>
  <c r="M15" i="151"/>
  <c r="M8" i="151"/>
  <c r="J12" i="151"/>
  <c r="J15" i="151"/>
  <c r="J10" i="151"/>
  <c r="J9" i="151"/>
  <c r="J14" i="151"/>
  <c r="J8" i="151"/>
  <c r="G7" i="151"/>
  <c r="G13" i="151"/>
  <c r="M8" i="150"/>
  <c r="M9" i="150"/>
  <c r="L10" i="150"/>
  <c r="L12" i="150"/>
  <c r="M13" i="150"/>
  <c r="M12" i="150"/>
  <c r="L15" i="150"/>
  <c r="M10" i="150"/>
  <c r="L14" i="150"/>
  <c r="J7" i="150"/>
  <c r="J8" i="150"/>
  <c r="J14" i="150"/>
  <c r="I9" i="150"/>
  <c r="J13" i="150"/>
  <c r="J10" i="150"/>
  <c r="J12" i="150"/>
  <c r="F15" i="150"/>
  <c r="F14" i="150"/>
  <c r="G9" i="150"/>
  <c r="F12" i="150"/>
  <c r="F8" i="150"/>
  <c r="F13" i="150"/>
  <c r="F10" i="150"/>
  <c r="B11" i="151"/>
  <c r="H11" i="151"/>
  <c r="N11" i="151"/>
  <c r="C7" i="151"/>
  <c r="I7" i="151"/>
  <c r="O7" i="151"/>
  <c r="F8" i="151"/>
  <c r="L8" i="151"/>
  <c r="C9" i="151"/>
  <c r="I9" i="151"/>
  <c r="O9" i="151"/>
  <c r="F10" i="151"/>
  <c r="L10" i="151"/>
  <c r="F12" i="151"/>
  <c r="L12" i="151"/>
  <c r="F13" i="151"/>
  <c r="L13" i="151"/>
  <c r="F14" i="151"/>
  <c r="L14" i="151"/>
  <c r="F15" i="151"/>
  <c r="L15" i="151"/>
  <c r="K11" i="151"/>
  <c r="E11" i="151"/>
  <c r="F7" i="151"/>
  <c r="L7" i="151"/>
  <c r="C8" i="151"/>
  <c r="I8" i="151"/>
  <c r="O8" i="151"/>
  <c r="F9" i="151"/>
  <c r="L9" i="151"/>
  <c r="C10" i="151"/>
  <c r="I10" i="151"/>
  <c r="O10" i="151"/>
  <c r="C12" i="151"/>
  <c r="I12" i="151"/>
  <c r="O12" i="151"/>
  <c r="I13" i="151"/>
  <c r="O13" i="151"/>
  <c r="I14" i="151"/>
  <c r="O14" i="151"/>
  <c r="I15" i="151"/>
  <c r="O15" i="151"/>
  <c r="G10" i="150"/>
  <c r="G13" i="150"/>
  <c r="K11" i="150"/>
  <c r="F7" i="150"/>
  <c r="C8" i="150"/>
  <c r="I8" i="150"/>
  <c r="F9" i="150"/>
  <c r="L9" i="150"/>
  <c r="I10" i="150"/>
  <c r="O10" i="150"/>
  <c r="C12" i="150"/>
  <c r="I12" i="150"/>
  <c r="O12" i="150"/>
  <c r="O13" i="150"/>
  <c r="I14" i="150"/>
  <c r="O14" i="150"/>
  <c r="I15" i="150"/>
  <c r="O15" i="150"/>
  <c r="G7" i="150"/>
  <c r="B11" i="150"/>
  <c r="H11" i="150"/>
  <c r="N11" i="150"/>
  <c r="G12" i="150"/>
  <c r="G8" i="150"/>
  <c r="G14" i="150"/>
  <c r="L7" i="150"/>
  <c r="O8" i="150"/>
  <c r="C10" i="150"/>
  <c r="I13" i="150"/>
  <c r="N15" i="149"/>
  <c r="K15" i="149"/>
  <c r="H15" i="149"/>
  <c r="E15" i="149"/>
  <c r="N14" i="149"/>
  <c r="K14" i="149"/>
  <c r="H14" i="149"/>
  <c r="E14" i="149"/>
  <c r="N13" i="149"/>
  <c r="K13" i="149"/>
  <c r="H13" i="149"/>
  <c r="E13" i="149"/>
  <c r="N12" i="149"/>
  <c r="K12" i="149"/>
  <c r="H12" i="149"/>
  <c r="E12" i="149"/>
  <c r="B12" i="149"/>
  <c r="N10" i="149"/>
  <c r="K10" i="149"/>
  <c r="H10" i="149"/>
  <c r="E10" i="149"/>
  <c r="B10" i="149"/>
  <c r="N9" i="149"/>
  <c r="K9" i="149"/>
  <c r="H9" i="149"/>
  <c r="E9" i="149"/>
  <c r="B9" i="149"/>
  <c r="N8" i="149"/>
  <c r="K8" i="149"/>
  <c r="H8" i="149"/>
  <c r="E8" i="149"/>
  <c r="G8" i="149" s="1"/>
  <c r="B8" i="149"/>
  <c r="N7" i="149"/>
  <c r="K7" i="149"/>
  <c r="H7" i="149"/>
  <c r="E7" i="149"/>
  <c r="F7" i="149" s="1"/>
  <c r="B7" i="149"/>
  <c r="D7" i="149" s="1"/>
  <c r="N6" i="149"/>
  <c r="K6" i="149"/>
  <c r="H6" i="149"/>
  <c r="E6" i="149"/>
  <c r="B6" i="149"/>
  <c r="G12" i="149" l="1"/>
  <c r="G15" i="149"/>
  <c r="P7" i="149"/>
  <c r="J7" i="149"/>
  <c r="D9" i="149"/>
  <c r="G10" i="149"/>
  <c r="D8" i="149"/>
  <c r="G9" i="149"/>
  <c r="G14" i="149"/>
  <c r="F11" i="150"/>
  <c r="M11" i="151"/>
  <c r="L11" i="151"/>
  <c r="P11" i="151"/>
  <c r="O11" i="151"/>
  <c r="J11" i="151"/>
  <c r="I11" i="151"/>
  <c r="D11" i="151"/>
  <c r="C11" i="151"/>
  <c r="G11" i="151"/>
  <c r="F11" i="151"/>
  <c r="D11" i="150"/>
  <c r="C11" i="150"/>
  <c r="P11" i="150"/>
  <c r="O11" i="150"/>
  <c r="I11" i="150"/>
  <c r="J11" i="150"/>
  <c r="M11" i="150"/>
  <c r="L11" i="150"/>
  <c r="P13" i="149"/>
  <c r="M10" i="149"/>
  <c r="M12" i="149"/>
  <c r="M15" i="149"/>
  <c r="M9" i="149"/>
  <c r="P10" i="149"/>
  <c r="P12" i="149"/>
  <c r="P15" i="149"/>
  <c r="P9" i="149"/>
  <c r="E11" i="149"/>
  <c r="F11" i="149" s="1"/>
  <c r="P8" i="149"/>
  <c r="P14" i="149"/>
  <c r="M8" i="149"/>
  <c r="M14" i="149"/>
  <c r="M7" i="149"/>
  <c r="M13" i="149"/>
  <c r="J15" i="149"/>
  <c r="J8" i="149"/>
  <c r="J14" i="149"/>
  <c r="J13" i="149"/>
  <c r="J10" i="149"/>
  <c r="J12" i="149"/>
  <c r="J9" i="149"/>
  <c r="G13" i="149"/>
  <c r="D10" i="149"/>
  <c r="D12" i="149"/>
  <c r="H11" i="149"/>
  <c r="C7" i="149"/>
  <c r="I7" i="149"/>
  <c r="O7" i="149"/>
  <c r="F8" i="149"/>
  <c r="L8" i="149"/>
  <c r="C9" i="149"/>
  <c r="I9" i="149"/>
  <c r="O9" i="149"/>
  <c r="F10" i="149"/>
  <c r="L10" i="149"/>
  <c r="F12" i="149"/>
  <c r="L12" i="149"/>
  <c r="F13" i="149"/>
  <c r="L13" i="149"/>
  <c r="F14" i="149"/>
  <c r="L14" i="149"/>
  <c r="F15" i="149"/>
  <c r="L15" i="149"/>
  <c r="K11" i="149"/>
  <c r="L7" i="149"/>
  <c r="C8" i="149"/>
  <c r="I8" i="149"/>
  <c r="O8" i="149"/>
  <c r="F9" i="149"/>
  <c r="L9" i="149"/>
  <c r="C10" i="149"/>
  <c r="I10" i="149"/>
  <c r="O10" i="149"/>
  <c r="C12" i="149"/>
  <c r="I12" i="149"/>
  <c r="O12" i="149"/>
  <c r="I13" i="149"/>
  <c r="O13" i="149"/>
  <c r="I14" i="149"/>
  <c r="O14" i="149"/>
  <c r="I15" i="149"/>
  <c r="O15" i="149"/>
  <c r="G7" i="149"/>
  <c r="B11" i="149"/>
  <c r="N11" i="149"/>
  <c r="N15" i="148"/>
  <c r="K15" i="148"/>
  <c r="H15" i="148"/>
  <c r="E15" i="148"/>
  <c r="N14" i="148"/>
  <c r="K14" i="148"/>
  <c r="H14" i="148"/>
  <c r="E14" i="148"/>
  <c r="N13" i="148"/>
  <c r="K13" i="148"/>
  <c r="H13" i="148"/>
  <c r="E13" i="148"/>
  <c r="N12" i="148"/>
  <c r="K12" i="148"/>
  <c r="H12" i="148"/>
  <c r="E12" i="148"/>
  <c r="B12" i="148"/>
  <c r="N10" i="148"/>
  <c r="K10" i="148"/>
  <c r="H10" i="148"/>
  <c r="E10" i="148"/>
  <c r="B10" i="148"/>
  <c r="N9" i="148"/>
  <c r="K9" i="148"/>
  <c r="H9" i="148"/>
  <c r="E9" i="148"/>
  <c r="B9" i="148"/>
  <c r="N8" i="148"/>
  <c r="K8" i="148"/>
  <c r="H8" i="148"/>
  <c r="E8" i="148"/>
  <c r="B8" i="148"/>
  <c r="N7" i="148"/>
  <c r="K7" i="148"/>
  <c r="H7" i="148"/>
  <c r="E7" i="148"/>
  <c r="B7" i="148"/>
  <c r="N6" i="148"/>
  <c r="K6" i="148"/>
  <c r="H6" i="148"/>
  <c r="E6" i="148"/>
  <c r="B6" i="148"/>
  <c r="P10" i="148" l="1"/>
  <c r="P9" i="148"/>
  <c r="G11" i="149"/>
  <c r="J11" i="149"/>
  <c r="I11" i="149"/>
  <c r="D11" i="149"/>
  <c r="C11" i="149"/>
  <c r="M11" i="149"/>
  <c r="L11" i="149"/>
  <c r="P11" i="149"/>
  <c r="O11" i="149"/>
  <c r="L15" i="148"/>
  <c r="F13" i="148"/>
  <c r="F15" i="148"/>
  <c r="F12" i="148"/>
  <c r="G9" i="148"/>
  <c r="F10" i="148"/>
  <c r="F8" i="148"/>
  <c r="D12" i="148"/>
  <c r="D10" i="148"/>
  <c r="D9" i="148"/>
  <c r="C7" i="148"/>
  <c r="I7" i="148"/>
  <c r="J14" i="148"/>
  <c r="J7" i="148"/>
  <c r="J8" i="148"/>
  <c r="J13" i="148"/>
  <c r="L14" i="148"/>
  <c r="M15" i="148"/>
  <c r="M7" i="148"/>
  <c r="L8" i="148"/>
  <c r="I9" i="148"/>
  <c r="L13" i="148"/>
  <c r="M14" i="148"/>
  <c r="P15" i="148"/>
  <c r="O7" i="148"/>
  <c r="M8" i="148"/>
  <c r="J9" i="148"/>
  <c r="J10" i="148"/>
  <c r="J12" i="148"/>
  <c r="M13" i="148"/>
  <c r="P14" i="148"/>
  <c r="D7" i="148"/>
  <c r="P7" i="148"/>
  <c r="P8" i="148"/>
  <c r="M9" i="148"/>
  <c r="L10" i="148"/>
  <c r="L12" i="148"/>
  <c r="P13" i="148"/>
  <c r="G15" i="148"/>
  <c r="G7" i="148"/>
  <c r="D8" i="148"/>
  <c r="C9" i="148"/>
  <c r="O9" i="148"/>
  <c r="M10" i="148"/>
  <c r="P12" i="148"/>
  <c r="F14" i="148"/>
  <c r="J15" i="148"/>
  <c r="M12" i="148"/>
  <c r="G8" i="148"/>
  <c r="G10" i="148"/>
  <c r="G12" i="148"/>
  <c r="G13" i="148"/>
  <c r="G14" i="148"/>
  <c r="E11" i="148"/>
  <c r="K11" i="148"/>
  <c r="F7" i="148"/>
  <c r="L7" i="148"/>
  <c r="C8" i="148"/>
  <c r="I8" i="148"/>
  <c r="O8" i="148"/>
  <c r="F9" i="148"/>
  <c r="L9" i="148"/>
  <c r="C10" i="148"/>
  <c r="I10" i="148"/>
  <c r="O10" i="148"/>
  <c r="C12" i="148"/>
  <c r="I12" i="148"/>
  <c r="O12" i="148"/>
  <c r="I13" i="148"/>
  <c r="O13" i="148"/>
  <c r="I14" i="148"/>
  <c r="O14" i="148"/>
  <c r="I15" i="148"/>
  <c r="O15" i="148"/>
  <c r="B11" i="148"/>
  <c r="H11" i="148"/>
  <c r="N11" i="148"/>
  <c r="N15" i="147"/>
  <c r="K15" i="147"/>
  <c r="M15" i="147" s="1"/>
  <c r="H15" i="147"/>
  <c r="E15" i="147"/>
  <c r="N14" i="147"/>
  <c r="K14" i="147"/>
  <c r="H14" i="147"/>
  <c r="E14" i="147"/>
  <c r="N13" i="147"/>
  <c r="K13" i="147"/>
  <c r="H13" i="147"/>
  <c r="E13" i="147"/>
  <c r="N12" i="147"/>
  <c r="K12" i="147"/>
  <c r="M12" i="147" s="1"/>
  <c r="H12" i="147"/>
  <c r="E12" i="147"/>
  <c r="B12" i="147"/>
  <c r="N10" i="147"/>
  <c r="K10" i="147"/>
  <c r="H10" i="147"/>
  <c r="E10" i="147"/>
  <c r="B10" i="147"/>
  <c r="N9" i="147"/>
  <c r="K9" i="147"/>
  <c r="H9" i="147"/>
  <c r="E9" i="147"/>
  <c r="B9" i="147"/>
  <c r="N8" i="147"/>
  <c r="K8" i="147"/>
  <c r="H8" i="147"/>
  <c r="E8" i="147"/>
  <c r="B8" i="147"/>
  <c r="N7" i="147"/>
  <c r="K7" i="147"/>
  <c r="H7" i="147"/>
  <c r="E7" i="147"/>
  <c r="B7" i="147"/>
  <c r="N6" i="147"/>
  <c r="K6" i="147"/>
  <c r="H6" i="147"/>
  <c r="E6" i="147"/>
  <c r="B6" i="147"/>
  <c r="C10" i="147" s="1"/>
  <c r="G9" i="147" l="1"/>
  <c r="G14" i="147"/>
  <c r="E11" i="147"/>
  <c r="M9" i="147"/>
  <c r="G13" i="147"/>
  <c r="K11" i="147"/>
  <c r="M13" i="147"/>
  <c r="I10" i="147"/>
  <c r="I11" i="148"/>
  <c r="J11" i="148"/>
  <c r="C11" i="148"/>
  <c r="D11" i="148"/>
  <c r="M11" i="148"/>
  <c r="L11" i="148"/>
  <c r="G11" i="148"/>
  <c r="F11" i="148"/>
  <c r="O11" i="148"/>
  <c r="P11" i="148"/>
  <c r="M14" i="147"/>
  <c r="G12" i="147"/>
  <c r="G15" i="147"/>
  <c r="O8" i="147"/>
  <c r="D8" i="147"/>
  <c r="J8" i="147"/>
  <c r="P8" i="147"/>
  <c r="D10" i="147"/>
  <c r="J10" i="147"/>
  <c r="P10" i="147"/>
  <c r="F15" i="147"/>
  <c r="L15" i="147"/>
  <c r="C7" i="147"/>
  <c r="I7" i="147"/>
  <c r="O7" i="147"/>
  <c r="F8" i="147"/>
  <c r="L8" i="147"/>
  <c r="C9" i="147"/>
  <c r="I9" i="147"/>
  <c r="O9" i="147"/>
  <c r="F10" i="147"/>
  <c r="L10" i="147"/>
  <c r="D12" i="147"/>
  <c r="J12" i="147"/>
  <c r="P12" i="147"/>
  <c r="J13" i="147"/>
  <c r="P13" i="147"/>
  <c r="J14" i="147"/>
  <c r="P14" i="147"/>
  <c r="J15" i="147"/>
  <c r="P15" i="147"/>
  <c r="M11" i="147"/>
  <c r="L11" i="147"/>
  <c r="G11" i="147"/>
  <c r="F11" i="147"/>
  <c r="D7" i="147"/>
  <c r="F7" i="147"/>
  <c r="J7" i="147"/>
  <c r="L7" i="147"/>
  <c r="P7" i="147"/>
  <c r="C8" i="147"/>
  <c r="G8" i="147"/>
  <c r="I8" i="147"/>
  <c r="M8" i="147"/>
  <c r="D9" i="147"/>
  <c r="F9" i="147"/>
  <c r="J9" i="147"/>
  <c r="L9" i="147"/>
  <c r="P9" i="147"/>
  <c r="G10" i="147"/>
  <c r="M10" i="147"/>
  <c r="O10" i="147"/>
  <c r="B11" i="147"/>
  <c r="H11" i="147"/>
  <c r="N11" i="147"/>
  <c r="C12" i="147"/>
  <c r="I12" i="147"/>
  <c r="O12" i="147"/>
  <c r="I13" i="147"/>
  <c r="O13" i="147"/>
  <c r="I14" i="147"/>
  <c r="O14" i="147"/>
  <c r="I15" i="147"/>
  <c r="O15" i="147"/>
  <c r="G7" i="147"/>
  <c r="M7" i="147"/>
  <c r="F12" i="147"/>
  <c r="L12" i="147"/>
  <c r="F13" i="147"/>
  <c r="L13" i="147"/>
  <c r="F14" i="147"/>
  <c r="L14" i="147"/>
  <c r="N15" i="146"/>
  <c r="K15" i="146"/>
  <c r="H15" i="146"/>
  <c r="E15" i="146"/>
  <c r="N14" i="146"/>
  <c r="K14" i="146"/>
  <c r="H14" i="146"/>
  <c r="E14" i="146"/>
  <c r="N13" i="146"/>
  <c r="K13" i="146"/>
  <c r="H13" i="146"/>
  <c r="I13" i="146" s="1"/>
  <c r="E13" i="146"/>
  <c r="N12" i="146"/>
  <c r="K12" i="146"/>
  <c r="H12" i="146"/>
  <c r="E12" i="146"/>
  <c r="B12" i="146"/>
  <c r="N10" i="146"/>
  <c r="K10" i="146"/>
  <c r="H10" i="146"/>
  <c r="E10" i="146"/>
  <c r="B10" i="146"/>
  <c r="N9" i="146"/>
  <c r="K9" i="146"/>
  <c r="H9" i="146"/>
  <c r="E9" i="146"/>
  <c r="B9" i="146"/>
  <c r="N8" i="146"/>
  <c r="K8" i="146"/>
  <c r="H8" i="146"/>
  <c r="E8" i="146"/>
  <c r="B8" i="146"/>
  <c r="N7" i="146"/>
  <c r="K7" i="146"/>
  <c r="H7" i="146"/>
  <c r="E7" i="146"/>
  <c r="B7" i="146"/>
  <c r="N6" i="146"/>
  <c r="K6" i="146"/>
  <c r="H6" i="146"/>
  <c r="E6" i="146"/>
  <c r="F12" i="146" s="1"/>
  <c r="B6" i="146"/>
  <c r="I8" i="146" l="1"/>
  <c r="I10" i="146"/>
  <c r="J9" i="146"/>
  <c r="I14" i="146"/>
  <c r="B11" i="146"/>
  <c r="D11" i="146" s="1"/>
  <c r="C12" i="146"/>
  <c r="H11" i="146"/>
  <c r="I11" i="146" s="1"/>
  <c r="P9" i="146"/>
  <c r="N11" i="146"/>
  <c r="P11" i="146" s="1"/>
  <c r="D9" i="146"/>
  <c r="I15" i="146"/>
  <c r="O11" i="147"/>
  <c r="P11" i="147"/>
  <c r="C11" i="147"/>
  <c r="D11" i="147"/>
  <c r="I11" i="147"/>
  <c r="J11" i="147"/>
  <c r="L15" i="146"/>
  <c r="G8" i="146"/>
  <c r="L8" i="146"/>
  <c r="G10" i="146"/>
  <c r="L10" i="146"/>
  <c r="M12" i="146"/>
  <c r="G13" i="146"/>
  <c r="L13" i="146"/>
  <c r="G14" i="146"/>
  <c r="L14" i="146"/>
  <c r="G15" i="146"/>
  <c r="C9" i="146"/>
  <c r="I9" i="146"/>
  <c r="O9" i="146"/>
  <c r="F7" i="146"/>
  <c r="L7" i="146"/>
  <c r="C8" i="146"/>
  <c r="F8" i="146"/>
  <c r="M8" i="146"/>
  <c r="O8" i="146"/>
  <c r="F9" i="146"/>
  <c r="L9" i="146"/>
  <c r="C10" i="146"/>
  <c r="F10" i="146"/>
  <c r="M10" i="146"/>
  <c r="O10" i="146"/>
  <c r="G12" i="146"/>
  <c r="I12" i="146"/>
  <c r="O12" i="146"/>
  <c r="F13" i="146"/>
  <c r="M13" i="146"/>
  <c r="O13" i="146"/>
  <c r="F14" i="146"/>
  <c r="M14" i="146"/>
  <c r="O14" i="146"/>
  <c r="F15" i="146"/>
  <c r="M15" i="146"/>
  <c r="O15" i="146"/>
  <c r="L12" i="146"/>
  <c r="J11" i="146"/>
  <c r="C7" i="146"/>
  <c r="G7" i="146"/>
  <c r="I7" i="146"/>
  <c r="M7" i="146"/>
  <c r="O7" i="146"/>
  <c r="D8" i="146"/>
  <c r="J8" i="146"/>
  <c r="P8" i="146"/>
  <c r="G9" i="146"/>
  <c r="M9" i="146"/>
  <c r="D10" i="146"/>
  <c r="J10" i="146"/>
  <c r="P10" i="146"/>
  <c r="E11" i="146"/>
  <c r="K11" i="146"/>
  <c r="D12" i="146"/>
  <c r="J12" i="146"/>
  <c r="P12" i="146"/>
  <c r="J13" i="146"/>
  <c r="P13" i="146"/>
  <c r="J14" i="146"/>
  <c r="P14" i="146"/>
  <c r="J15" i="146"/>
  <c r="P15" i="146"/>
  <c r="D7" i="146"/>
  <c r="J7" i="146"/>
  <c r="P7" i="146"/>
  <c r="C11" i="146" l="1"/>
  <c r="O11" i="146"/>
  <c r="F11" i="146"/>
  <c r="G11" i="146"/>
  <c r="L11" i="146"/>
  <c r="M11" i="146"/>
  <c r="N15" i="145" l="1"/>
  <c r="K15" i="145"/>
  <c r="H15" i="145"/>
  <c r="E15" i="145"/>
  <c r="N14" i="145"/>
  <c r="K14" i="145"/>
  <c r="H14" i="145"/>
  <c r="E14" i="145"/>
  <c r="N13" i="145"/>
  <c r="K13" i="145"/>
  <c r="H13" i="145"/>
  <c r="E13" i="145"/>
  <c r="N12" i="145"/>
  <c r="K12" i="145"/>
  <c r="H12" i="145"/>
  <c r="E12" i="145"/>
  <c r="B12" i="145"/>
  <c r="N10" i="145"/>
  <c r="K10" i="145"/>
  <c r="H10" i="145"/>
  <c r="E10" i="145"/>
  <c r="B10" i="145"/>
  <c r="N9" i="145"/>
  <c r="K9" i="145"/>
  <c r="H9" i="145"/>
  <c r="E9" i="145"/>
  <c r="B9" i="145"/>
  <c r="N8" i="145"/>
  <c r="K8" i="145"/>
  <c r="H8" i="145"/>
  <c r="E8" i="145"/>
  <c r="B8" i="145"/>
  <c r="N7" i="145"/>
  <c r="K7" i="145"/>
  <c r="H7" i="145"/>
  <c r="E7" i="145"/>
  <c r="B7" i="145"/>
  <c r="N6" i="145"/>
  <c r="K6" i="145"/>
  <c r="L15" i="145" s="1"/>
  <c r="H6" i="145"/>
  <c r="E6" i="145"/>
  <c r="F15" i="145" s="1"/>
  <c r="B6" i="145"/>
  <c r="C10" i="145" s="1"/>
  <c r="E11" i="145" l="1"/>
  <c r="F11" i="145" s="1"/>
  <c r="I10" i="145"/>
  <c r="K11" i="145"/>
  <c r="M11" i="145" s="1"/>
  <c r="O8" i="145"/>
  <c r="D8" i="145"/>
  <c r="J8" i="145"/>
  <c r="P8" i="145"/>
  <c r="G9" i="145"/>
  <c r="M9" i="145"/>
  <c r="D10" i="145"/>
  <c r="J10" i="145"/>
  <c r="P10" i="145"/>
  <c r="F12" i="145"/>
  <c r="M12" i="145"/>
  <c r="F13" i="145"/>
  <c r="M13" i="145"/>
  <c r="G14" i="145"/>
  <c r="M14" i="145"/>
  <c r="G15" i="145"/>
  <c r="M15" i="145"/>
  <c r="C7" i="145"/>
  <c r="I7" i="145"/>
  <c r="O7" i="145"/>
  <c r="F8" i="145"/>
  <c r="L8" i="145"/>
  <c r="C9" i="145"/>
  <c r="I9" i="145"/>
  <c r="O9" i="145"/>
  <c r="F10" i="145"/>
  <c r="L10" i="145"/>
  <c r="D12" i="145"/>
  <c r="J12" i="145"/>
  <c r="P12" i="145"/>
  <c r="J13" i="145"/>
  <c r="P13" i="145"/>
  <c r="J14" i="145"/>
  <c r="P14" i="145"/>
  <c r="J15" i="145"/>
  <c r="P15" i="145"/>
  <c r="L11" i="145"/>
  <c r="G11" i="145"/>
  <c r="D7" i="145"/>
  <c r="F7" i="145"/>
  <c r="J7" i="145"/>
  <c r="L7" i="145"/>
  <c r="P7" i="145"/>
  <c r="C8" i="145"/>
  <c r="G8" i="145"/>
  <c r="I8" i="145"/>
  <c r="M8" i="145"/>
  <c r="D9" i="145"/>
  <c r="F9" i="145"/>
  <c r="J9" i="145"/>
  <c r="L9" i="145"/>
  <c r="P9" i="145"/>
  <c r="G10" i="145"/>
  <c r="M10" i="145"/>
  <c r="O10" i="145"/>
  <c r="B11" i="145"/>
  <c r="H11" i="145"/>
  <c r="N11" i="145"/>
  <c r="C12" i="145"/>
  <c r="G12" i="145"/>
  <c r="I12" i="145"/>
  <c r="O12" i="145"/>
  <c r="G13" i="145"/>
  <c r="I13" i="145"/>
  <c r="O13" i="145"/>
  <c r="I14" i="145"/>
  <c r="O14" i="145"/>
  <c r="I15" i="145"/>
  <c r="O15" i="145"/>
  <c r="G7" i="145"/>
  <c r="M7" i="145"/>
  <c r="L12" i="145"/>
  <c r="L13" i="145"/>
  <c r="F14" i="145"/>
  <c r="L14" i="145"/>
  <c r="N15" i="144"/>
  <c r="K15" i="144"/>
  <c r="H15" i="144"/>
  <c r="E15" i="144"/>
  <c r="N14" i="144"/>
  <c r="K14" i="144"/>
  <c r="H14" i="144"/>
  <c r="E14" i="144"/>
  <c r="N13" i="144"/>
  <c r="K13" i="144"/>
  <c r="H13" i="144"/>
  <c r="E13" i="144"/>
  <c r="N12" i="144"/>
  <c r="K12" i="144"/>
  <c r="H12" i="144"/>
  <c r="E12" i="144"/>
  <c r="B12" i="144"/>
  <c r="N10" i="144"/>
  <c r="K10" i="144"/>
  <c r="H10" i="144"/>
  <c r="E10" i="144"/>
  <c r="B10" i="144"/>
  <c r="N9" i="144"/>
  <c r="K9" i="144"/>
  <c r="H9" i="144"/>
  <c r="E9" i="144"/>
  <c r="B9" i="144"/>
  <c r="N8" i="144"/>
  <c r="K8" i="144"/>
  <c r="H8" i="144"/>
  <c r="E8" i="144"/>
  <c r="B8" i="144"/>
  <c r="N7" i="144"/>
  <c r="K7" i="144"/>
  <c r="H7" i="144"/>
  <c r="E7" i="144"/>
  <c r="B7" i="144"/>
  <c r="N6" i="144"/>
  <c r="K6" i="144"/>
  <c r="H6" i="144"/>
  <c r="I9" i="144" s="1"/>
  <c r="E6" i="144"/>
  <c r="B6" i="144"/>
  <c r="L14" i="144" l="1"/>
  <c r="L13" i="144"/>
  <c r="H11" i="144"/>
  <c r="N11" i="144"/>
  <c r="P11" i="144" s="1"/>
  <c r="F10" i="144"/>
  <c r="L15" i="144"/>
  <c r="O9" i="144"/>
  <c r="B11" i="144"/>
  <c r="D11" i="144" s="1"/>
  <c r="F8" i="144"/>
  <c r="O11" i="145"/>
  <c r="P11" i="145"/>
  <c r="C11" i="145"/>
  <c r="D11" i="145"/>
  <c r="I11" i="145"/>
  <c r="J11" i="145"/>
  <c r="F15" i="144"/>
  <c r="C9" i="144"/>
  <c r="F7" i="144"/>
  <c r="L7" i="144"/>
  <c r="C8" i="144"/>
  <c r="M8" i="144"/>
  <c r="O8" i="144"/>
  <c r="F9" i="144"/>
  <c r="L9" i="144"/>
  <c r="C10" i="144"/>
  <c r="M10" i="144"/>
  <c r="O10" i="144"/>
  <c r="G12" i="144"/>
  <c r="M12" i="144"/>
  <c r="G13" i="144"/>
  <c r="I13" i="144"/>
  <c r="G14" i="144"/>
  <c r="I14" i="144"/>
  <c r="G15" i="144"/>
  <c r="I15" i="144"/>
  <c r="G8" i="144"/>
  <c r="I8" i="144"/>
  <c r="L8" i="144"/>
  <c r="D9" i="144"/>
  <c r="J9" i="144"/>
  <c r="P9" i="144"/>
  <c r="G10" i="144"/>
  <c r="I10" i="144"/>
  <c r="L10" i="144"/>
  <c r="C12" i="144"/>
  <c r="I12" i="144"/>
  <c r="O12" i="144"/>
  <c r="F13" i="144"/>
  <c r="M13" i="144"/>
  <c r="O13" i="144"/>
  <c r="F14" i="144"/>
  <c r="M14" i="144"/>
  <c r="O14" i="144"/>
  <c r="M15" i="144"/>
  <c r="P15" i="144"/>
  <c r="L12" i="144"/>
  <c r="F12" i="144"/>
  <c r="J11" i="144"/>
  <c r="I11" i="144"/>
  <c r="O11" i="144"/>
  <c r="C7" i="144"/>
  <c r="G7" i="144"/>
  <c r="I7" i="144"/>
  <c r="M7" i="144"/>
  <c r="O7" i="144"/>
  <c r="D8" i="144"/>
  <c r="J8" i="144"/>
  <c r="P8" i="144"/>
  <c r="G9" i="144"/>
  <c r="M9" i="144"/>
  <c r="D10" i="144"/>
  <c r="J10" i="144"/>
  <c r="P10" i="144"/>
  <c r="E11" i="144"/>
  <c r="K11" i="144"/>
  <c r="D12" i="144"/>
  <c r="J12" i="144"/>
  <c r="P12" i="144"/>
  <c r="J13" i="144"/>
  <c r="P13" i="144"/>
  <c r="J14" i="144"/>
  <c r="P14" i="144"/>
  <c r="J15" i="144"/>
  <c r="D7" i="144"/>
  <c r="J7" i="144"/>
  <c r="P7" i="144"/>
  <c r="O15" i="144"/>
  <c r="N15" i="143"/>
  <c r="K15" i="143"/>
  <c r="H15" i="143"/>
  <c r="E15" i="143"/>
  <c r="N14" i="143"/>
  <c r="K14" i="143"/>
  <c r="H14" i="143"/>
  <c r="E14" i="143"/>
  <c r="N13" i="143"/>
  <c r="K13" i="143"/>
  <c r="H13" i="143"/>
  <c r="E13" i="143"/>
  <c r="N12" i="143"/>
  <c r="K12" i="143"/>
  <c r="H12" i="143"/>
  <c r="E12" i="143"/>
  <c r="B12" i="143"/>
  <c r="N10" i="143"/>
  <c r="K10" i="143"/>
  <c r="H10" i="143"/>
  <c r="E10" i="143"/>
  <c r="B10" i="143"/>
  <c r="N9" i="143"/>
  <c r="K9" i="143"/>
  <c r="H9" i="143"/>
  <c r="E9" i="143"/>
  <c r="B9" i="143"/>
  <c r="N8" i="143"/>
  <c r="K8" i="143"/>
  <c r="H8" i="143"/>
  <c r="E8" i="143"/>
  <c r="B8" i="143"/>
  <c r="N7" i="143"/>
  <c r="K7" i="143"/>
  <c r="H7" i="143"/>
  <c r="E7" i="143"/>
  <c r="B7" i="143"/>
  <c r="N6" i="143"/>
  <c r="K6" i="143"/>
  <c r="H6" i="143"/>
  <c r="E6" i="143"/>
  <c r="B6" i="143"/>
  <c r="N15" i="142"/>
  <c r="K15" i="142"/>
  <c r="H15" i="142"/>
  <c r="E15" i="142"/>
  <c r="N14" i="142"/>
  <c r="K14" i="142"/>
  <c r="H14" i="142"/>
  <c r="E14" i="142"/>
  <c r="N13" i="142"/>
  <c r="K13" i="142"/>
  <c r="H13" i="142"/>
  <c r="E13" i="142"/>
  <c r="N12" i="142"/>
  <c r="K12" i="142"/>
  <c r="H12" i="142"/>
  <c r="E12" i="142"/>
  <c r="B12" i="142"/>
  <c r="N10" i="142"/>
  <c r="K10" i="142"/>
  <c r="H10" i="142"/>
  <c r="E10" i="142"/>
  <c r="B10" i="142"/>
  <c r="N9" i="142"/>
  <c r="K9" i="142"/>
  <c r="H9" i="142"/>
  <c r="E9" i="142"/>
  <c r="B9" i="142"/>
  <c r="N8" i="142"/>
  <c r="K8" i="142"/>
  <c r="H8" i="142"/>
  <c r="E8" i="142"/>
  <c r="B8" i="142"/>
  <c r="N7" i="142"/>
  <c r="K7" i="142"/>
  <c r="H7" i="142"/>
  <c r="E7" i="142"/>
  <c r="B7" i="142"/>
  <c r="N6" i="142"/>
  <c r="O9" i="142" s="1"/>
  <c r="K6" i="142"/>
  <c r="H6" i="142"/>
  <c r="E6" i="142"/>
  <c r="B6" i="142"/>
  <c r="O8" i="143" l="1"/>
  <c r="F15" i="142"/>
  <c r="F15" i="143"/>
  <c r="L15" i="142"/>
  <c r="L14" i="142"/>
  <c r="L12" i="142"/>
  <c r="C9" i="142"/>
  <c r="H11" i="142"/>
  <c r="J11" i="142" s="1"/>
  <c r="C11" i="144"/>
  <c r="I9" i="142"/>
  <c r="L13" i="142"/>
  <c r="I10" i="143"/>
  <c r="K11" i="143"/>
  <c r="M11" i="143" s="1"/>
  <c r="E11" i="143"/>
  <c r="N11" i="142"/>
  <c r="O11" i="142" s="1"/>
  <c r="L15" i="143"/>
  <c r="F11" i="144"/>
  <c r="G11" i="144"/>
  <c r="L11" i="144"/>
  <c r="M11" i="144"/>
  <c r="D8" i="143"/>
  <c r="J8" i="143"/>
  <c r="P8" i="143"/>
  <c r="G9" i="143"/>
  <c r="M9" i="143"/>
  <c r="D10" i="143"/>
  <c r="J10" i="143"/>
  <c r="P10" i="143"/>
  <c r="G12" i="143"/>
  <c r="M12" i="143"/>
  <c r="G13" i="143"/>
  <c r="M13" i="143"/>
  <c r="G14" i="143"/>
  <c r="M14" i="143"/>
  <c r="G15" i="143"/>
  <c r="M15" i="143"/>
  <c r="C7" i="143"/>
  <c r="I7" i="143"/>
  <c r="O7" i="143"/>
  <c r="F8" i="143"/>
  <c r="L8" i="143"/>
  <c r="C9" i="143"/>
  <c r="I9" i="143"/>
  <c r="O9" i="143"/>
  <c r="F10" i="143"/>
  <c r="L10" i="143"/>
  <c r="D12" i="143"/>
  <c r="J12" i="143"/>
  <c r="P12" i="143"/>
  <c r="J13" i="143"/>
  <c r="P13" i="143"/>
  <c r="J14" i="143"/>
  <c r="P14" i="143"/>
  <c r="J15" i="143"/>
  <c r="P15" i="143"/>
  <c r="G11" i="143"/>
  <c r="F11" i="143"/>
  <c r="D7" i="143"/>
  <c r="F7" i="143"/>
  <c r="J7" i="143"/>
  <c r="L7" i="143"/>
  <c r="P7" i="143"/>
  <c r="C8" i="143"/>
  <c r="G8" i="143"/>
  <c r="I8" i="143"/>
  <c r="M8" i="143"/>
  <c r="D9" i="143"/>
  <c r="F9" i="143"/>
  <c r="J9" i="143"/>
  <c r="L9" i="143"/>
  <c r="P9" i="143"/>
  <c r="C10" i="143"/>
  <c r="G10" i="143"/>
  <c r="M10" i="143"/>
  <c r="O10" i="143"/>
  <c r="B11" i="143"/>
  <c r="H11" i="143"/>
  <c r="N11" i="143"/>
  <c r="C12" i="143"/>
  <c r="I12" i="143"/>
  <c r="O12" i="143"/>
  <c r="I13" i="143"/>
  <c r="O13" i="143"/>
  <c r="I14" i="143"/>
  <c r="O14" i="143"/>
  <c r="I15" i="143"/>
  <c r="O15" i="143"/>
  <c r="G7" i="143"/>
  <c r="M7" i="143"/>
  <c r="F12" i="143"/>
  <c r="L12" i="143"/>
  <c r="F13" i="143"/>
  <c r="L13" i="143"/>
  <c r="F14" i="143"/>
  <c r="L14" i="143"/>
  <c r="B11" i="142"/>
  <c r="C11" i="142" s="1"/>
  <c r="L8" i="142"/>
  <c r="L10" i="142"/>
  <c r="G8" i="142"/>
  <c r="I8" i="142"/>
  <c r="D9" i="142"/>
  <c r="J9" i="142"/>
  <c r="P9" i="142"/>
  <c r="G10" i="142"/>
  <c r="I10" i="142"/>
  <c r="C12" i="142"/>
  <c r="I12" i="142"/>
  <c r="G13" i="142"/>
  <c r="I13" i="142"/>
  <c r="G14" i="142"/>
  <c r="I14" i="142"/>
  <c r="G15" i="142"/>
  <c r="I15" i="142"/>
  <c r="F7" i="142"/>
  <c r="L7" i="142"/>
  <c r="C8" i="142"/>
  <c r="F8" i="142"/>
  <c r="M8" i="142"/>
  <c r="O8" i="142"/>
  <c r="F9" i="142"/>
  <c r="L9" i="142"/>
  <c r="C10" i="142"/>
  <c r="F10" i="142"/>
  <c r="M10" i="142"/>
  <c r="O10" i="142"/>
  <c r="G12" i="142"/>
  <c r="M12" i="142"/>
  <c r="O12" i="142"/>
  <c r="F13" i="142"/>
  <c r="M13" i="142"/>
  <c r="O13" i="142"/>
  <c r="F14" i="142"/>
  <c r="M14" i="142"/>
  <c r="O14" i="142"/>
  <c r="M15" i="142"/>
  <c r="P15" i="142"/>
  <c r="F12" i="142"/>
  <c r="D11" i="142"/>
  <c r="C7" i="142"/>
  <c r="G7" i="142"/>
  <c r="I7" i="142"/>
  <c r="M7" i="142"/>
  <c r="O7" i="142"/>
  <c r="D8" i="142"/>
  <c r="J8" i="142"/>
  <c r="P8" i="142"/>
  <c r="G9" i="142"/>
  <c r="M9" i="142"/>
  <c r="D10" i="142"/>
  <c r="J10" i="142"/>
  <c r="P10" i="142"/>
  <c r="E11" i="142"/>
  <c r="K11" i="142"/>
  <c r="D12" i="142"/>
  <c r="J12" i="142"/>
  <c r="P12" i="142"/>
  <c r="J13" i="142"/>
  <c r="P13" i="142"/>
  <c r="J14" i="142"/>
  <c r="P14" i="142"/>
  <c r="J15" i="142"/>
  <c r="D7" i="142"/>
  <c r="J7" i="142"/>
  <c r="P7" i="142"/>
  <c r="O15" i="142"/>
  <c r="N15" i="141"/>
  <c r="K15" i="141"/>
  <c r="H15" i="141"/>
  <c r="E15" i="141"/>
  <c r="N14" i="141"/>
  <c r="K14" i="141"/>
  <c r="H14" i="141"/>
  <c r="E14" i="141"/>
  <c r="N13" i="141"/>
  <c r="K13" i="141"/>
  <c r="H13" i="141"/>
  <c r="E13" i="141"/>
  <c r="N12" i="141"/>
  <c r="K12" i="141"/>
  <c r="H12" i="141"/>
  <c r="E12" i="141"/>
  <c r="B12" i="141"/>
  <c r="N10" i="141"/>
  <c r="K10" i="141"/>
  <c r="H10" i="141"/>
  <c r="E10" i="141"/>
  <c r="B10" i="141"/>
  <c r="N9" i="141"/>
  <c r="K9" i="141"/>
  <c r="H9" i="141"/>
  <c r="E9" i="141"/>
  <c r="B9" i="141"/>
  <c r="N8" i="141"/>
  <c r="K8" i="141"/>
  <c r="H8" i="141"/>
  <c r="E8" i="141"/>
  <c r="B8" i="141"/>
  <c r="N7" i="141"/>
  <c r="K7" i="141"/>
  <c r="H7" i="141"/>
  <c r="E7" i="141"/>
  <c r="B7" i="141"/>
  <c r="N6" i="141"/>
  <c r="K6" i="141"/>
  <c r="H6" i="141"/>
  <c r="I15" i="141" s="1"/>
  <c r="E6" i="141"/>
  <c r="B6" i="141"/>
  <c r="P11" i="142" l="1"/>
  <c r="I11" i="142"/>
  <c r="K11" i="141"/>
  <c r="M11" i="141" s="1"/>
  <c r="O15" i="141"/>
  <c r="L11" i="143"/>
  <c r="E11" i="141"/>
  <c r="G11" i="141" s="1"/>
  <c r="I11" i="143"/>
  <c r="J11" i="143"/>
  <c r="O11" i="143"/>
  <c r="P11" i="143"/>
  <c r="C11" i="143"/>
  <c r="D11" i="143"/>
  <c r="F11" i="142"/>
  <c r="G11" i="142"/>
  <c r="L11" i="142"/>
  <c r="M11" i="142"/>
  <c r="C12" i="141"/>
  <c r="L7" i="141"/>
  <c r="D8" i="141"/>
  <c r="J8" i="141"/>
  <c r="P8" i="141"/>
  <c r="G9" i="141"/>
  <c r="M9" i="141"/>
  <c r="D10" i="141"/>
  <c r="J10" i="141"/>
  <c r="P10" i="141"/>
  <c r="F12" i="141"/>
  <c r="L12" i="141"/>
  <c r="F13" i="141"/>
  <c r="L13" i="141"/>
  <c r="F14" i="141"/>
  <c r="L14" i="141"/>
  <c r="F15" i="141"/>
  <c r="L15" i="141"/>
  <c r="F7" i="141"/>
  <c r="C7" i="141"/>
  <c r="I7" i="141"/>
  <c r="O7" i="141"/>
  <c r="F8" i="141"/>
  <c r="L8" i="141"/>
  <c r="C9" i="141"/>
  <c r="I9" i="141"/>
  <c r="O9" i="141"/>
  <c r="F10" i="141"/>
  <c r="L10" i="141"/>
  <c r="D12" i="141"/>
  <c r="J12" i="141"/>
  <c r="P12" i="141"/>
  <c r="J13" i="141"/>
  <c r="P13" i="141"/>
  <c r="J14" i="141"/>
  <c r="P14" i="141"/>
  <c r="J15" i="141"/>
  <c r="P15" i="141"/>
  <c r="J7" i="141"/>
  <c r="P7" i="141"/>
  <c r="C8" i="141"/>
  <c r="G8" i="141"/>
  <c r="I8" i="141"/>
  <c r="M8" i="141"/>
  <c r="O8" i="141"/>
  <c r="D9" i="141"/>
  <c r="F9" i="141"/>
  <c r="J9" i="141"/>
  <c r="L9" i="141"/>
  <c r="P9" i="141"/>
  <c r="C10" i="141"/>
  <c r="G10" i="141"/>
  <c r="I10" i="141"/>
  <c r="M10" i="141"/>
  <c r="O10" i="141"/>
  <c r="B11" i="141"/>
  <c r="H11" i="141"/>
  <c r="N11" i="141"/>
  <c r="G12" i="141"/>
  <c r="I12" i="141"/>
  <c r="M12" i="141"/>
  <c r="O12" i="141"/>
  <c r="G13" i="141"/>
  <c r="I13" i="141"/>
  <c r="M13" i="141"/>
  <c r="O13" i="141"/>
  <c r="G14" i="141"/>
  <c r="I14" i="141"/>
  <c r="M14" i="141"/>
  <c r="O14" i="141"/>
  <c r="G15" i="141"/>
  <c r="M15" i="141"/>
  <c r="D7" i="141"/>
  <c r="G7" i="141"/>
  <c r="M7" i="141"/>
  <c r="N15" i="140"/>
  <c r="K15" i="140"/>
  <c r="H15" i="140"/>
  <c r="E15" i="140"/>
  <c r="N14" i="140"/>
  <c r="K14" i="140"/>
  <c r="H14" i="140"/>
  <c r="E14" i="140"/>
  <c r="N13" i="140"/>
  <c r="K13" i="140"/>
  <c r="H13" i="140"/>
  <c r="E13" i="140"/>
  <c r="N12" i="140"/>
  <c r="K12" i="140"/>
  <c r="H12" i="140"/>
  <c r="E12" i="140"/>
  <c r="B12" i="140"/>
  <c r="N10" i="140"/>
  <c r="K10" i="140"/>
  <c r="H10" i="140"/>
  <c r="E10" i="140"/>
  <c r="B10" i="140"/>
  <c r="N9" i="140"/>
  <c r="K9" i="140"/>
  <c r="H9" i="140"/>
  <c r="E9" i="140"/>
  <c r="B9" i="140"/>
  <c r="N8" i="140"/>
  <c r="K8" i="140"/>
  <c r="H8" i="140"/>
  <c r="E8" i="140"/>
  <c r="B8" i="140"/>
  <c r="N7" i="140"/>
  <c r="K7" i="140"/>
  <c r="H7" i="140"/>
  <c r="E7" i="140"/>
  <c r="B7" i="140"/>
  <c r="N6" i="140"/>
  <c r="O9" i="140" s="1"/>
  <c r="K6" i="140"/>
  <c r="H6" i="140"/>
  <c r="E6" i="140"/>
  <c r="B6" i="140"/>
  <c r="L11" i="141" l="1"/>
  <c r="F11" i="141"/>
  <c r="O11" i="141"/>
  <c r="P11" i="141"/>
  <c r="C11" i="141"/>
  <c r="D11" i="141"/>
  <c r="I11" i="141"/>
  <c r="J11" i="141"/>
  <c r="I9" i="140"/>
  <c r="C9" i="140"/>
  <c r="F15" i="140"/>
  <c r="L14" i="140"/>
  <c r="B11" i="140"/>
  <c r="D11" i="140" s="1"/>
  <c r="H11" i="140"/>
  <c r="I11" i="140" s="1"/>
  <c r="N11" i="140"/>
  <c r="O11" i="140" s="1"/>
  <c r="O8" i="140"/>
  <c r="O10" i="140"/>
  <c r="P9" i="140"/>
  <c r="O12" i="140"/>
  <c r="O13" i="140"/>
  <c r="O14" i="140"/>
  <c r="P15" i="140"/>
  <c r="L7" i="140"/>
  <c r="L8" i="140"/>
  <c r="M10" i="140"/>
  <c r="M12" i="140"/>
  <c r="L13" i="140"/>
  <c r="M14" i="140"/>
  <c r="L15" i="140"/>
  <c r="M8" i="140"/>
  <c r="L9" i="140"/>
  <c r="L10" i="140"/>
  <c r="L12" i="140"/>
  <c r="M13" i="140"/>
  <c r="M15" i="140"/>
  <c r="I8" i="140"/>
  <c r="J9" i="140"/>
  <c r="I13" i="140"/>
  <c r="I15" i="140"/>
  <c r="I10" i="140"/>
  <c r="I12" i="140"/>
  <c r="I14" i="140"/>
  <c r="F7" i="140"/>
  <c r="F8" i="140"/>
  <c r="F9" i="140"/>
  <c r="F10" i="140"/>
  <c r="G12" i="140"/>
  <c r="G13" i="140"/>
  <c r="G14" i="140"/>
  <c r="G15" i="140"/>
  <c r="G8" i="140"/>
  <c r="G10" i="140"/>
  <c r="F12" i="140"/>
  <c r="F13" i="140"/>
  <c r="F14" i="140"/>
  <c r="C8" i="140"/>
  <c r="C10" i="140"/>
  <c r="D9" i="140"/>
  <c r="C12" i="140"/>
  <c r="C7" i="140"/>
  <c r="G7" i="140"/>
  <c r="I7" i="140"/>
  <c r="M7" i="140"/>
  <c r="O7" i="140"/>
  <c r="D8" i="140"/>
  <c r="J8" i="140"/>
  <c r="P8" i="140"/>
  <c r="G9" i="140"/>
  <c r="M9" i="140"/>
  <c r="D10" i="140"/>
  <c r="J10" i="140"/>
  <c r="P10" i="140"/>
  <c r="E11" i="140"/>
  <c r="K11" i="140"/>
  <c r="D12" i="140"/>
  <c r="J12" i="140"/>
  <c r="P12" i="140"/>
  <c r="J13" i="140"/>
  <c r="P13" i="140"/>
  <c r="J14" i="140"/>
  <c r="P14" i="140"/>
  <c r="J15" i="140"/>
  <c r="D7" i="140"/>
  <c r="J7" i="140"/>
  <c r="P7" i="140"/>
  <c r="O15" i="140"/>
  <c r="N15" i="139"/>
  <c r="K15" i="139"/>
  <c r="H15" i="139"/>
  <c r="E15" i="139"/>
  <c r="N14" i="139"/>
  <c r="K14" i="139"/>
  <c r="H14" i="139"/>
  <c r="E14" i="139"/>
  <c r="N13" i="139"/>
  <c r="K13" i="139"/>
  <c r="H13" i="139"/>
  <c r="E13" i="139"/>
  <c r="N12" i="139"/>
  <c r="K12" i="139"/>
  <c r="H12" i="139"/>
  <c r="E12" i="139"/>
  <c r="B12" i="139"/>
  <c r="N10" i="139"/>
  <c r="K10" i="139"/>
  <c r="H10" i="139"/>
  <c r="E10" i="139"/>
  <c r="B10" i="139"/>
  <c r="N9" i="139"/>
  <c r="K9" i="139"/>
  <c r="H9" i="139"/>
  <c r="E9" i="139"/>
  <c r="B9" i="139"/>
  <c r="N8" i="139"/>
  <c r="K8" i="139"/>
  <c r="H8" i="139"/>
  <c r="E8" i="139"/>
  <c r="B8" i="139"/>
  <c r="N7" i="139"/>
  <c r="K7" i="139"/>
  <c r="H7" i="139"/>
  <c r="E7" i="139"/>
  <c r="B7" i="139"/>
  <c r="N6" i="139"/>
  <c r="K6" i="139"/>
  <c r="H6" i="139"/>
  <c r="E6" i="139"/>
  <c r="B6" i="139"/>
  <c r="I15" i="139" l="1"/>
  <c r="J11" i="140"/>
  <c r="P11" i="140"/>
  <c r="C11" i="140"/>
  <c r="O7" i="139"/>
  <c r="P13" i="139"/>
  <c r="P14" i="139"/>
  <c r="P15" i="139"/>
  <c r="F11" i="140"/>
  <c r="G11" i="140"/>
  <c r="L11" i="140"/>
  <c r="M11" i="140"/>
  <c r="L9" i="139"/>
  <c r="F9" i="139"/>
  <c r="O8" i="139"/>
  <c r="P10" i="139"/>
  <c r="I7" i="139"/>
  <c r="I10" i="139"/>
  <c r="I14" i="139"/>
  <c r="J8" i="139"/>
  <c r="I13" i="139"/>
  <c r="C7" i="139"/>
  <c r="C8" i="139"/>
  <c r="D10" i="139"/>
  <c r="D12" i="139"/>
  <c r="L8" i="139"/>
  <c r="G9" i="139"/>
  <c r="M9" i="139"/>
  <c r="F10" i="139"/>
  <c r="F12" i="139"/>
  <c r="L12" i="139"/>
  <c r="F13" i="139"/>
  <c r="F14" i="139"/>
  <c r="F15" i="139"/>
  <c r="E11" i="139"/>
  <c r="G11" i="139" s="1"/>
  <c r="K11" i="139"/>
  <c r="L11" i="139" s="1"/>
  <c r="D8" i="139"/>
  <c r="F8" i="139"/>
  <c r="I8" i="139"/>
  <c r="P8" i="139"/>
  <c r="C9" i="139"/>
  <c r="I9" i="139"/>
  <c r="O9" i="139"/>
  <c r="C10" i="139"/>
  <c r="J10" i="139"/>
  <c r="L10" i="139"/>
  <c r="O10" i="139"/>
  <c r="C12" i="139"/>
  <c r="J12" i="139"/>
  <c r="P12" i="139"/>
  <c r="J13" i="139"/>
  <c r="L13" i="139"/>
  <c r="O13" i="139"/>
  <c r="J14" i="139"/>
  <c r="L14" i="139"/>
  <c r="O14" i="139"/>
  <c r="J15" i="139"/>
  <c r="L15" i="139"/>
  <c r="O15" i="139"/>
  <c r="I12" i="139"/>
  <c r="O12" i="139"/>
  <c r="D7" i="139"/>
  <c r="F7" i="139"/>
  <c r="J7" i="139"/>
  <c r="L7" i="139"/>
  <c r="P7" i="139"/>
  <c r="G8" i="139"/>
  <c r="M8" i="139"/>
  <c r="D9" i="139"/>
  <c r="J9" i="139"/>
  <c r="P9" i="139"/>
  <c r="G10" i="139"/>
  <c r="M10" i="139"/>
  <c r="B11" i="139"/>
  <c r="H11" i="139"/>
  <c r="N11" i="139"/>
  <c r="G12" i="139"/>
  <c r="M12" i="139"/>
  <c r="G13" i="139"/>
  <c r="M13" i="139"/>
  <c r="G14" i="139"/>
  <c r="M14" i="139"/>
  <c r="G15" i="139"/>
  <c r="M15" i="139"/>
  <c r="G7" i="139"/>
  <c r="M7" i="139"/>
  <c r="N15" i="138"/>
  <c r="K15" i="138"/>
  <c r="H15" i="138"/>
  <c r="E15" i="138"/>
  <c r="N14" i="138"/>
  <c r="K14" i="138"/>
  <c r="H14" i="138"/>
  <c r="E14" i="138"/>
  <c r="N13" i="138"/>
  <c r="K13" i="138"/>
  <c r="H13" i="138"/>
  <c r="E13" i="138"/>
  <c r="N12" i="138"/>
  <c r="K12" i="138"/>
  <c r="H12" i="138"/>
  <c r="E12" i="138"/>
  <c r="B12" i="138"/>
  <c r="N10" i="138"/>
  <c r="K10" i="138"/>
  <c r="H10" i="138"/>
  <c r="E10" i="138"/>
  <c r="B10" i="138"/>
  <c r="N9" i="138"/>
  <c r="K9" i="138"/>
  <c r="H9" i="138"/>
  <c r="E9" i="138"/>
  <c r="B9" i="138"/>
  <c r="N8" i="138"/>
  <c r="O8" i="138" s="1"/>
  <c r="K8" i="138"/>
  <c r="H8" i="138"/>
  <c r="E8" i="138"/>
  <c r="B8" i="138"/>
  <c r="N7" i="138"/>
  <c r="K7" i="138"/>
  <c r="H7" i="138"/>
  <c r="E7" i="138"/>
  <c r="B7" i="138"/>
  <c r="N6" i="138"/>
  <c r="K6" i="138"/>
  <c r="H6" i="138"/>
  <c r="I14" i="138" s="1"/>
  <c r="E6" i="138"/>
  <c r="B6" i="138"/>
  <c r="K11" i="138" l="1"/>
  <c r="E11" i="138"/>
  <c r="G11" i="138" s="1"/>
  <c r="F11" i="139"/>
  <c r="M11" i="139"/>
  <c r="I11" i="139"/>
  <c r="J11" i="139"/>
  <c r="O11" i="139"/>
  <c r="P11" i="139"/>
  <c r="C11" i="139"/>
  <c r="D11" i="139"/>
  <c r="L9" i="138"/>
  <c r="F9" i="138"/>
  <c r="I10" i="138"/>
  <c r="I13" i="138"/>
  <c r="I15" i="138"/>
  <c r="C8" i="138"/>
  <c r="C7" i="138"/>
  <c r="I7" i="138"/>
  <c r="O7" i="138"/>
  <c r="J8" i="138"/>
  <c r="L8" i="138"/>
  <c r="G9" i="138"/>
  <c r="M9" i="138"/>
  <c r="D10" i="138"/>
  <c r="F10" i="138"/>
  <c r="P10" i="138"/>
  <c r="D12" i="138"/>
  <c r="J12" i="138"/>
  <c r="L12" i="138"/>
  <c r="F13" i="138"/>
  <c r="P13" i="138"/>
  <c r="F14" i="138"/>
  <c r="P14" i="138"/>
  <c r="F15" i="138"/>
  <c r="P15" i="138"/>
  <c r="D8" i="138"/>
  <c r="F8" i="138"/>
  <c r="I8" i="138"/>
  <c r="P8" i="138"/>
  <c r="C9" i="138"/>
  <c r="I9" i="138"/>
  <c r="O9" i="138"/>
  <c r="C10" i="138"/>
  <c r="J10" i="138"/>
  <c r="L10" i="138"/>
  <c r="O10" i="138"/>
  <c r="F12" i="138"/>
  <c r="I12" i="138"/>
  <c r="P12" i="138"/>
  <c r="J13" i="138"/>
  <c r="L13" i="138"/>
  <c r="O13" i="138"/>
  <c r="J14" i="138"/>
  <c r="L14" i="138"/>
  <c r="O14" i="138"/>
  <c r="J15" i="138"/>
  <c r="L15" i="138"/>
  <c r="O15" i="138"/>
  <c r="C12" i="138"/>
  <c r="O12" i="138"/>
  <c r="F11" i="138"/>
  <c r="M11" i="138"/>
  <c r="L11" i="138"/>
  <c r="D7" i="138"/>
  <c r="F7" i="138"/>
  <c r="J7" i="138"/>
  <c r="L7" i="138"/>
  <c r="P7" i="138"/>
  <c r="G8" i="138"/>
  <c r="M8" i="138"/>
  <c r="D9" i="138"/>
  <c r="J9" i="138"/>
  <c r="P9" i="138"/>
  <c r="G10" i="138"/>
  <c r="M10" i="138"/>
  <c r="B11" i="138"/>
  <c r="H11" i="138"/>
  <c r="N11" i="138"/>
  <c r="G12" i="138"/>
  <c r="M12" i="138"/>
  <c r="G13" i="138"/>
  <c r="M13" i="138"/>
  <c r="G14" i="138"/>
  <c r="M14" i="138"/>
  <c r="G15" i="138"/>
  <c r="M15" i="138"/>
  <c r="G7" i="138"/>
  <c r="M7" i="138"/>
  <c r="N15" i="137"/>
  <c r="K15" i="137"/>
  <c r="H15" i="137"/>
  <c r="E15" i="137"/>
  <c r="N14" i="137"/>
  <c r="K14" i="137"/>
  <c r="H14" i="137"/>
  <c r="E14" i="137"/>
  <c r="N13" i="137"/>
  <c r="K13" i="137"/>
  <c r="H13" i="137"/>
  <c r="E13" i="137"/>
  <c r="N12" i="137"/>
  <c r="K12" i="137"/>
  <c r="H12" i="137"/>
  <c r="E12" i="137"/>
  <c r="B12" i="137"/>
  <c r="N10" i="137"/>
  <c r="K10" i="137"/>
  <c r="H10" i="137"/>
  <c r="E10" i="137"/>
  <c r="B10" i="137"/>
  <c r="N9" i="137"/>
  <c r="K9" i="137"/>
  <c r="H9" i="137"/>
  <c r="E9" i="137"/>
  <c r="B9" i="137"/>
  <c r="N8" i="137"/>
  <c r="K8" i="137"/>
  <c r="H8" i="137"/>
  <c r="E8" i="137"/>
  <c r="B8" i="137"/>
  <c r="N7" i="137"/>
  <c r="K7" i="137"/>
  <c r="H7" i="137"/>
  <c r="E7" i="137"/>
  <c r="B7" i="137"/>
  <c r="N6" i="137"/>
  <c r="K6" i="137"/>
  <c r="H6" i="137"/>
  <c r="E6" i="137"/>
  <c r="B6" i="137"/>
  <c r="K11" i="137" l="1"/>
  <c r="M11" i="137" s="1"/>
  <c r="E11" i="137"/>
  <c r="G11" i="137" s="1"/>
  <c r="I11" i="138"/>
  <c r="J11" i="138"/>
  <c r="O11" i="138"/>
  <c r="P11" i="138"/>
  <c r="C11" i="138"/>
  <c r="D11" i="138"/>
  <c r="L15" i="137"/>
  <c r="F15" i="137"/>
  <c r="P8" i="137"/>
  <c r="P10" i="137"/>
  <c r="O7" i="137"/>
  <c r="O9" i="137"/>
  <c r="P12" i="137"/>
  <c r="P13" i="137"/>
  <c r="P14" i="137"/>
  <c r="P15" i="137"/>
  <c r="M9" i="137"/>
  <c r="M12" i="137"/>
  <c r="L13" i="137"/>
  <c r="M14" i="137"/>
  <c r="M15" i="137"/>
  <c r="L8" i="137"/>
  <c r="M10" i="137"/>
  <c r="J8" i="137"/>
  <c r="J10" i="137"/>
  <c r="I7" i="137"/>
  <c r="I9" i="137"/>
  <c r="J12" i="137"/>
  <c r="J13" i="137"/>
  <c r="J14" i="137"/>
  <c r="J15" i="137"/>
  <c r="G9" i="137"/>
  <c r="F12" i="137"/>
  <c r="F13" i="137"/>
  <c r="F14" i="137"/>
  <c r="G15" i="137"/>
  <c r="F8" i="137"/>
  <c r="G10" i="137"/>
  <c r="D10" i="137"/>
  <c r="D8" i="137"/>
  <c r="C7" i="137"/>
  <c r="C9" i="137"/>
  <c r="D12" i="137"/>
  <c r="L11" i="137"/>
  <c r="D7" i="137"/>
  <c r="F7" i="137"/>
  <c r="J7" i="137"/>
  <c r="L7" i="137"/>
  <c r="P7" i="137"/>
  <c r="C8" i="137"/>
  <c r="G8" i="137"/>
  <c r="I8" i="137"/>
  <c r="M8" i="137"/>
  <c r="O8" i="137"/>
  <c r="D9" i="137"/>
  <c r="F9" i="137"/>
  <c r="J9" i="137"/>
  <c r="L9" i="137"/>
  <c r="P9" i="137"/>
  <c r="C10" i="137"/>
  <c r="I10" i="137"/>
  <c r="O10" i="137"/>
  <c r="B11" i="137"/>
  <c r="H11" i="137"/>
  <c r="N11" i="137"/>
  <c r="C12" i="137"/>
  <c r="G12" i="137"/>
  <c r="I12" i="137"/>
  <c r="O12" i="137"/>
  <c r="G13" i="137"/>
  <c r="I13" i="137"/>
  <c r="M13" i="137"/>
  <c r="O13" i="137"/>
  <c r="G14" i="137"/>
  <c r="I14" i="137"/>
  <c r="O14" i="137"/>
  <c r="I15" i="137"/>
  <c r="O15" i="137"/>
  <c r="G7" i="137"/>
  <c r="M7" i="137"/>
  <c r="F10" i="137"/>
  <c r="L10" i="137"/>
  <c r="L12" i="137"/>
  <c r="L14" i="137"/>
  <c r="N15" i="136"/>
  <c r="K15" i="136"/>
  <c r="H15" i="136"/>
  <c r="E15" i="136"/>
  <c r="N14" i="136"/>
  <c r="K14" i="136"/>
  <c r="H14" i="136"/>
  <c r="E14" i="136"/>
  <c r="N13" i="136"/>
  <c r="K13" i="136"/>
  <c r="H13" i="136"/>
  <c r="E13" i="136"/>
  <c r="N12" i="136"/>
  <c r="K12" i="136"/>
  <c r="H12" i="136"/>
  <c r="E12" i="136"/>
  <c r="B12" i="136"/>
  <c r="N10" i="136"/>
  <c r="K10" i="136"/>
  <c r="H10" i="136"/>
  <c r="E10" i="136"/>
  <c r="B10" i="136"/>
  <c r="N9" i="136"/>
  <c r="K9" i="136"/>
  <c r="H9" i="136"/>
  <c r="E9" i="136"/>
  <c r="B9" i="136"/>
  <c r="N8" i="136"/>
  <c r="K8" i="136"/>
  <c r="H8" i="136"/>
  <c r="E8" i="136"/>
  <c r="B8" i="136"/>
  <c r="N7" i="136"/>
  <c r="K7" i="136"/>
  <c r="H7" i="136"/>
  <c r="E7" i="136"/>
  <c r="B7" i="136"/>
  <c r="N6" i="136"/>
  <c r="K6" i="136"/>
  <c r="H6" i="136"/>
  <c r="E6" i="136"/>
  <c r="F12" i="136" s="1"/>
  <c r="B6" i="136"/>
  <c r="B11" i="136" l="1"/>
  <c r="D11" i="136" s="1"/>
  <c r="C9" i="136"/>
  <c r="F11" i="137"/>
  <c r="O9" i="136"/>
  <c r="H11" i="136"/>
  <c r="K11" i="136"/>
  <c r="L11" i="136" s="1"/>
  <c r="N11" i="136"/>
  <c r="O11" i="136" s="1"/>
  <c r="I11" i="137"/>
  <c r="J11" i="137"/>
  <c r="O11" i="137"/>
  <c r="P11" i="137"/>
  <c r="C11" i="137"/>
  <c r="D11" i="137"/>
  <c r="I9" i="136"/>
  <c r="L15" i="136"/>
  <c r="L14" i="136"/>
  <c r="G8" i="136"/>
  <c r="J8" i="136"/>
  <c r="L8" i="136"/>
  <c r="D9" i="136"/>
  <c r="J9" i="136"/>
  <c r="P9" i="136"/>
  <c r="G10" i="136"/>
  <c r="J10" i="136"/>
  <c r="L10" i="136"/>
  <c r="D12" i="136"/>
  <c r="M12" i="136"/>
  <c r="G13" i="136"/>
  <c r="J13" i="136"/>
  <c r="L13" i="136"/>
  <c r="G14" i="136"/>
  <c r="J14" i="136"/>
  <c r="G15" i="136"/>
  <c r="J15" i="136"/>
  <c r="E11" i="136"/>
  <c r="F11" i="136" s="1"/>
  <c r="D8" i="136"/>
  <c r="F8" i="136"/>
  <c r="M8" i="136"/>
  <c r="P8" i="136"/>
  <c r="G9" i="136"/>
  <c r="M9" i="136"/>
  <c r="D10" i="136"/>
  <c r="F10" i="136"/>
  <c r="M10" i="136"/>
  <c r="P10" i="136"/>
  <c r="G12" i="136"/>
  <c r="J12" i="136"/>
  <c r="P12" i="136"/>
  <c r="F13" i="136"/>
  <c r="M13" i="136"/>
  <c r="P13" i="136"/>
  <c r="F14" i="136"/>
  <c r="M14" i="136"/>
  <c r="P14" i="136"/>
  <c r="F15" i="136"/>
  <c r="M15" i="136"/>
  <c r="P15" i="136"/>
  <c r="L12" i="136"/>
  <c r="I11" i="136"/>
  <c r="J11" i="136"/>
  <c r="P11" i="136"/>
  <c r="D7" i="136"/>
  <c r="F7" i="136"/>
  <c r="J7" i="136"/>
  <c r="L7" i="136"/>
  <c r="P7" i="136"/>
  <c r="C8" i="136"/>
  <c r="I8" i="136"/>
  <c r="O8" i="136"/>
  <c r="F9" i="136"/>
  <c r="L9" i="136"/>
  <c r="C10" i="136"/>
  <c r="I10" i="136"/>
  <c r="O10" i="136"/>
  <c r="C12" i="136"/>
  <c r="I12" i="136"/>
  <c r="O12" i="136"/>
  <c r="I13" i="136"/>
  <c r="O13" i="136"/>
  <c r="I14" i="136"/>
  <c r="O14" i="136"/>
  <c r="I15" i="136"/>
  <c r="O15" i="136"/>
  <c r="C7" i="136"/>
  <c r="G7" i="136"/>
  <c r="I7" i="136"/>
  <c r="M7" i="136"/>
  <c r="O7" i="136"/>
  <c r="C11" i="136" l="1"/>
  <c r="M11" i="136"/>
  <c r="G11" i="136"/>
  <c r="N15" i="135"/>
  <c r="K15" i="135"/>
  <c r="H15" i="135"/>
  <c r="E15" i="135"/>
  <c r="N14" i="135"/>
  <c r="O14" i="135" s="1"/>
  <c r="K14" i="135"/>
  <c r="H14" i="135"/>
  <c r="E14" i="135"/>
  <c r="N13" i="135"/>
  <c r="K13" i="135"/>
  <c r="H13" i="135"/>
  <c r="E13" i="135"/>
  <c r="N12" i="135"/>
  <c r="K12" i="135"/>
  <c r="H12" i="135"/>
  <c r="E12" i="135"/>
  <c r="B12" i="135"/>
  <c r="N10" i="135"/>
  <c r="K10" i="135"/>
  <c r="H10" i="135"/>
  <c r="E10" i="135"/>
  <c r="B10" i="135"/>
  <c r="N9" i="135"/>
  <c r="K9" i="135"/>
  <c r="H9" i="135"/>
  <c r="E9" i="135"/>
  <c r="B9" i="135"/>
  <c r="N8" i="135"/>
  <c r="K8" i="135"/>
  <c r="H8" i="135"/>
  <c r="E8" i="135"/>
  <c r="B8" i="135"/>
  <c r="N7" i="135"/>
  <c r="K7" i="135"/>
  <c r="H7" i="135"/>
  <c r="E7" i="135"/>
  <c r="B7" i="135"/>
  <c r="N6" i="135"/>
  <c r="K6" i="135"/>
  <c r="H6" i="135"/>
  <c r="I12" i="135" s="1"/>
  <c r="E6" i="135"/>
  <c r="B6" i="135"/>
  <c r="O10" i="135" l="1"/>
  <c r="K11" i="135"/>
  <c r="M11" i="135" s="1"/>
  <c r="O13" i="135"/>
  <c r="L9" i="135"/>
  <c r="F9" i="135"/>
  <c r="E11" i="135"/>
  <c r="F11" i="135" s="1"/>
  <c r="C10" i="135"/>
  <c r="D8" i="135"/>
  <c r="F8" i="135"/>
  <c r="I8" i="135"/>
  <c r="P8" i="135"/>
  <c r="C9" i="135"/>
  <c r="I9" i="135"/>
  <c r="O9" i="135"/>
  <c r="J10" i="135"/>
  <c r="L10" i="135"/>
  <c r="F12" i="135"/>
  <c r="P12" i="135"/>
  <c r="J13" i="135"/>
  <c r="L13" i="135"/>
  <c r="J14" i="135"/>
  <c r="L14" i="135"/>
  <c r="J15" i="135"/>
  <c r="L15" i="135"/>
  <c r="C7" i="135"/>
  <c r="I7" i="135"/>
  <c r="O7" i="135"/>
  <c r="C8" i="135"/>
  <c r="J8" i="135"/>
  <c r="L8" i="135"/>
  <c r="O8" i="135"/>
  <c r="G9" i="135"/>
  <c r="M9" i="135"/>
  <c r="D10" i="135"/>
  <c r="F10" i="135"/>
  <c r="I10" i="135"/>
  <c r="P10" i="135"/>
  <c r="D12" i="135"/>
  <c r="J12" i="135"/>
  <c r="L12" i="135"/>
  <c r="F13" i="135"/>
  <c r="I13" i="135"/>
  <c r="P13" i="135"/>
  <c r="F14" i="135"/>
  <c r="I14" i="135"/>
  <c r="P14" i="135"/>
  <c r="F15" i="135"/>
  <c r="I15" i="135"/>
  <c r="P15" i="135"/>
  <c r="C12" i="135"/>
  <c r="O12" i="135"/>
  <c r="L11" i="135"/>
  <c r="D7" i="135"/>
  <c r="F7" i="135"/>
  <c r="J7" i="135"/>
  <c r="L7" i="135"/>
  <c r="P7" i="135"/>
  <c r="G8" i="135"/>
  <c r="M8" i="135"/>
  <c r="D9" i="135"/>
  <c r="J9" i="135"/>
  <c r="P9" i="135"/>
  <c r="G10" i="135"/>
  <c r="M10" i="135"/>
  <c r="B11" i="135"/>
  <c r="H11" i="135"/>
  <c r="N11" i="135"/>
  <c r="G12" i="135"/>
  <c r="M12" i="135"/>
  <c r="G13" i="135"/>
  <c r="M13" i="135"/>
  <c r="G14" i="135"/>
  <c r="M14" i="135"/>
  <c r="G15" i="135"/>
  <c r="M15" i="135"/>
  <c r="O15" i="135"/>
  <c r="G7" i="135"/>
  <c r="M7" i="135"/>
  <c r="N15" i="134"/>
  <c r="K15" i="134"/>
  <c r="H15" i="134"/>
  <c r="E15" i="134"/>
  <c r="N14" i="134"/>
  <c r="K14" i="134"/>
  <c r="H14" i="134"/>
  <c r="E14" i="134"/>
  <c r="N13" i="134"/>
  <c r="K13" i="134"/>
  <c r="H13" i="134"/>
  <c r="E13" i="134"/>
  <c r="N12" i="134"/>
  <c r="K12" i="134"/>
  <c r="H12" i="134"/>
  <c r="E12" i="134"/>
  <c r="B12" i="134"/>
  <c r="N10" i="134"/>
  <c r="K10" i="134"/>
  <c r="H10" i="134"/>
  <c r="E10" i="134"/>
  <c r="B10" i="134"/>
  <c r="N9" i="134"/>
  <c r="K9" i="134"/>
  <c r="H9" i="134"/>
  <c r="E9" i="134"/>
  <c r="B9" i="134"/>
  <c r="N8" i="134"/>
  <c r="K8" i="134"/>
  <c r="H8" i="134"/>
  <c r="E8" i="134"/>
  <c r="B8" i="134"/>
  <c r="N7" i="134"/>
  <c r="K7" i="134"/>
  <c r="H7" i="134"/>
  <c r="E7" i="134"/>
  <c r="B7" i="134"/>
  <c r="N6" i="134"/>
  <c r="K6" i="134"/>
  <c r="H6" i="134"/>
  <c r="E6" i="134"/>
  <c r="B6" i="134"/>
  <c r="O7" i="134" l="1"/>
  <c r="H11" i="134"/>
  <c r="J11" i="134" s="1"/>
  <c r="N11" i="134"/>
  <c r="G11" i="135"/>
  <c r="I7" i="134"/>
  <c r="K11" i="134"/>
  <c r="E11" i="134"/>
  <c r="F11" i="134" s="1"/>
  <c r="I11" i="135"/>
  <c r="J11" i="135"/>
  <c r="O11" i="135"/>
  <c r="P11" i="135"/>
  <c r="C11" i="135"/>
  <c r="D11" i="135"/>
  <c r="B11" i="134"/>
  <c r="D11" i="134" s="1"/>
  <c r="C7" i="134"/>
  <c r="D8" i="134"/>
  <c r="J8" i="134"/>
  <c r="P8" i="134"/>
  <c r="G9" i="134"/>
  <c r="M9" i="134"/>
  <c r="D10" i="134"/>
  <c r="J10" i="134"/>
  <c r="P10" i="134"/>
  <c r="F12" i="134"/>
  <c r="L12" i="134"/>
  <c r="F13" i="134"/>
  <c r="L13" i="134"/>
  <c r="F14" i="134"/>
  <c r="L14" i="134"/>
  <c r="F15" i="134"/>
  <c r="L15" i="134"/>
  <c r="F8" i="134"/>
  <c r="L8" i="134"/>
  <c r="C9" i="134"/>
  <c r="I9" i="134"/>
  <c r="O9" i="134"/>
  <c r="F10" i="134"/>
  <c r="L10" i="134"/>
  <c r="D12" i="134"/>
  <c r="J12" i="134"/>
  <c r="P12" i="134"/>
  <c r="J13" i="134"/>
  <c r="P13" i="134"/>
  <c r="J14" i="134"/>
  <c r="P14" i="134"/>
  <c r="J15" i="134"/>
  <c r="P15" i="134"/>
  <c r="M11" i="134"/>
  <c r="L11" i="134"/>
  <c r="I11" i="134"/>
  <c r="O11" i="134"/>
  <c r="P11" i="134"/>
  <c r="D7" i="134"/>
  <c r="F7" i="134"/>
  <c r="J7" i="134"/>
  <c r="L7" i="134"/>
  <c r="P7" i="134"/>
  <c r="C8" i="134"/>
  <c r="G8" i="134"/>
  <c r="I8" i="134"/>
  <c r="M8" i="134"/>
  <c r="O8" i="134"/>
  <c r="D9" i="134"/>
  <c r="F9" i="134"/>
  <c r="J9" i="134"/>
  <c r="L9" i="134"/>
  <c r="P9" i="134"/>
  <c r="C10" i="134"/>
  <c r="G10" i="134"/>
  <c r="I10" i="134"/>
  <c r="M10" i="134"/>
  <c r="O10" i="134"/>
  <c r="C12" i="134"/>
  <c r="G12" i="134"/>
  <c r="I12" i="134"/>
  <c r="M12" i="134"/>
  <c r="O12" i="134"/>
  <c r="G13" i="134"/>
  <c r="I13" i="134"/>
  <c r="M13" i="134"/>
  <c r="O13" i="134"/>
  <c r="G14" i="134"/>
  <c r="I14" i="134"/>
  <c r="M14" i="134"/>
  <c r="O14" i="134"/>
  <c r="G15" i="134"/>
  <c r="I15" i="134"/>
  <c r="M15" i="134"/>
  <c r="O15" i="134"/>
  <c r="G7" i="134"/>
  <c r="M7" i="134"/>
  <c r="N15" i="133"/>
  <c r="K15" i="133"/>
  <c r="H15" i="133"/>
  <c r="E15" i="133"/>
  <c r="N14" i="133"/>
  <c r="K14" i="133"/>
  <c r="H14" i="133"/>
  <c r="E14" i="133"/>
  <c r="N13" i="133"/>
  <c r="K13" i="133"/>
  <c r="H13" i="133"/>
  <c r="E13" i="133"/>
  <c r="N12" i="133"/>
  <c r="K12" i="133"/>
  <c r="H12" i="133"/>
  <c r="E12" i="133"/>
  <c r="B12" i="133"/>
  <c r="N10" i="133"/>
  <c r="K10" i="133"/>
  <c r="H10" i="133"/>
  <c r="E10" i="133"/>
  <c r="B10" i="133"/>
  <c r="N9" i="133"/>
  <c r="K9" i="133"/>
  <c r="H9" i="133"/>
  <c r="E9" i="133"/>
  <c r="B9" i="133"/>
  <c r="N8" i="133"/>
  <c r="K8" i="133"/>
  <c r="H8" i="133"/>
  <c r="E8" i="133"/>
  <c r="B8" i="133"/>
  <c r="N7" i="133"/>
  <c r="K7" i="133"/>
  <c r="H7" i="133"/>
  <c r="E7" i="133"/>
  <c r="B7" i="133"/>
  <c r="N6" i="133"/>
  <c r="K6" i="133"/>
  <c r="H6" i="133"/>
  <c r="E6" i="133"/>
  <c r="B6" i="133"/>
  <c r="G9" i="133" l="1"/>
  <c r="G11" i="134"/>
  <c r="M9" i="133"/>
  <c r="C11" i="134"/>
  <c r="M12" i="133"/>
  <c r="M13" i="133"/>
  <c r="M14" i="133"/>
  <c r="M15" i="133"/>
  <c r="F12" i="133"/>
  <c r="G13" i="133"/>
  <c r="G14" i="133"/>
  <c r="G15" i="133"/>
  <c r="E11" i="133"/>
  <c r="G11" i="133" s="1"/>
  <c r="K11" i="133"/>
  <c r="L11" i="133" s="1"/>
  <c r="D8" i="133"/>
  <c r="J8" i="133"/>
  <c r="P8" i="133"/>
  <c r="D10" i="133"/>
  <c r="J10" i="133"/>
  <c r="P10" i="133"/>
  <c r="F15" i="133"/>
  <c r="L15" i="133"/>
  <c r="C7" i="133"/>
  <c r="I7" i="133"/>
  <c r="O7" i="133"/>
  <c r="F8" i="133"/>
  <c r="L8" i="133"/>
  <c r="C9" i="133"/>
  <c r="I9" i="133"/>
  <c r="O9" i="133"/>
  <c r="F10" i="133"/>
  <c r="L10" i="133"/>
  <c r="D12" i="133"/>
  <c r="J12" i="133"/>
  <c r="P12" i="133"/>
  <c r="J13" i="133"/>
  <c r="P13" i="133"/>
  <c r="J14" i="133"/>
  <c r="P14" i="133"/>
  <c r="J15" i="133"/>
  <c r="P15" i="133"/>
  <c r="D7" i="133"/>
  <c r="F7" i="133"/>
  <c r="J7" i="133"/>
  <c r="L7" i="133"/>
  <c r="P7" i="133"/>
  <c r="C8" i="133"/>
  <c r="G8" i="133"/>
  <c r="I8" i="133"/>
  <c r="M8" i="133"/>
  <c r="O8" i="133"/>
  <c r="D9" i="133"/>
  <c r="F9" i="133"/>
  <c r="J9" i="133"/>
  <c r="L9" i="133"/>
  <c r="P9" i="133"/>
  <c r="C10" i="133"/>
  <c r="G10" i="133"/>
  <c r="I10" i="133"/>
  <c r="M10" i="133"/>
  <c r="O10" i="133"/>
  <c r="B11" i="133"/>
  <c r="H11" i="133"/>
  <c r="N11" i="133"/>
  <c r="C12" i="133"/>
  <c r="G12" i="133"/>
  <c r="I12" i="133"/>
  <c r="O12" i="133"/>
  <c r="I13" i="133"/>
  <c r="O13" i="133"/>
  <c r="I14" i="133"/>
  <c r="O14" i="133"/>
  <c r="I15" i="133"/>
  <c r="O15" i="133"/>
  <c r="G7" i="133"/>
  <c r="M7" i="133"/>
  <c r="L12" i="133"/>
  <c r="F13" i="133"/>
  <c r="L13" i="133"/>
  <c r="F14" i="133"/>
  <c r="L14" i="133"/>
  <c r="M11" i="133" l="1"/>
  <c r="F11" i="133"/>
  <c r="I11" i="133"/>
  <c r="J11" i="133"/>
  <c r="O11" i="133"/>
  <c r="P11" i="133"/>
  <c r="C11" i="133"/>
  <c r="D11" i="133"/>
  <c r="N15" i="132" l="1"/>
  <c r="K15" i="132"/>
  <c r="H15" i="132"/>
  <c r="E15" i="132"/>
  <c r="N14" i="132"/>
  <c r="K14" i="132"/>
  <c r="H14" i="132"/>
  <c r="E14" i="132"/>
  <c r="N13" i="132"/>
  <c r="K13" i="132"/>
  <c r="H13" i="132"/>
  <c r="E13" i="132"/>
  <c r="N12" i="132"/>
  <c r="K12" i="132"/>
  <c r="H12" i="132"/>
  <c r="E12" i="132"/>
  <c r="B12" i="132"/>
  <c r="N10" i="132"/>
  <c r="K10" i="132"/>
  <c r="H10" i="132"/>
  <c r="E10" i="132"/>
  <c r="B10" i="132"/>
  <c r="N9" i="132"/>
  <c r="K9" i="132"/>
  <c r="H9" i="132"/>
  <c r="E9" i="132"/>
  <c r="B9" i="132"/>
  <c r="N8" i="132"/>
  <c r="K8" i="132"/>
  <c r="H8" i="132"/>
  <c r="E8" i="132"/>
  <c r="B8" i="132"/>
  <c r="N7" i="132"/>
  <c r="K7" i="132"/>
  <c r="H7" i="132"/>
  <c r="E7" i="132"/>
  <c r="E11" i="132" s="1"/>
  <c r="B7" i="132"/>
  <c r="N6" i="132"/>
  <c r="K6" i="132"/>
  <c r="H6" i="132"/>
  <c r="I15" i="132" s="1"/>
  <c r="E6" i="132"/>
  <c r="B6" i="132"/>
  <c r="C12" i="132" s="1"/>
  <c r="K11" i="132" l="1"/>
  <c r="O14" i="132"/>
  <c r="D8" i="132"/>
  <c r="J8" i="132"/>
  <c r="P8" i="132"/>
  <c r="G9" i="132"/>
  <c r="M9" i="132"/>
  <c r="D10" i="132"/>
  <c r="J10" i="132"/>
  <c r="P10" i="132"/>
  <c r="F12" i="132"/>
  <c r="L12" i="132"/>
  <c r="F13" i="132"/>
  <c r="L13" i="132"/>
  <c r="F14" i="132"/>
  <c r="L14" i="132"/>
  <c r="F15" i="132"/>
  <c r="L15" i="132"/>
  <c r="C7" i="132"/>
  <c r="I7" i="132"/>
  <c r="O7" i="132"/>
  <c r="F8" i="132"/>
  <c r="L8" i="132"/>
  <c r="C9" i="132"/>
  <c r="I9" i="132"/>
  <c r="O9" i="132"/>
  <c r="F10" i="132"/>
  <c r="L10" i="132"/>
  <c r="D12" i="132"/>
  <c r="J12" i="132"/>
  <c r="P12" i="132"/>
  <c r="J13" i="132"/>
  <c r="P13" i="132"/>
  <c r="J14" i="132"/>
  <c r="P14" i="132"/>
  <c r="J15" i="132"/>
  <c r="P15" i="132"/>
  <c r="G11" i="132"/>
  <c r="F11" i="132"/>
  <c r="M11" i="132"/>
  <c r="L11" i="132"/>
  <c r="D7" i="132"/>
  <c r="F7" i="132"/>
  <c r="J7" i="132"/>
  <c r="L7" i="132"/>
  <c r="P7" i="132"/>
  <c r="C8" i="132"/>
  <c r="G8" i="132"/>
  <c r="I8" i="132"/>
  <c r="M8" i="132"/>
  <c r="O8" i="132"/>
  <c r="D9" i="132"/>
  <c r="F9" i="132"/>
  <c r="J9" i="132"/>
  <c r="L9" i="132"/>
  <c r="P9" i="132"/>
  <c r="C10" i="132"/>
  <c r="G10" i="132"/>
  <c r="I10" i="132"/>
  <c r="M10" i="132"/>
  <c r="O10" i="132"/>
  <c r="B11" i="132"/>
  <c r="H11" i="132"/>
  <c r="N11" i="132"/>
  <c r="G12" i="132"/>
  <c r="I12" i="132"/>
  <c r="M12" i="132"/>
  <c r="O12" i="132"/>
  <c r="G13" i="132"/>
  <c r="I13" i="132"/>
  <c r="M13" i="132"/>
  <c r="O13" i="132"/>
  <c r="G14" i="132"/>
  <c r="I14" i="132"/>
  <c r="M14" i="132"/>
  <c r="G15" i="132"/>
  <c r="M15" i="132"/>
  <c r="O15" i="132"/>
  <c r="G7" i="132"/>
  <c r="M7" i="132"/>
  <c r="N15" i="131"/>
  <c r="K15" i="131"/>
  <c r="H15" i="131"/>
  <c r="E15" i="131"/>
  <c r="N14" i="131"/>
  <c r="K14" i="131"/>
  <c r="H14" i="131"/>
  <c r="E14" i="131"/>
  <c r="N13" i="131"/>
  <c r="K13" i="131"/>
  <c r="H13" i="131"/>
  <c r="E13" i="131"/>
  <c r="N12" i="131"/>
  <c r="K12" i="131"/>
  <c r="H12" i="131"/>
  <c r="E12" i="131"/>
  <c r="B12" i="131"/>
  <c r="N10" i="131"/>
  <c r="K10" i="131"/>
  <c r="H10" i="131"/>
  <c r="E10" i="131"/>
  <c r="B10" i="131"/>
  <c r="N9" i="131"/>
  <c r="K9" i="131"/>
  <c r="H9" i="131"/>
  <c r="E9" i="131"/>
  <c r="B9" i="131"/>
  <c r="N8" i="131"/>
  <c r="K8" i="131"/>
  <c r="H8" i="131"/>
  <c r="E8" i="131"/>
  <c r="B8" i="131"/>
  <c r="N7" i="131"/>
  <c r="K7" i="131"/>
  <c r="K11" i="131" s="1"/>
  <c r="H7" i="131"/>
  <c r="E7" i="131"/>
  <c r="B7" i="131"/>
  <c r="N6" i="131"/>
  <c r="O14" i="131" s="1"/>
  <c r="K6" i="131"/>
  <c r="H6" i="131"/>
  <c r="E6" i="131"/>
  <c r="B6" i="131"/>
  <c r="N15" i="130"/>
  <c r="K15" i="130"/>
  <c r="H15" i="130"/>
  <c r="E15" i="130"/>
  <c r="N14" i="130"/>
  <c r="K14" i="130"/>
  <c r="H14" i="130"/>
  <c r="E14" i="130"/>
  <c r="N13" i="130"/>
  <c r="K13" i="130"/>
  <c r="H13" i="130"/>
  <c r="E13" i="130"/>
  <c r="N12" i="130"/>
  <c r="K12" i="130"/>
  <c r="H12" i="130"/>
  <c r="E12" i="130"/>
  <c r="B12" i="130"/>
  <c r="N10" i="130"/>
  <c r="K10" i="130"/>
  <c r="H10" i="130"/>
  <c r="E10" i="130"/>
  <c r="B10" i="130"/>
  <c r="N9" i="130"/>
  <c r="K9" i="130"/>
  <c r="H9" i="130"/>
  <c r="E9" i="130"/>
  <c r="B9" i="130"/>
  <c r="N8" i="130"/>
  <c r="K8" i="130"/>
  <c r="H8" i="130"/>
  <c r="E8" i="130"/>
  <c r="B8" i="130"/>
  <c r="N7" i="130"/>
  <c r="K7" i="130"/>
  <c r="K11" i="130" s="1"/>
  <c r="H7" i="130"/>
  <c r="E7" i="130"/>
  <c r="B7" i="130"/>
  <c r="N6" i="130"/>
  <c r="K6" i="130"/>
  <c r="H6" i="130"/>
  <c r="I7" i="130" s="1"/>
  <c r="E6" i="130"/>
  <c r="B6" i="130"/>
  <c r="O8" i="130" l="1"/>
  <c r="E11" i="130"/>
  <c r="C10" i="131"/>
  <c r="E11" i="131"/>
  <c r="G11" i="131" s="1"/>
  <c r="B11" i="130"/>
  <c r="D11" i="130" s="1"/>
  <c r="H11" i="130"/>
  <c r="J11" i="130" s="1"/>
  <c r="L13" i="131"/>
  <c r="L14" i="131"/>
  <c r="L15" i="131"/>
  <c r="L10" i="131"/>
  <c r="F12" i="131"/>
  <c r="F8" i="131"/>
  <c r="I11" i="132"/>
  <c r="J11" i="132"/>
  <c r="O11" i="132"/>
  <c r="P11" i="132"/>
  <c r="C11" i="132"/>
  <c r="D11" i="132"/>
  <c r="I12" i="131"/>
  <c r="F9" i="131"/>
  <c r="L9" i="131"/>
  <c r="D8" i="131"/>
  <c r="I8" i="131"/>
  <c r="P8" i="131"/>
  <c r="C9" i="131"/>
  <c r="I9" i="131"/>
  <c r="O9" i="131"/>
  <c r="J10" i="131"/>
  <c r="O10" i="131"/>
  <c r="P12" i="131"/>
  <c r="J13" i="131"/>
  <c r="O13" i="131"/>
  <c r="J14" i="131"/>
  <c r="J15" i="131"/>
  <c r="C7" i="131"/>
  <c r="I7" i="131"/>
  <c r="O7" i="131"/>
  <c r="C8" i="131"/>
  <c r="J8" i="131"/>
  <c r="L8" i="131"/>
  <c r="O8" i="131"/>
  <c r="G9" i="131"/>
  <c r="M9" i="131"/>
  <c r="D10" i="131"/>
  <c r="F10" i="131"/>
  <c r="I10" i="131"/>
  <c r="P10" i="131"/>
  <c r="D12" i="131"/>
  <c r="J12" i="131"/>
  <c r="L12" i="131"/>
  <c r="F13" i="131"/>
  <c r="I13" i="131"/>
  <c r="P13" i="131"/>
  <c r="F14" i="131"/>
  <c r="I14" i="131"/>
  <c r="P14" i="131"/>
  <c r="F15" i="131"/>
  <c r="I15" i="131"/>
  <c r="P15" i="131"/>
  <c r="C12" i="131"/>
  <c r="O12" i="131"/>
  <c r="M11" i="131"/>
  <c r="L11" i="131"/>
  <c r="O15" i="131"/>
  <c r="D7" i="131"/>
  <c r="F7" i="131"/>
  <c r="J7" i="131"/>
  <c r="L7" i="131"/>
  <c r="P7" i="131"/>
  <c r="G8" i="131"/>
  <c r="M8" i="131"/>
  <c r="D9" i="131"/>
  <c r="J9" i="131"/>
  <c r="P9" i="131"/>
  <c r="G10" i="131"/>
  <c r="M10" i="131"/>
  <c r="B11" i="131"/>
  <c r="H11" i="131"/>
  <c r="N11" i="131"/>
  <c r="G12" i="131"/>
  <c r="M12" i="131"/>
  <c r="G13" i="131"/>
  <c r="M13" i="131"/>
  <c r="G14" i="131"/>
  <c r="M14" i="131"/>
  <c r="G15" i="131"/>
  <c r="M15" i="131"/>
  <c r="G7" i="131"/>
  <c r="M7" i="131"/>
  <c r="C7" i="130"/>
  <c r="F15" i="130"/>
  <c r="L15" i="130"/>
  <c r="D8" i="130"/>
  <c r="J8" i="130"/>
  <c r="P8" i="130"/>
  <c r="G9" i="130"/>
  <c r="M9" i="130"/>
  <c r="D10" i="130"/>
  <c r="J10" i="130"/>
  <c r="P10" i="130"/>
  <c r="G12" i="130"/>
  <c r="M12" i="130"/>
  <c r="G13" i="130"/>
  <c r="M13" i="130"/>
  <c r="G14" i="130"/>
  <c r="M14" i="130"/>
  <c r="G15" i="130"/>
  <c r="M15" i="130"/>
  <c r="O7" i="130"/>
  <c r="F8" i="130"/>
  <c r="L8" i="130"/>
  <c r="C9" i="130"/>
  <c r="I9" i="130"/>
  <c r="O9" i="130"/>
  <c r="F10" i="130"/>
  <c r="L10" i="130"/>
  <c r="D12" i="130"/>
  <c r="J12" i="130"/>
  <c r="P12" i="130"/>
  <c r="J13" i="130"/>
  <c r="P13" i="130"/>
  <c r="J14" i="130"/>
  <c r="P14" i="130"/>
  <c r="J15" i="130"/>
  <c r="P15" i="130"/>
  <c r="G11" i="130"/>
  <c r="F11" i="130"/>
  <c r="M11" i="130"/>
  <c r="L11" i="130"/>
  <c r="D7" i="130"/>
  <c r="F7" i="130"/>
  <c r="J7" i="130"/>
  <c r="L7" i="130"/>
  <c r="P7" i="130"/>
  <c r="C8" i="130"/>
  <c r="G8" i="130"/>
  <c r="I8" i="130"/>
  <c r="M8" i="130"/>
  <c r="D9" i="130"/>
  <c r="F9" i="130"/>
  <c r="J9" i="130"/>
  <c r="L9" i="130"/>
  <c r="P9" i="130"/>
  <c r="C10" i="130"/>
  <c r="G10" i="130"/>
  <c r="I10" i="130"/>
  <c r="M10" i="130"/>
  <c r="O10" i="130"/>
  <c r="N11" i="130"/>
  <c r="C12" i="130"/>
  <c r="I12" i="130"/>
  <c r="O12" i="130"/>
  <c r="I13" i="130"/>
  <c r="O13" i="130"/>
  <c r="I14" i="130"/>
  <c r="O14" i="130"/>
  <c r="I15" i="130"/>
  <c r="O15" i="130"/>
  <c r="G7" i="130"/>
  <c r="M7" i="130"/>
  <c r="F12" i="130"/>
  <c r="L12" i="130"/>
  <c r="F13" i="130"/>
  <c r="L13" i="130"/>
  <c r="F14" i="130"/>
  <c r="L14" i="130"/>
  <c r="C11" i="130" l="1"/>
  <c r="F11" i="131"/>
  <c r="I11" i="130"/>
  <c r="I11" i="131"/>
  <c r="J11" i="131"/>
  <c r="O11" i="131"/>
  <c r="P11" i="131"/>
  <c r="C11" i="131"/>
  <c r="D11" i="131"/>
  <c r="O11" i="130"/>
  <c r="P11" i="130"/>
  <c r="N15" i="129" l="1"/>
  <c r="K15" i="129"/>
  <c r="H15" i="129"/>
  <c r="E15" i="129"/>
  <c r="N14" i="129"/>
  <c r="K14" i="129"/>
  <c r="H14" i="129"/>
  <c r="E14" i="129"/>
  <c r="N13" i="129"/>
  <c r="K13" i="129"/>
  <c r="L13" i="129" s="1"/>
  <c r="H13" i="129"/>
  <c r="E13" i="129"/>
  <c r="N12" i="129"/>
  <c r="K12" i="129"/>
  <c r="H12" i="129"/>
  <c r="E12" i="129"/>
  <c r="B12" i="129"/>
  <c r="N10" i="129"/>
  <c r="K10" i="129"/>
  <c r="H10" i="129"/>
  <c r="E10" i="129"/>
  <c r="B10" i="129"/>
  <c r="N9" i="129"/>
  <c r="K9" i="129"/>
  <c r="H9" i="129"/>
  <c r="E9" i="129"/>
  <c r="B9" i="129"/>
  <c r="N8" i="129"/>
  <c r="K8" i="129"/>
  <c r="L8" i="129" s="1"/>
  <c r="H8" i="129"/>
  <c r="E8" i="129"/>
  <c r="B8" i="129"/>
  <c r="N7" i="129"/>
  <c r="K7" i="129"/>
  <c r="H7" i="129"/>
  <c r="I7" i="129" s="1"/>
  <c r="E7" i="129"/>
  <c r="B7" i="129"/>
  <c r="N6" i="129"/>
  <c r="K6" i="129"/>
  <c r="H6" i="129"/>
  <c r="E6" i="129"/>
  <c r="F15" i="129" s="1"/>
  <c r="B6" i="129"/>
  <c r="C8" i="129" l="1"/>
  <c r="E11" i="129"/>
  <c r="G11" i="129" s="1"/>
  <c r="J8" i="129"/>
  <c r="M9" i="129"/>
  <c r="P10" i="129"/>
  <c r="F13" i="129"/>
  <c r="M14" i="129"/>
  <c r="O9" i="129"/>
  <c r="P14" i="129"/>
  <c r="P8" i="129"/>
  <c r="L15" i="129"/>
  <c r="J13" i="129"/>
  <c r="O7" i="129"/>
  <c r="D12" i="129"/>
  <c r="I8" i="129"/>
  <c r="G12" i="129"/>
  <c r="G15" i="129"/>
  <c r="K11" i="129"/>
  <c r="M11" i="129" s="1"/>
  <c r="D10" i="129"/>
  <c r="C9" i="129"/>
  <c r="F10" i="129"/>
  <c r="J12" i="129"/>
  <c r="P13" i="129"/>
  <c r="J15" i="129"/>
  <c r="O8" i="129"/>
  <c r="D8" i="129"/>
  <c r="G9" i="129"/>
  <c r="J10" i="129"/>
  <c r="M12" i="129"/>
  <c r="G14" i="129"/>
  <c r="M15" i="129"/>
  <c r="C7" i="129"/>
  <c r="F8" i="129"/>
  <c r="I9" i="129"/>
  <c r="L10" i="129"/>
  <c r="P12" i="129"/>
  <c r="J14" i="129"/>
  <c r="P15" i="129"/>
  <c r="D7" i="129"/>
  <c r="F7" i="129"/>
  <c r="J7" i="129"/>
  <c r="L7" i="129"/>
  <c r="P7" i="129"/>
  <c r="G8" i="129"/>
  <c r="M8" i="129"/>
  <c r="D9" i="129"/>
  <c r="F9" i="129"/>
  <c r="J9" i="129"/>
  <c r="L9" i="129"/>
  <c r="P9" i="129"/>
  <c r="C10" i="129"/>
  <c r="G10" i="129"/>
  <c r="I10" i="129"/>
  <c r="M10" i="129"/>
  <c r="O10" i="129"/>
  <c r="B11" i="129"/>
  <c r="H11" i="129"/>
  <c r="N11" i="129"/>
  <c r="C12" i="129"/>
  <c r="I12" i="129"/>
  <c r="O12" i="129"/>
  <c r="G13" i="129"/>
  <c r="I13" i="129"/>
  <c r="M13" i="129"/>
  <c r="O13" i="129"/>
  <c r="I14" i="129"/>
  <c r="O14" i="129"/>
  <c r="I15" i="129"/>
  <c r="O15" i="129"/>
  <c r="G7" i="129"/>
  <c r="M7" i="129"/>
  <c r="F12" i="129"/>
  <c r="L12" i="129"/>
  <c r="F14" i="129"/>
  <c r="L14" i="129"/>
  <c r="N15" i="128"/>
  <c r="K15" i="128"/>
  <c r="H15" i="128"/>
  <c r="E15" i="128"/>
  <c r="N14" i="128"/>
  <c r="K14" i="128"/>
  <c r="H14" i="128"/>
  <c r="E14" i="128"/>
  <c r="N13" i="128"/>
  <c r="K13" i="128"/>
  <c r="H13" i="128"/>
  <c r="E13" i="128"/>
  <c r="N12" i="128"/>
  <c r="K12" i="128"/>
  <c r="H12" i="128"/>
  <c r="E12" i="128"/>
  <c r="B12" i="128"/>
  <c r="N10" i="128"/>
  <c r="K10" i="128"/>
  <c r="H10" i="128"/>
  <c r="E10" i="128"/>
  <c r="B10" i="128"/>
  <c r="N9" i="128"/>
  <c r="K9" i="128"/>
  <c r="H9" i="128"/>
  <c r="E9" i="128"/>
  <c r="B9" i="128"/>
  <c r="N8" i="128"/>
  <c r="K8" i="128"/>
  <c r="H8" i="128"/>
  <c r="E8" i="128"/>
  <c r="B8" i="128"/>
  <c r="N7" i="128"/>
  <c r="K7" i="128"/>
  <c r="H7" i="128"/>
  <c r="E7" i="128"/>
  <c r="B7" i="128"/>
  <c r="N6" i="128"/>
  <c r="K6" i="128"/>
  <c r="H6" i="128"/>
  <c r="E6" i="128"/>
  <c r="B6" i="128"/>
  <c r="C12" i="128" s="1"/>
  <c r="F11" i="129" l="1"/>
  <c r="L11" i="129"/>
  <c r="E11" i="128"/>
  <c r="G11" i="128" s="1"/>
  <c r="K11" i="128"/>
  <c r="M11" i="128" s="1"/>
  <c r="O11" i="129"/>
  <c r="P11" i="129"/>
  <c r="C11" i="129"/>
  <c r="D11" i="129"/>
  <c r="I11" i="129"/>
  <c r="J11" i="129"/>
  <c r="I15" i="128"/>
  <c r="O10" i="128"/>
  <c r="L9" i="128"/>
  <c r="F9" i="128"/>
  <c r="O12" i="128"/>
  <c r="O13" i="128"/>
  <c r="O14" i="128"/>
  <c r="L10" i="128"/>
  <c r="I10" i="128"/>
  <c r="F8" i="128"/>
  <c r="D8" i="128"/>
  <c r="P8" i="128"/>
  <c r="I9" i="128"/>
  <c r="C10" i="128"/>
  <c r="C7" i="128"/>
  <c r="I7" i="128"/>
  <c r="O7" i="128"/>
  <c r="C8" i="128"/>
  <c r="J8" i="128"/>
  <c r="L8" i="128"/>
  <c r="O8" i="128"/>
  <c r="G9" i="128"/>
  <c r="M9" i="128"/>
  <c r="D10" i="128"/>
  <c r="F10" i="128"/>
  <c r="P10" i="128"/>
  <c r="D12" i="128"/>
  <c r="F12" i="128"/>
  <c r="L12" i="128"/>
  <c r="J13" i="128"/>
  <c r="L13" i="128"/>
  <c r="J14" i="128"/>
  <c r="L14" i="128"/>
  <c r="J15" i="128"/>
  <c r="L15" i="128"/>
  <c r="I8" i="128"/>
  <c r="C9" i="128"/>
  <c r="O9" i="128"/>
  <c r="J10" i="128"/>
  <c r="J12" i="128"/>
  <c r="P12" i="128"/>
  <c r="F13" i="128"/>
  <c r="I13" i="128"/>
  <c r="P13" i="128"/>
  <c r="F14" i="128"/>
  <c r="I14" i="128"/>
  <c r="P14" i="128"/>
  <c r="F15" i="128"/>
  <c r="P15" i="128"/>
  <c r="I12" i="128"/>
  <c r="M15" i="128"/>
  <c r="O15" i="128"/>
  <c r="D7" i="128"/>
  <c r="F7" i="128"/>
  <c r="J7" i="128"/>
  <c r="L7" i="128"/>
  <c r="P7" i="128"/>
  <c r="G8" i="128"/>
  <c r="M8" i="128"/>
  <c r="D9" i="128"/>
  <c r="J9" i="128"/>
  <c r="P9" i="128"/>
  <c r="G10" i="128"/>
  <c r="M10" i="128"/>
  <c r="B11" i="128"/>
  <c r="H11" i="128"/>
  <c r="N11" i="128"/>
  <c r="G12" i="128"/>
  <c r="M12" i="128"/>
  <c r="G13" i="128"/>
  <c r="M13" i="128"/>
  <c r="G14" i="128"/>
  <c r="M14" i="128"/>
  <c r="G15" i="128"/>
  <c r="G7" i="128"/>
  <c r="M7" i="128"/>
  <c r="F11" i="128" l="1"/>
  <c r="L11" i="128"/>
  <c r="I11" i="128"/>
  <c r="J11" i="128"/>
  <c r="O11" i="128"/>
  <c r="P11" i="128"/>
  <c r="C11" i="128"/>
  <c r="D11" i="128"/>
  <c r="N15" i="127" l="1"/>
  <c r="K15" i="127"/>
  <c r="H15" i="127"/>
  <c r="E15" i="127"/>
  <c r="N14" i="127"/>
  <c r="P14" i="127" s="1"/>
  <c r="K14" i="127"/>
  <c r="H14" i="127"/>
  <c r="E14" i="127"/>
  <c r="N13" i="127"/>
  <c r="K13" i="127"/>
  <c r="H13" i="127"/>
  <c r="E13" i="127"/>
  <c r="N12" i="127"/>
  <c r="K12" i="127"/>
  <c r="H12" i="127"/>
  <c r="E12" i="127"/>
  <c r="B12" i="127"/>
  <c r="N10" i="127"/>
  <c r="K10" i="127"/>
  <c r="H10" i="127"/>
  <c r="E10" i="127"/>
  <c r="B10" i="127"/>
  <c r="N9" i="127"/>
  <c r="O9" i="127" s="1"/>
  <c r="K9" i="127"/>
  <c r="H9" i="127"/>
  <c r="E9" i="127"/>
  <c r="B9" i="127"/>
  <c r="N8" i="127"/>
  <c r="K8" i="127"/>
  <c r="H8" i="127"/>
  <c r="E8" i="127"/>
  <c r="B8" i="127"/>
  <c r="N7" i="127"/>
  <c r="O7" i="127" s="1"/>
  <c r="K7" i="127"/>
  <c r="H7" i="127"/>
  <c r="I7" i="127" s="1"/>
  <c r="E7" i="127"/>
  <c r="B7" i="127"/>
  <c r="N6" i="127"/>
  <c r="K6" i="127"/>
  <c r="H6" i="127"/>
  <c r="E6" i="127"/>
  <c r="B6" i="127"/>
  <c r="P13" i="127" l="1"/>
  <c r="C7" i="127"/>
  <c r="I9" i="127"/>
  <c r="P12" i="127"/>
  <c r="P15" i="127"/>
  <c r="L7" i="127"/>
  <c r="F7" i="127"/>
  <c r="J12" i="127"/>
  <c r="J13" i="127"/>
  <c r="J14" i="127"/>
  <c r="J15" i="127"/>
  <c r="C9" i="127"/>
  <c r="D12" i="127"/>
  <c r="F8" i="127"/>
  <c r="L8" i="127"/>
  <c r="F10" i="127"/>
  <c r="L10" i="127"/>
  <c r="C12" i="127"/>
  <c r="I15" i="127"/>
  <c r="O14" i="127"/>
  <c r="E11" i="127"/>
  <c r="F11" i="127" s="1"/>
  <c r="K11" i="127"/>
  <c r="L11" i="127" s="1"/>
  <c r="D8" i="127"/>
  <c r="J8" i="127"/>
  <c r="P8" i="127"/>
  <c r="G9" i="127"/>
  <c r="M9" i="127"/>
  <c r="D10" i="127"/>
  <c r="J10" i="127"/>
  <c r="P10" i="127"/>
  <c r="F12" i="127"/>
  <c r="L12" i="127"/>
  <c r="F13" i="127"/>
  <c r="L13" i="127"/>
  <c r="F14" i="127"/>
  <c r="L14" i="127"/>
  <c r="F15" i="127"/>
  <c r="L15" i="127"/>
  <c r="D7" i="127"/>
  <c r="J7" i="127"/>
  <c r="P7" i="127"/>
  <c r="C8" i="127"/>
  <c r="G8" i="127"/>
  <c r="I8" i="127"/>
  <c r="M8" i="127"/>
  <c r="O8" i="127"/>
  <c r="D9" i="127"/>
  <c r="F9" i="127"/>
  <c r="J9" i="127"/>
  <c r="L9" i="127"/>
  <c r="P9" i="127"/>
  <c r="C10" i="127"/>
  <c r="G10" i="127"/>
  <c r="I10" i="127"/>
  <c r="M10" i="127"/>
  <c r="O10" i="127"/>
  <c r="B11" i="127"/>
  <c r="H11" i="127"/>
  <c r="N11" i="127"/>
  <c r="G12" i="127"/>
  <c r="I12" i="127"/>
  <c r="M12" i="127"/>
  <c r="O12" i="127"/>
  <c r="G13" i="127"/>
  <c r="I13" i="127"/>
  <c r="M13" i="127"/>
  <c r="O13" i="127"/>
  <c r="G14" i="127"/>
  <c r="I14" i="127"/>
  <c r="M14" i="127"/>
  <c r="G15" i="127"/>
  <c r="M15" i="127"/>
  <c r="O15" i="127"/>
  <c r="G7" i="127"/>
  <c r="M7" i="127"/>
  <c r="M11" i="127" l="1"/>
  <c r="G11" i="127"/>
  <c r="I11" i="127"/>
  <c r="J11" i="127"/>
  <c r="O11" i="127"/>
  <c r="P11" i="127"/>
  <c r="C11" i="127"/>
  <c r="D11" i="127"/>
  <c r="N15" i="126" l="1"/>
  <c r="K15" i="126"/>
  <c r="H15" i="126"/>
  <c r="E15" i="126"/>
  <c r="N14" i="126"/>
  <c r="O14" i="126" s="1"/>
  <c r="K14" i="126"/>
  <c r="H14" i="126"/>
  <c r="E14" i="126"/>
  <c r="N13" i="126"/>
  <c r="K13" i="126"/>
  <c r="H13" i="126"/>
  <c r="E13" i="126"/>
  <c r="N12" i="126"/>
  <c r="K12" i="126"/>
  <c r="H12" i="126"/>
  <c r="E12" i="126"/>
  <c r="B12" i="126"/>
  <c r="N10" i="126"/>
  <c r="K10" i="126"/>
  <c r="H10" i="126"/>
  <c r="E10" i="126"/>
  <c r="B10" i="126"/>
  <c r="N9" i="126"/>
  <c r="K9" i="126"/>
  <c r="H9" i="126"/>
  <c r="E9" i="126"/>
  <c r="B9" i="126"/>
  <c r="N8" i="126"/>
  <c r="K8" i="126"/>
  <c r="H8" i="126"/>
  <c r="E8" i="126"/>
  <c r="B8" i="126"/>
  <c r="N7" i="126"/>
  <c r="K7" i="126"/>
  <c r="H7" i="126"/>
  <c r="E7" i="126"/>
  <c r="B7" i="126"/>
  <c r="N6" i="126"/>
  <c r="K6" i="126"/>
  <c r="H6" i="126"/>
  <c r="I12" i="126" s="1"/>
  <c r="E6" i="126"/>
  <c r="B6" i="126"/>
  <c r="N15" i="125"/>
  <c r="K15" i="125"/>
  <c r="H15" i="125"/>
  <c r="E15" i="125"/>
  <c r="N14" i="125"/>
  <c r="K14" i="125"/>
  <c r="H14" i="125"/>
  <c r="E14" i="125"/>
  <c r="N13" i="125"/>
  <c r="K13" i="125"/>
  <c r="L13" i="125" s="1"/>
  <c r="H13" i="125"/>
  <c r="E13" i="125"/>
  <c r="N12" i="125"/>
  <c r="K12" i="125"/>
  <c r="H12" i="125"/>
  <c r="E12" i="125"/>
  <c r="B12" i="125"/>
  <c r="N10" i="125"/>
  <c r="K10" i="125"/>
  <c r="H10" i="125"/>
  <c r="E10" i="125"/>
  <c r="B10" i="125"/>
  <c r="N9" i="125"/>
  <c r="K9" i="125"/>
  <c r="H9" i="125"/>
  <c r="E9" i="125"/>
  <c r="B9" i="125"/>
  <c r="N8" i="125"/>
  <c r="K8" i="125"/>
  <c r="H8" i="125"/>
  <c r="E8" i="125"/>
  <c r="B8" i="125"/>
  <c r="N7" i="125"/>
  <c r="K7" i="125"/>
  <c r="H7" i="125"/>
  <c r="E7" i="125"/>
  <c r="B7" i="125"/>
  <c r="N6" i="125"/>
  <c r="K6" i="125"/>
  <c r="H6" i="125"/>
  <c r="E6" i="125"/>
  <c r="B6" i="125"/>
  <c r="E11" i="125" l="1"/>
  <c r="M9" i="125"/>
  <c r="G13" i="125"/>
  <c r="M14" i="125"/>
  <c r="E11" i="126"/>
  <c r="G11" i="126" s="1"/>
  <c r="I8" i="126"/>
  <c r="O10" i="126"/>
  <c r="K11" i="126"/>
  <c r="C10" i="126"/>
  <c r="G15" i="125"/>
  <c r="O13" i="126"/>
  <c r="O9" i="125"/>
  <c r="G9" i="125"/>
  <c r="M12" i="125"/>
  <c r="G14" i="125"/>
  <c r="M15" i="125"/>
  <c r="G12" i="125"/>
  <c r="L9" i="126"/>
  <c r="F9" i="126"/>
  <c r="D8" i="126"/>
  <c r="F8" i="126"/>
  <c r="P8" i="126"/>
  <c r="C9" i="126"/>
  <c r="I9" i="126"/>
  <c r="O9" i="126"/>
  <c r="J10" i="126"/>
  <c r="L10" i="126"/>
  <c r="F12" i="126"/>
  <c r="P12" i="126"/>
  <c r="J13" i="126"/>
  <c r="L13" i="126"/>
  <c r="J14" i="126"/>
  <c r="L14" i="126"/>
  <c r="J15" i="126"/>
  <c r="L15" i="126"/>
  <c r="C7" i="126"/>
  <c r="I7" i="126"/>
  <c r="O7" i="126"/>
  <c r="C8" i="126"/>
  <c r="J8" i="126"/>
  <c r="L8" i="126"/>
  <c r="O8" i="126"/>
  <c r="G9" i="126"/>
  <c r="M9" i="126"/>
  <c r="D10" i="126"/>
  <c r="F10" i="126"/>
  <c r="I10" i="126"/>
  <c r="P10" i="126"/>
  <c r="D12" i="126"/>
  <c r="J12" i="126"/>
  <c r="L12" i="126"/>
  <c r="F13" i="126"/>
  <c r="I13" i="126"/>
  <c r="P13" i="126"/>
  <c r="F14" i="126"/>
  <c r="I14" i="126"/>
  <c r="P14" i="126"/>
  <c r="F15" i="126"/>
  <c r="I15" i="126"/>
  <c r="P15" i="126"/>
  <c r="C12" i="126"/>
  <c r="O12" i="126"/>
  <c r="M11" i="126"/>
  <c r="L11" i="126"/>
  <c r="D7" i="126"/>
  <c r="F7" i="126"/>
  <c r="J7" i="126"/>
  <c r="L7" i="126"/>
  <c r="P7" i="126"/>
  <c r="G8" i="126"/>
  <c r="M8" i="126"/>
  <c r="D9" i="126"/>
  <c r="J9" i="126"/>
  <c r="P9" i="126"/>
  <c r="G10" i="126"/>
  <c r="M10" i="126"/>
  <c r="B11" i="126"/>
  <c r="H11" i="126"/>
  <c r="N11" i="126"/>
  <c r="G12" i="126"/>
  <c r="M12" i="126"/>
  <c r="G13" i="126"/>
  <c r="M13" i="126"/>
  <c r="G14" i="126"/>
  <c r="M14" i="126"/>
  <c r="G15" i="126"/>
  <c r="M15" i="126"/>
  <c r="O15" i="126"/>
  <c r="G7" i="126"/>
  <c r="M7" i="126"/>
  <c r="C9" i="125"/>
  <c r="K11" i="125"/>
  <c r="L11" i="125" s="1"/>
  <c r="D8" i="125"/>
  <c r="J8" i="125"/>
  <c r="P8" i="125"/>
  <c r="D10" i="125"/>
  <c r="J10" i="125"/>
  <c r="P10" i="125"/>
  <c r="F15" i="125"/>
  <c r="L15" i="125"/>
  <c r="C7" i="125"/>
  <c r="I7" i="125"/>
  <c r="O7" i="125"/>
  <c r="F8" i="125"/>
  <c r="L8" i="125"/>
  <c r="D9" i="125"/>
  <c r="I9" i="125"/>
  <c r="P9" i="125"/>
  <c r="F10" i="125"/>
  <c r="L10" i="125"/>
  <c r="D12" i="125"/>
  <c r="J12" i="125"/>
  <c r="P12" i="125"/>
  <c r="J13" i="125"/>
  <c r="P13" i="125"/>
  <c r="J14" i="125"/>
  <c r="P14" i="125"/>
  <c r="J15" i="125"/>
  <c r="P15" i="125"/>
  <c r="G11" i="125"/>
  <c r="F11" i="125"/>
  <c r="D7" i="125"/>
  <c r="F7" i="125"/>
  <c r="J7" i="125"/>
  <c r="L7" i="125"/>
  <c r="P7" i="125"/>
  <c r="C8" i="125"/>
  <c r="G8" i="125"/>
  <c r="I8" i="125"/>
  <c r="M8" i="125"/>
  <c r="O8" i="125"/>
  <c r="F9" i="125"/>
  <c r="J9" i="125"/>
  <c r="L9" i="125"/>
  <c r="C10" i="125"/>
  <c r="G10" i="125"/>
  <c r="I10" i="125"/>
  <c r="M10" i="125"/>
  <c r="O10" i="125"/>
  <c r="B11" i="125"/>
  <c r="H11" i="125"/>
  <c r="N11" i="125"/>
  <c r="C12" i="125"/>
  <c r="I12" i="125"/>
  <c r="O12" i="125"/>
  <c r="I13" i="125"/>
  <c r="M13" i="125"/>
  <c r="O13" i="125"/>
  <c r="I14" i="125"/>
  <c r="O14" i="125"/>
  <c r="I15" i="125"/>
  <c r="O15" i="125"/>
  <c r="G7" i="125"/>
  <c r="M7" i="125"/>
  <c r="F12" i="125"/>
  <c r="L12" i="125"/>
  <c r="F13" i="125"/>
  <c r="F14" i="125"/>
  <c r="L14" i="125"/>
  <c r="B6" i="124"/>
  <c r="E6" i="124"/>
  <c r="H6" i="124"/>
  <c r="K6" i="124"/>
  <c r="N6" i="124"/>
  <c r="B7" i="124"/>
  <c r="D7" i="124" s="1"/>
  <c r="E7" i="124"/>
  <c r="F7" i="124" s="1"/>
  <c r="H7" i="124"/>
  <c r="I7" i="124" s="1"/>
  <c r="K7" i="124"/>
  <c r="L7" i="124"/>
  <c r="N7" i="124"/>
  <c r="P7" i="124" s="1"/>
  <c r="B8" i="124"/>
  <c r="E8" i="124"/>
  <c r="H8" i="124"/>
  <c r="I8" i="124"/>
  <c r="J8" i="124"/>
  <c r="K8" i="124"/>
  <c r="L8" i="124" s="1"/>
  <c r="M8" i="124"/>
  <c r="N8" i="124"/>
  <c r="B9" i="124"/>
  <c r="E9" i="124"/>
  <c r="H9" i="124"/>
  <c r="I9" i="124" s="1"/>
  <c r="J9" i="124"/>
  <c r="K9" i="124"/>
  <c r="L9" i="124" s="1"/>
  <c r="N9" i="124"/>
  <c r="B10" i="124"/>
  <c r="E10" i="124"/>
  <c r="G10" i="124"/>
  <c r="H10" i="124"/>
  <c r="I10" i="124" s="1"/>
  <c r="K10" i="124"/>
  <c r="L10" i="124" s="1"/>
  <c r="N10" i="124"/>
  <c r="B12" i="124"/>
  <c r="E12" i="124"/>
  <c r="H12" i="124"/>
  <c r="J12" i="124" s="1"/>
  <c r="I12" i="124"/>
  <c r="K12" i="124"/>
  <c r="L12" i="124" s="1"/>
  <c r="N12" i="124"/>
  <c r="E13" i="124"/>
  <c r="G13" i="124"/>
  <c r="H13" i="124"/>
  <c r="J13" i="124" s="1"/>
  <c r="K13" i="124"/>
  <c r="L13" i="124" s="1"/>
  <c r="N13" i="124"/>
  <c r="E14" i="124"/>
  <c r="H14" i="124"/>
  <c r="I14" i="124" s="1"/>
  <c r="J14" i="124"/>
  <c r="K14" i="124"/>
  <c r="L14" i="124" s="1"/>
  <c r="N14" i="124"/>
  <c r="E15" i="124"/>
  <c r="F15" i="124" s="1"/>
  <c r="H15" i="124"/>
  <c r="I15" i="124" s="1"/>
  <c r="K15" i="124"/>
  <c r="L15" i="124" s="1"/>
  <c r="N15" i="124"/>
  <c r="O15" i="124" s="1"/>
  <c r="F11" i="126" l="1"/>
  <c r="O14" i="124"/>
  <c r="O13" i="124"/>
  <c r="M12" i="124"/>
  <c r="O10" i="124"/>
  <c r="O9" i="124"/>
  <c r="O8" i="124"/>
  <c r="P13" i="124"/>
  <c r="O12" i="124"/>
  <c r="F13" i="124"/>
  <c r="M10" i="124"/>
  <c r="F10" i="124"/>
  <c r="D8" i="124"/>
  <c r="B11" i="124"/>
  <c r="C11" i="124" s="1"/>
  <c r="J10" i="124"/>
  <c r="F12" i="124"/>
  <c r="F9" i="124"/>
  <c r="I13" i="124"/>
  <c r="P8" i="124"/>
  <c r="J7" i="124"/>
  <c r="F14" i="124"/>
  <c r="H11" i="124"/>
  <c r="F8" i="124"/>
  <c r="D11" i="124"/>
  <c r="C12" i="124"/>
  <c r="D10" i="124"/>
  <c r="C9" i="124"/>
  <c r="C8" i="124"/>
  <c r="D12" i="124"/>
  <c r="C10" i="124"/>
  <c r="M7" i="124"/>
  <c r="C7" i="124"/>
  <c r="P12" i="124"/>
  <c r="P10" i="124"/>
  <c r="D9" i="124"/>
  <c r="G14" i="124"/>
  <c r="G12" i="124"/>
  <c r="N11" i="124"/>
  <c r="P9" i="124"/>
  <c r="G8" i="124"/>
  <c r="O7" i="124"/>
  <c r="G7" i="124"/>
  <c r="M11" i="125"/>
  <c r="I11" i="126"/>
  <c r="J11" i="126"/>
  <c r="O11" i="126"/>
  <c r="P11" i="126"/>
  <c r="C11" i="126"/>
  <c r="D11" i="126"/>
  <c r="I11" i="125"/>
  <c r="J11" i="125"/>
  <c r="O11" i="125"/>
  <c r="P11" i="125"/>
  <c r="C11" i="125"/>
  <c r="D11" i="125"/>
  <c r="P15" i="124"/>
  <c r="M15" i="124"/>
  <c r="J15" i="124"/>
  <c r="G15" i="124"/>
  <c r="M13" i="124"/>
  <c r="P14" i="124"/>
  <c r="M14" i="124"/>
  <c r="K11" i="124"/>
  <c r="E11" i="124"/>
  <c r="M9" i="124"/>
  <c r="G9" i="124"/>
  <c r="N15" i="123"/>
  <c r="K15" i="123"/>
  <c r="H15" i="123"/>
  <c r="E15" i="123"/>
  <c r="N14" i="123"/>
  <c r="K14" i="123"/>
  <c r="H14" i="123"/>
  <c r="E14" i="123"/>
  <c r="N13" i="123"/>
  <c r="K13" i="123"/>
  <c r="H13" i="123"/>
  <c r="E13" i="123"/>
  <c r="N12" i="123"/>
  <c r="K12" i="123"/>
  <c r="H12" i="123"/>
  <c r="E12" i="123"/>
  <c r="B12" i="123"/>
  <c r="N10" i="123"/>
  <c r="K10" i="123"/>
  <c r="H10" i="123"/>
  <c r="E10" i="123"/>
  <c r="B10" i="123"/>
  <c r="N9" i="123"/>
  <c r="K9" i="123"/>
  <c r="H9" i="123"/>
  <c r="E9" i="123"/>
  <c r="B9" i="123"/>
  <c r="N8" i="123"/>
  <c r="K8" i="123"/>
  <c r="H8" i="123"/>
  <c r="E8" i="123"/>
  <c r="B8" i="123"/>
  <c r="N7" i="123"/>
  <c r="K7" i="123"/>
  <c r="H7" i="123"/>
  <c r="E7" i="123"/>
  <c r="B7" i="123"/>
  <c r="N6" i="123"/>
  <c r="K6" i="123"/>
  <c r="H6" i="123"/>
  <c r="I15" i="123" s="1"/>
  <c r="E6" i="123"/>
  <c r="B6" i="123"/>
  <c r="K11" i="123" l="1"/>
  <c r="M11" i="123" s="1"/>
  <c r="I11" i="124"/>
  <c r="J11" i="124"/>
  <c r="O11" i="124"/>
  <c r="P11" i="124"/>
  <c r="E11" i="123"/>
  <c r="G11" i="123" s="1"/>
  <c r="M11" i="124"/>
  <c r="L11" i="124"/>
  <c r="G11" i="124"/>
  <c r="F11" i="124"/>
  <c r="O13" i="123"/>
  <c r="F9" i="123"/>
  <c r="L9" i="123"/>
  <c r="D8" i="123"/>
  <c r="J8" i="123"/>
  <c r="P8" i="123"/>
  <c r="G9" i="123"/>
  <c r="M9" i="123"/>
  <c r="D10" i="123"/>
  <c r="J10" i="123"/>
  <c r="P10" i="123"/>
  <c r="F12" i="123"/>
  <c r="L12" i="123"/>
  <c r="F13" i="123"/>
  <c r="L13" i="123"/>
  <c r="F14" i="123"/>
  <c r="L14" i="123"/>
  <c r="F15" i="123"/>
  <c r="L15" i="123"/>
  <c r="C7" i="123"/>
  <c r="I7" i="123"/>
  <c r="O7" i="123"/>
  <c r="F8" i="123"/>
  <c r="L8" i="123"/>
  <c r="C9" i="123"/>
  <c r="I9" i="123"/>
  <c r="O9" i="123"/>
  <c r="F10" i="123"/>
  <c r="L10" i="123"/>
  <c r="D12" i="123"/>
  <c r="J12" i="123"/>
  <c r="P12" i="123"/>
  <c r="J13" i="123"/>
  <c r="P13" i="123"/>
  <c r="J14" i="123"/>
  <c r="P14" i="123"/>
  <c r="J15" i="123"/>
  <c r="P15" i="123"/>
  <c r="L11" i="123"/>
  <c r="D7" i="123"/>
  <c r="F7" i="123"/>
  <c r="J7" i="123"/>
  <c r="L7" i="123"/>
  <c r="P7" i="123"/>
  <c r="C8" i="123"/>
  <c r="G8" i="123"/>
  <c r="I8" i="123"/>
  <c r="M8" i="123"/>
  <c r="O8" i="123"/>
  <c r="D9" i="123"/>
  <c r="J9" i="123"/>
  <c r="P9" i="123"/>
  <c r="C10" i="123"/>
  <c r="G10" i="123"/>
  <c r="I10" i="123"/>
  <c r="M10" i="123"/>
  <c r="O10" i="123"/>
  <c r="B11" i="123"/>
  <c r="H11" i="123"/>
  <c r="N11" i="123"/>
  <c r="C12" i="123"/>
  <c r="G12" i="123"/>
  <c r="I12" i="123"/>
  <c r="M12" i="123"/>
  <c r="O12" i="123"/>
  <c r="G13" i="123"/>
  <c r="I13" i="123"/>
  <c r="M13" i="123"/>
  <c r="G14" i="123"/>
  <c r="I14" i="123"/>
  <c r="M14" i="123"/>
  <c r="O14" i="123"/>
  <c r="G15" i="123"/>
  <c r="M15" i="123"/>
  <c r="O15" i="123"/>
  <c r="G7" i="123"/>
  <c r="M7" i="123"/>
  <c r="F11" i="123" l="1"/>
  <c r="I11" i="123"/>
  <c r="J11" i="123"/>
  <c r="O11" i="123"/>
  <c r="P11" i="123"/>
  <c r="C11" i="123"/>
  <c r="D11" i="123"/>
  <c r="N15" i="122" l="1"/>
  <c r="K15" i="122"/>
  <c r="H15" i="122"/>
  <c r="E15" i="122"/>
  <c r="N14" i="122"/>
  <c r="K14" i="122"/>
  <c r="H14" i="122"/>
  <c r="E14" i="122"/>
  <c r="N13" i="122"/>
  <c r="K13" i="122"/>
  <c r="H13" i="122"/>
  <c r="E13" i="122"/>
  <c r="N12" i="122"/>
  <c r="K12" i="122"/>
  <c r="H12" i="122"/>
  <c r="E12" i="122"/>
  <c r="B12" i="122"/>
  <c r="N10" i="122"/>
  <c r="K10" i="122"/>
  <c r="H10" i="122"/>
  <c r="E10" i="122"/>
  <c r="B10" i="122"/>
  <c r="N9" i="122"/>
  <c r="K9" i="122"/>
  <c r="H9" i="122"/>
  <c r="E9" i="122"/>
  <c r="B9" i="122"/>
  <c r="N8" i="122"/>
  <c r="K8" i="122"/>
  <c r="H8" i="122"/>
  <c r="E8" i="122"/>
  <c r="B8" i="122"/>
  <c r="N7" i="122"/>
  <c r="K7" i="122"/>
  <c r="H7" i="122"/>
  <c r="E7" i="122"/>
  <c r="B7" i="122"/>
  <c r="N6" i="122"/>
  <c r="K6" i="122"/>
  <c r="H6" i="122"/>
  <c r="E6" i="122"/>
  <c r="F15" i="122" s="1"/>
  <c r="B6" i="122"/>
  <c r="H11" i="122" l="1"/>
  <c r="I7" i="122"/>
  <c r="L15" i="122"/>
  <c r="K11" i="122"/>
  <c r="L11" i="122" s="1"/>
  <c r="E11" i="122"/>
  <c r="G11" i="122" s="1"/>
  <c r="D8" i="122"/>
  <c r="J8" i="122"/>
  <c r="P8" i="122"/>
  <c r="G9" i="122"/>
  <c r="M9" i="122"/>
  <c r="D10" i="122"/>
  <c r="J10" i="122"/>
  <c r="P10" i="122"/>
  <c r="G12" i="122"/>
  <c r="M12" i="122"/>
  <c r="F13" i="122"/>
  <c r="M13" i="122"/>
  <c r="G14" i="122"/>
  <c r="M14" i="122"/>
  <c r="G15" i="122"/>
  <c r="M15" i="122"/>
  <c r="C7" i="122"/>
  <c r="O7" i="122"/>
  <c r="F8" i="122"/>
  <c r="L8" i="122"/>
  <c r="C9" i="122"/>
  <c r="I9" i="122"/>
  <c r="O9" i="122"/>
  <c r="F10" i="122"/>
  <c r="L10" i="122"/>
  <c r="D12" i="122"/>
  <c r="J12" i="122"/>
  <c r="P12" i="122"/>
  <c r="J13" i="122"/>
  <c r="P13" i="122"/>
  <c r="J14" i="122"/>
  <c r="P14" i="122"/>
  <c r="J15" i="122"/>
  <c r="P15" i="122"/>
  <c r="I11" i="122"/>
  <c r="J11" i="122"/>
  <c r="D7" i="122"/>
  <c r="F7" i="122"/>
  <c r="J7" i="122"/>
  <c r="L7" i="122"/>
  <c r="P7" i="122"/>
  <c r="C8" i="122"/>
  <c r="G8" i="122"/>
  <c r="I8" i="122"/>
  <c r="M8" i="122"/>
  <c r="O8" i="122"/>
  <c r="D9" i="122"/>
  <c r="F9" i="122"/>
  <c r="J9" i="122"/>
  <c r="L9" i="122"/>
  <c r="P9" i="122"/>
  <c r="C10" i="122"/>
  <c r="G10" i="122"/>
  <c r="I10" i="122"/>
  <c r="M10" i="122"/>
  <c r="O10" i="122"/>
  <c r="B11" i="122"/>
  <c r="N11" i="122"/>
  <c r="C12" i="122"/>
  <c r="I12" i="122"/>
  <c r="O12" i="122"/>
  <c r="G13" i="122"/>
  <c r="I13" i="122"/>
  <c r="O13" i="122"/>
  <c r="I14" i="122"/>
  <c r="O14" i="122"/>
  <c r="I15" i="122"/>
  <c r="O15" i="122"/>
  <c r="G7" i="122"/>
  <c r="M7" i="122"/>
  <c r="F12" i="122"/>
  <c r="L12" i="122"/>
  <c r="L13" i="122"/>
  <c r="F14" i="122"/>
  <c r="L14" i="122"/>
  <c r="F11" i="122" l="1"/>
  <c r="M11" i="122"/>
  <c r="O11" i="122"/>
  <c r="P11" i="122"/>
  <c r="C11" i="122"/>
  <c r="D11" i="122"/>
  <c r="N15" i="121" l="1"/>
  <c r="K15" i="121"/>
  <c r="H15" i="121"/>
  <c r="E15" i="121"/>
  <c r="N14" i="121"/>
  <c r="K14" i="121"/>
  <c r="H14" i="121"/>
  <c r="E14" i="121"/>
  <c r="N13" i="121"/>
  <c r="K13" i="121"/>
  <c r="H13" i="121"/>
  <c r="E13" i="121"/>
  <c r="N12" i="121"/>
  <c r="K12" i="121"/>
  <c r="H12" i="121"/>
  <c r="E12" i="121"/>
  <c r="B12" i="121"/>
  <c r="N10" i="121"/>
  <c r="K10" i="121"/>
  <c r="H10" i="121"/>
  <c r="E10" i="121"/>
  <c r="B10" i="121"/>
  <c r="N9" i="121"/>
  <c r="K9" i="121"/>
  <c r="M9" i="121" s="1"/>
  <c r="H9" i="121"/>
  <c r="E9" i="121"/>
  <c r="B9" i="121"/>
  <c r="N8" i="121"/>
  <c r="K8" i="121"/>
  <c r="H8" i="121"/>
  <c r="E8" i="121"/>
  <c r="B8" i="121"/>
  <c r="N7" i="121"/>
  <c r="K7" i="121"/>
  <c r="H7" i="121"/>
  <c r="E7" i="121"/>
  <c r="B7" i="121"/>
  <c r="N6" i="121"/>
  <c r="K6" i="121"/>
  <c r="H6" i="121"/>
  <c r="E6" i="121"/>
  <c r="B6" i="121"/>
  <c r="C12" i="121" s="1"/>
  <c r="F13" i="121" l="1"/>
  <c r="L14" i="121"/>
  <c r="L8" i="121"/>
  <c r="I15" i="121"/>
  <c r="F12" i="121"/>
  <c r="L13" i="121"/>
  <c r="F15" i="121"/>
  <c r="G9" i="121"/>
  <c r="L12" i="121"/>
  <c r="F14" i="121"/>
  <c r="L15" i="121"/>
  <c r="E11" i="121"/>
  <c r="F11" i="121" s="1"/>
  <c r="K11" i="121"/>
  <c r="L11" i="121" s="1"/>
  <c r="O14" i="121"/>
  <c r="D8" i="121"/>
  <c r="J8" i="121"/>
  <c r="P8" i="121"/>
  <c r="D10" i="121"/>
  <c r="J10" i="121"/>
  <c r="P10" i="121"/>
  <c r="C7" i="121"/>
  <c r="I7" i="121"/>
  <c r="O7" i="121"/>
  <c r="F8" i="121"/>
  <c r="M8" i="121"/>
  <c r="C9" i="121"/>
  <c r="I9" i="121"/>
  <c r="O9" i="121"/>
  <c r="F10" i="121"/>
  <c r="L10" i="121"/>
  <c r="D12" i="121"/>
  <c r="J12" i="121"/>
  <c r="P12" i="121"/>
  <c r="J13" i="121"/>
  <c r="P13" i="121"/>
  <c r="J14" i="121"/>
  <c r="P14" i="121"/>
  <c r="J15" i="121"/>
  <c r="P15" i="121"/>
  <c r="D7" i="121"/>
  <c r="F7" i="121"/>
  <c r="J7" i="121"/>
  <c r="L7" i="121"/>
  <c r="P7" i="121"/>
  <c r="C8" i="121"/>
  <c r="G8" i="121"/>
  <c r="I8" i="121"/>
  <c r="O8" i="121"/>
  <c r="D9" i="121"/>
  <c r="F9" i="121"/>
  <c r="J9" i="121"/>
  <c r="L9" i="121"/>
  <c r="P9" i="121"/>
  <c r="C10" i="121"/>
  <c r="G10" i="121"/>
  <c r="I10" i="121"/>
  <c r="M10" i="121"/>
  <c r="O10" i="121"/>
  <c r="B11" i="121"/>
  <c r="H11" i="121"/>
  <c r="N11" i="121"/>
  <c r="G12" i="121"/>
  <c r="I12" i="121"/>
  <c r="M12" i="121"/>
  <c r="O12" i="121"/>
  <c r="G13" i="121"/>
  <c r="I13" i="121"/>
  <c r="M13" i="121"/>
  <c r="O13" i="121"/>
  <c r="G14" i="121"/>
  <c r="I14" i="121"/>
  <c r="M14" i="121"/>
  <c r="G15" i="121"/>
  <c r="M15" i="121"/>
  <c r="O15" i="121"/>
  <c r="G7" i="121"/>
  <c r="M7" i="121"/>
  <c r="N15" i="120"/>
  <c r="K15" i="120"/>
  <c r="H15" i="120"/>
  <c r="E15" i="120"/>
  <c r="N14" i="120"/>
  <c r="K14" i="120"/>
  <c r="H14" i="120"/>
  <c r="E14" i="120"/>
  <c r="N13" i="120"/>
  <c r="K13" i="120"/>
  <c r="H13" i="120"/>
  <c r="E13" i="120"/>
  <c r="N12" i="120"/>
  <c r="K12" i="120"/>
  <c r="H12" i="120"/>
  <c r="E12" i="120"/>
  <c r="B12" i="120"/>
  <c r="N10" i="120"/>
  <c r="K10" i="120"/>
  <c r="H10" i="120"/>
  <c r="E10" i="120"/>
  <c r="B10" i="120"/>
  <c r="N9" i="120"/>
  <c r="K9" i="120"/>
  <c r="H9" i="120"/>
  <c r="E9" i="120"/>
  <c r="B9" i="120"/>
  <c r="N8" i="120"/>
  <c r="K8" i="120"/>
  <c r="H8" i="120"/>
  <c r="E8" i="120"/>
  <c r="B8" i="120"/>
  <c r="N7" i="120"/>
  <c r="K7" i="120"/>
  <c r="H7" i="120"/>
  <c r="E7" i="120"/>
  <c r="B7" i="120"/>
  <c r="N6" i="120"/>
  <c r="K6" i="120"/>
  <c r="H6" i="120"/>
  <c r="E6" i="120"/>
  <c r="F15" i="120" s="1"/>
  <c r="B6" i="120"/>
  <c r="N15" i="119"/>
  <c r="K15" i="119"/>
  <c r="H15" i="119"/>
  <c r="E15" i="119"/>
  <c r="N14" i="119"/>
  <c r="K14" i="119"/>
  <c r="H14" i="119"/>
  <c r="E14" i="119"/>
  <c r="N13" i="119"/>
  <c r="K13" i="119"/>
  <c r="H13" i="119"/>
  <c r="E13" i="119"/>
  <c r="N12" i="119"/>
  <c r="K12" i="119"/>
  <c r="H12" i="119"/>
  <c r="E12" i="119"/>
  <c r="B12" i="119"/>
  <c r="N10" i="119"/>
  <c r="K10" i="119"/>
  <c r="H10" i="119"/>
  <c r="E10" i="119"/>
  <c r="B10" i="119"/>
  <c r="N9" i="119"/>
  <c r="K9" i="119"/>
  <c r="H9" i="119"/>
  <c r="E9" i="119"/>
  <c r="B9" i="119"/>
  <c r="N8" i="119"/>
  <c r="K8" i="119"/>
  <c r="H8" i="119"/>
  <c r="E8" i="119"/>
  <c r="B8" i="119"/>
  <c r="N7" i="119"/>
  <c r="K7" i="119"/>
  <c r="H7" i="119"/>
  <c r="E7" i="119"/>
  <c r="B7" i="119"/>
  <c r="N6" i="119"/>
  <c r="K6" i="119"/>
  <c r="H6" i="119"/>
  <c r="E6" i="119"/>
  <c r="F15" i="119" s="1"/>
  <c r="B6" i="119"/>
  <c r="O9" i="120" l="1"/>
  <c r="C7" i="119"/>
  <c r="M11" i="121"/>
  <c r="P12" i="119"/>
  <c r="P15" i="119"/>
  <c r="E11" i="120"/>
  <c r="G11" i="120" s="1"/>
  <c r="P14" i="119"/>
  <c r="I9" i="120"/>
  <c r="K11" i="120"/>
  <c r="M11" i="120" s="1"/>
  <c r="O9" i="119"/>
  <c r="L15" i="119"/>
  <c r="O7" i="119"/>
  <c r="C9" i="119"/>
  <c r="P13" i="119"/>
  <c r="G11" i="121"/>
  <c r="O11" i="121"/>
  <c r="P11" i="121"/>
  <c r="C11" i="121"/>
  <c r="D11" i="121"/>
  <c r="I11" i="121"/>
  <c r="J11" i="121"/>
  <c r="C9" i="120"/>
  <c r="B11" i="120"/>
  <c r="C11" i="120" s="1"/>
  <c r="H11" i="120"/>
  <c r="I11" i="120" s="1"/>
  <c r="N11" i="120"/>
  <c r="O11" i="120" s="1"/>
  <c r="D8" i="120"/>
  <c r="F8" i="120"/>
  <c r="M8" i="120"/>
  <c r="P8" i="120"/>
  <c r="G9" i="120"/>
  <c r="M9" i="120"/>
  <c r="D10" i="120"/>
  <c r="F10" i="120"/>
  <c r="M10" i="120"/>
  <c r="P10" i="120"/>
  <c r="G12" i="120"/>
  <c r="J12" i="120"/>
  <c r="P12" i="120"/>
  <c r="F13" i="120"/>
  <c r="M13" i="120"/>
  <c r="P13" i="120"/>
  <c r="F14" i="120"/>
  <c r="M14" i="120"/>
  <c r="P14" i="120"/>
  <c r="M15" i="120"/>
  <c r="P15" i="120"/>
  <c r="G8" i="120"/>
  <c r="J8" i="120"/>
  <c r="L8" i="120"/>
  <c r="D9" i="120"/>
  <c r="J9" i="120"/>
  <c r="P9" i="120"/>
  <c r="G10" i="120"/>
  <c r="J10" i="120"/>
  <c r="L10" i="120"/>
  <c r="D12" i="120"/>
  <c r="F12" i="120"/>
  <c r="M12" i="120"/>
  <c r="G13" i="120"/>
  <c r="J13" i="120"/>
  <c r="L13" i="120"/>
  <c r="G14" i="120"/>
  <c r="J14" i="120"/>
  <c r="L14" i="120"/>
  <c r="G15" i="120"/>
  <c r="J15" i="120"/>
  <c r="L15" i="120"/>
  <c r="F7" i="120"/>
  <c r="L12" i="120"/>
  <c r="J11" i="120"/>
  <c r="D7" i="120"/>
  <c r="J7" i="120"/>
  <c r="L7" i="120"/>
  <c r="P7" i="120"/>
  <c r="C8" i="120"/>
  <c r="I8" i="120"/>
  <c r="O8" i="120"/>
  <c r="F9" i="120"/>
  <c r="L9" i="120"/>
  <c r="C10" i="120"/>
  <c r="I10" i="120"/>
  <c r="O10" i="120"/>
  <c r="C12" i="120"/>
  <c r="I12" i="120"/>
  <c r="O12" i="120"/>
  <c r="I13" i="120"/>
  <c r="O13" i="120"/>
  <c r="I14" i="120"/>
  <c r="O14" i="120"/>
  <c r="I15" i="120"/>
  <c r="O15" i="120"/>
  <c r="C7" i="120"/>
  <c r="G7" i="120"/>
  <c r="I7" i="120"/>
  <c r="M7" i="120"/>
  <c r="O7" i="120"/>
  <c r="I7" i="119"/>
  <c r="I9" i="119"/>
  <c r="J12" i="119"/>
  <c r="J13" i="119"/>
  <c r="J14" i="119"/>
  <c r="J15" i="119"/>
  <c r="D12" i="119"/>
  <c r="F8" i="119"/>
  <c r="M8" i="119"/>
  <c r="F10" i="119"/>
  <c r="L10" i="119"/>
  <c r="E11" i="119"/>
  <c r="F11" i="119" s="1"/>
  <c r="K11" i="119"/>
  <c r="M11" i="119" s="1"/>
  <c r="D8" i="119"/>
  <c r="J8" i="119"/>
  <c r="P8" i="119"/>
  <c r="G9" i="119"/>
  <c r="M9" i="119"/>
  <c r="D10" i="119"/>
  <c r="J10" i="119"/>
  <c r="P10" i="119"/>
  <c r="G12" i="119"/>
  <c r="M12" i="119"/>
  <c r="G13" i="119"/>
  <c r="M13" i="119"/>
  <c r="G14" i="119"/>
  <c r="M14" i="119"/>
  <c r="G15" i="119"/>
  <c r="M15" i="119"/>
  <c r="D7" i="119"/>
  <c r="F7" i="119"/>
  <c r="J7" i="119"/>
  <c r="L7" i="119"/>
  <c r="P7" i="119"/>
  <c r="C8" i="119"/>
  <c r="G8" i="119"/>
  <c r="I8" i="119"/>
  <c r="O8" i="119"/>
  <c r="D9" i="119"/>
  <c r="F9" i="119"/>
  <c r="J9" i="119"/>
  <c r="L9" i="119"/>
  <c r="P9" i="119"/>
  <c r="C10" i="119"/>
  <c r="G10" i="119"/>
  <c r="I10" i="119"/>
  <c r="M10" i="119"/>
  <c r="O10" i="119"/>
  <c r="B11" i="119"/>
  <c r="H11" i="119"/>
  <c r="N11" i="119"/>
  <c r="C12" i="119"/>
  <c r="I12" i="119"/>
  <c r="O12" i="119"/>
  <c r="I13" i="119"/>
  <c r="O13" i="119"/>
  <c r="I14" i="119"/>
  <c r="O14" i="119"/>
  <c r="I15" i="119"/>
  <c r="O15" i="119"/>
  <c r="G7" i="119"/>
  <c r="M7" i="119"/>
  <c r="L8" i="119"/>
  <c r="F12" i="119"/>
  <c r="L12" i="119"/>
  <c r="F13" i="119"/>
  <c r="L13" i="119"/>
  <c r="F14" i="119"/>
  <c r="L14" i="119"/>
  <c r="L11" i="120" l="1"/>
  <c r="F11" i="120"/>
  <c r="P11" i="120"/>
  <c r="D11" i="120"/>
  <c r="L11" i="119"/>
  <c r="G11" i="119"/>
  <c r="O11" i="119"/>
  <c r="P11" i="119"/>
  <c r="C11" i="119"/>
  <c r="D11" i="119"/>
  <c r="I11" i="119"/>
  <c r="J11" i="119"/>
  <c r="N15" i="118" l="1"/>
  <c r="K15" i="118"/>
  <c r="H15" i="118"/>
  <c r="E15" i="118"/>
  <c r="N14" i="118"/>
  <c r="K14" i="118"/>
  <c r="H14" i="118"/>
  <c r="E14" i="118"/>
  <c r="N13" i="118"/>
  <c r="K13" i="118"/>
  <c r="H13" i="118"/>
  <c r="E13" i="118"/>
  <c r="N12" i="118"/>
  <c r="K12" i="118"/>
  <c r="H12" i="118"/>
  <c r="E12" i="118"/>
  <c r="B12" i="118"/>
  <c r="N10" i="118"/>
  <c r="K10" i="118"/>
  <c r="H10" i="118"/>
  <c r="E10" i="118"/>
  <c r="B10" i="118"/>
  <c r="N9" i="118"/>
  <c r="K9" i="118"/>
  <c r="H9" i="118"/>
  <c r="E9" i="118"/>
  <c r="B9" i="118"/>
  <c r="N8" i="118"/>
  <c r="K8" i="118"/>
  <c r="H8" i="118"/>
  <c r="E8" i="118"/>
  <c r="B8" i="118"/>
  <c r="N7" i="118"/>
  <c r="K7" i="118"/>
  <c r="H7" i="118"/>
  <c r="E7" i="118"/>
  <c r="E11" i="118" s="1"/>
  <c r="B7" i="118"/>
  <c r="N6" i="118"/>
  <c r="K6" i="118"/>
  <c r="H6" i="118"/>
  <c r="I12" i="118" s="1"/>
  <c r="E6" i="118"/>
  <c r="B6" i="118"/>
  <c r="C12" i="118" s="1"/>
  <c r="K11" i="118" l="1"/>
  <c r="F15" i="118"/>
  <c r="L15" i="118"/>
  <c r="P8" i="118"/>
  <c r="P10" i="118"/>
  <c r="I7" i="118"/>
  <c r="O7" i="118"/>
  <c r="I9" i="118"/>
  <c r="O9" i="118"/>
  <c r="J12" i="118"/>
  <c r="P12" i="118"/>
  <c r="J13" i="118"/>
  <c r="P13" i="118"/>
  <c r="J14" i="118"/>
  <c r="P14" i="118"/>
  <c r="J15" i="118"/>
  <c r="P15" i="118"/>
  <c r="M9" i="118"/>
  <c r="L12" i="118"/>
  <c r="M13" i="118"/>
  <c r="M14" i="118"/>
  <c r="M15" i="118"/>
  <c r="M8" i="118"/>
  <c r="L10" i="118"/>
  <c r="J8" i="118"/>
  <c r="J10" i="118"/>
  <c r="G9" i="118"/>
  <c r="F12" i="118"/>
  <c r="F13" i="118"/>
  <c r="G14" i="118"/>
  <c r="G15" i="118"/>
  <c r="F8" i="118"/>
  <c r="F10" i="118"/>
  <c r="D8" i="118"/>
  <c r="D10" i="118"/>
  <c r="C7" i="118"/>
  <c r="C9" i="118"/>
  <c r="D12" i="118"/>
  <c r="M11" i="118"/>
  <c r="L11" i="118"/>
  <c r="G11" i="118"/>
  <c r="F11" i="118"/>
  <c r="D7" i="118"/>
  <c r="F7" i="118"/>
  <c r="J7" i="118"/>
  <c r="L7" i="118"/>
  <c r="P7" i="118"/>
  <c r="C8" i="118"/>
  <c r="G8" i="118"/>
  <c r="I8" i="118"/>
  <c r="O8" i="118"/>
  <c r="D9" i="118"/>
  <c r="F9" i="118"/>
  <c r="J9" i="118"/>
  <c r="L9" i="118"/>
  <c r="P9" i="118"/>
  <c r="C10" i="118"/>
  <c r="G10" i="118"/>
  <c r="I10" i="118"/>
  <c r="M10" i="118"/>
  <c r="O10" i="118"/>
  <c r="B11" i="118"/>
  <c r="H11" i="118"/>
  <c r="N11" i="118"/>
  <c r="G12" i="118"/>
  <c r="M12" i="118"/>
  <c r="O12" i="118"/>
  <c r="G13" i="118"/>
  <c r="I13" i="118"/>
  <c r="O13" i="118"/>
  <c r="I14" i="118"/>
  <c r="O14" i="118"/>
  <c r="I15" i="118"/>
  <c r="O15" i="118"/>
  <c r="G7" i="118"/>
  <c r="M7" i="118"/>
  <c r="L8" i="118"/>
  <c r="L13" i="118"/>
  <c r="F14" i="118"/>
  <c r="L14" i="118"/>
  <c r="N15" i="117"/>
  <c r="K15" i="117"/>
  <c r="H15" i="117"/>
  <c r="E15" i="117"/>
  <c r="N14" i="117"/>
  <c r="K14" i="117"/>
  <c r="H14" i="117"/>
  <c r="E14" i="117"/>
  <c r="N13" i="117"/>
  <c r="K13" i="117"/>
  <c r="H13" i="117"/>
  <c r="E13" i="117"/>
  <c r="N12" i="117"/>
  <c r="K12" i="117"/>
  <c r="H12" i="117"/>
  <c r="E12" i="117"/>
  <c r="B12" i="117"/>
  <c r="N10" i="117"/>
  <c r="K10" i="117"/>
  <c r="H10" i="117"/>
  <c r="E10" i="117"/>
  <c r="B10" i="117"/>
  <c r="N9" i="117"/>
  <c r="K9" i="117"/>
  <c r="H9" i="117"/>
  <c r="E9" i="117"/>
  <c r="B9" i="117"/>
  <c r="N8" i="117"/>
  <c r="K8" i="117"/>
  <c r="H8" i="117"/>
  <c r="E8" i="117"/>
  <c r="B8" i="117"/>
  <c r="N7" i="117"/>
  <c r="K7" i="117"/>
  <c r="K11" i="117" s="1"/>
  <c r="H7" i="117"/>
  <c r="E7" i="117"/>
  <c r="B7" i="117"/>
  <c r="N6" i="117"/>
  <c r="K6" i="117"/>
  <c r="H6" i="117"/>
  <c r="E6" i="117"/>
  <c r="B6" i="117"/>
  <c r="I10" i="117" l="1"/>
  <c r="P8" i="117"/>
  <c r="O7" i="117"/>
  <c r="P13" i="117"/>
  <c r="P12" i="117"/>
  <c r="P15" i="117"/>
  <c r="O8" i="117"/>
  <c r="E11" i="117"/>
  <c r="F11" i="117" s="1"/>
  <c r="P10" i="117"/>
  <c r="C10" i="117"/>
  <c r="F15" i="117"/>
  <c r="O9" i="117"/>
  <c r="P14" i="117"/>
  <c r="M9" i="117"/>
  <c r="M12" i="117"/>
  <c r="M13" i="117"/>
  <c r="M14" i="117"/>
  <c r="M15" i="117"/>
  <c r="L8" i="117"/>
  <c r="L10" i="117"/>
  <c r="J8" i="117"/>
  <c r="J10" i="117"/>
  <c r="I7" i="117"/>
  <c r="I9" i="117"/>
  <c r="J12" i="117"/>
  <c r="J13" i="117"/>
  <c r="J14" i="117"/>
  <c r="J15" i="117"/>
  <c r="G9" i="117"/>
  <c r="F12" i="117"/>
  <c r="F13" i="117"/>
  <c r="G14" i="117"/>
  <c r="G15" i="117"/>
  <c r="F8" i="117"/>
  <c r="F10" i="117"/>
  <c r="D8" i="117"/>
  <c r="D10" i="117"/>
  <c r="C7" i="117"/>
  <c r="C9" i="117"/>
  <c r="D12" i="117"/>
  <c r="O11" i="118"/>
  <c r="P11" i="118"/>
  <c r="C11" i="118"/>
  <c r="D11" i="118"/>
  <c r="I11" i="118"/>
  <c r="J11" i="118"/>
  <c r="L15" i="117"/>
  <c r="M11" i="117"/>
  <c r="L11" i="117"/>
  <c r="G11" i="117"/>
  <c r="D7" i="117"/>
  <c r="F7" i="117"/>
  <c r="J7" i="117"/>
  <c r="L7" i="117"/>
  <c r="P7" i="117"/>
  <c r="C8" i="117"/>
  <c r="G8" i="117"/>
  <c r="I8" i="117"/>
  <c r="M8" i="117"/>
  <c r="D9" i="117"/>
  <c r="F9" i="117"/>
  <c r="J9" i="117"/>
  <c r="L9" i="117"/>
  <c r="P9" i="117"/>
  <c r="G10" i="117"/>
  <c r="M10" i="117"/>
  <c r="O10" i="117"/>
  <c r="B11" i="117"/>
  <c r="H11" i="117"/>
  <c r="N11" i="117"/>
  <c r="C12" i="117"/>
  <c r="G12" i="117"/>
  <c r="I12" i="117"/>
  <c r="O12" i="117"/>
  <c r="G13" i="117"/>
  <c r="I13" i="117"/>
  <c r="O13" i="117"/>
  <c r="I14" i="117"/>
  <c r="O14" i="117"/>
  <c r="I15" i="117"/>
  <c r="O15" i="117"/>
  <c r="G7" i="117"/>
  <c r="M7" i="117"/>
  <c r="L12" i="117"/>
  <c r="L13" i="117"/>
  <c r="F14" i="117"/>
  <c r="L14" i="117"/>
  <c r="O11" i="117" l="1"/>
  <c r="P11" i="117"/>
  <c r="C11" i="117"/>
  <c r="D11" i="117"/>
  <c r="I11" i="117"/>
  <c r="J11" i="117"/>
  <c r="K23" i="116" l="1"/>
  <c r="J23" i="116"/>
  <c r="I23" i="116"/>
  <c r="E23" i="116"/>
  <c r="K22" i="116"/>
  <c r="K21" i="116"/>
  <c r="K20" i="116"/>
  <c r="K17" i="116"/>
  <c r="K16" i="116"/>
  <c r="K15" i="116"/>
  <c r="P14" i="116"/>
  <c r="N14" i="116"/>
  <c r="L14" i="116"/>
  <c r="G14" i="116"/>
  <c r="F14" i="116"/>
  <c r="D14" i="116"/>
  <c r="E14" i="116" s="1"/>
  <c r="N13" i="116"/>
  <c r="G13" i="116"/>
  <c r="F13" i="116"/>
  <c r="D13" i="116"/>
  <c r="E13" i="116" s="1"/>
  <c r="N12" i="116"/>
  <c r="L13" i="116" s="1"/>
  <c r="L12" i="116"/>
  <c r="P11" i="116"/>
  <c r="N11" i="116" s="1"/>
  <c r="P7" i="116"/>
  <c r="N7" i="116" s="1"/>
  <c r="N6" i="116"/>
  <c r="B6" i="116" s="1"/>
  <c r="F6" i="116"/>
  <c r="K23" i="115"/>
  <c r="J23" i="115"/>
  <c r="I23" i="115"/>
  <c r="E23" i="115"/>
  <c r="K22" i="115"/>
  <c r="K21" i="115"/>
  <c r="K20" i="115"/>
  <c r="K17" i="115"/>
  <c r="K16" i="115"/>
  <c r="K15" i="115"/>
  <c r="P14" i="115"/>
  <c r="N14" i="115" s="1"/>
  <c r="N13" i="115"/>
  <c r="F13" i="115" s="1"/>
  <c r="N12" i="115"/>
  <c r="F12" i="115" s="1"/>
  <c r="P11" i="115"/>
  <c r="N11" i="115" s="1"/>
  <c r="P7" i="115"/>
  <c r="N7" i="115" s="1"/>
  <c r="L7" i="115" s="1"/>
  <c r="N6" i="115"/>
  <c r="G6" i="115" s="1"/>
  <c r="K23" i="114"/>
  <c r="J23" i="114"/>
  <c r="I23" i="114"/>
  <c r="E23" i="114"/>
  <c r="K22" i="114"/>
  <c r="K21" i="114"/>
  <c r="K20" i="114"/>
  <c r="K17" i="114"/>
  <c r="K16" i="114"/>
  <c r="K15" i="114"/>
  <c r="P14" i="114"/>
  <c r="N14" i="114" s="1"/>
  <c r="N13" i="114"/>
  <c r="F13" i="114" s="1"/>
  <c r="N12" i="114"/>
  <c r="L13" i="114" s="1"/>
  <c r="P11" i="114"/>
  <c r="N11" i="114" s="1"/>
  <c r="P7" i="114"/>
  <c r="N7" i="114" s="1"/>
  <c r="N6" i="114"/>
  <c r="B6" i="114" s="1"/>
  <c r="G6" i="114"/>
  <c r="K23" i="113"/>
  <c r="J23" i="113"/>
  <c r="I23" i="113"/>
  <c r="E23" i="113"/>
  <c r="K22" i="113"/>
  <c r="K21" i="113"/>
  <c r="K20" i="113"/>
  <c r="K17" i="113"/>
  <c r="K16" i="113"/>
  <c r="K15" i="113"/>
  <c r="P14" i="113"/>
  <c r="N14" i="113" s="1"/>
  <c r="N13" i="113"/>
  <c r="F13" i="113" s="1"/>
  <c r="N12" i="113"/>
  <c r="L13" i="113" s="1"/>
  <c r="P11" i="113"/>
  <c r="N11" i="113" s="1"/>
  <c r="P7" i="113"/>
  <c r="N7" i="113" s="1"/>
  <c r="N6" i="113"/>
  <c r="L6" i="113" s="1"/>
  <c r="K23" i="112"/>
  <c r="J23" i="112"/>
  <c r="I23" i="112"/>
  <c r="E23" i="112"/>
  <c r="K22" i="112"/>
  <c r="K21" i="112"/>
  <c r="K20" i="112"/>
  <c r="K17" i="112"/>
  <c r="K16" i="112"/>
  <c r="K15" i="112"/>
  <c r="P14" i="112"/>
  <c r="N14" i="112" s="1"/>
  <c r="F14" i="112" s="1"/>
  <c r="N13" i="112"/>
  <c r="F13" i="112" s="1"/>
  <c r="N12" i="112"/>
  <c r="F12" i="112" s="1"/>
  <c r="P11" i="112"/>
  <c r="N11" i="112" s="1"/>
  <c r="P7" i="112"/>
  <c r="N7" i="112" s="1"/>
  <c r="N6" i="112"/>
  <c r="L6" i="112" s="1"/>
  <c r="K23" i="111"/>
  <c r="J23" i="111"/>
  <c r="I23" i="111"/>
  <c r="E23" i="111"/>
  <c r="K22" i="111"/>
  <c r="K21" i="111"/>
  <c r="K20" i="111"/>
  <c r="K17" i="111"/>
  <c r="K16" i="111"/>
  <c r="K15" i="111"/>
  <c r="P14" i="111"/>
  <c r="N14" i="111" s="1"/>
  <c r="N13" i="111"/>
  <c r="F13" i="111" s="1"/>
  <c r="N12" i="111"/>
  <c r="F12" i="111" s="1"/>
  <c r="P11" i="111"/>
  <c r="N11" i="111" s="1"/>
  <c r="P7" i="111"/>
  <c r="N7" i="111" s="1"/>
  <c r="N6" i="111"/>
  <c r="D6" i="111" s="1"/>
  <c r="K23" i="110"/>
  <c r="J23" i="110"/>
  <c r="I23" i="110"/>
  <c r="E23" i="110"/>
  <c r="K22" i="110"/>
  <c r="K21" i="110"/>
  <c r="K20" i="110"/>
  <c r="K17" i="110"/>
  <c r="K16" i="110"/>
  <c r="K15" i="110"/>
  <c r="P14" i="110"/>
  <c r="N14" i="110" s="1"/>
  <c r="F14" i="110" s="1"/>
  <c r="N13" i="110"/>
  <c r="F13" i="110" s="1"/>
  <c r="N12" i="110"/>
  <c r="F12" i="110" s="1"/>
  <c r="G12" i="110"/>
  <c r="P11" i="110"/>
  <c r="N11" i="110" s="1"/>
  <c r="P7" i="110"/>
  <c r="N7" i="110" s="1"/>
  <c r="N6" i="110"/>
  <c r="D6" i="110" s="1"/>
  <c r="F6" i="110"/>
  <c r="K23" i="109"/>
  <c r="J23" i="109"/>
  <c r="I23" i="109"/>
  <c r="E23" i="109"/>
  <c r="K22" i="109"/>
  <c r="K21" i="109"/>
  <c r="K20" i="109"/>
  <c r="K17" i="109"/>
  <c r="K16" i="109"/>
  <c r="K15" i="109"/>
  <c r="P14" i="109"/>
  <c r="N14" i="109" s="1"/>
  <c r="N13" i="109"/>
  <c r="G13" i="109" s="1"/>
  <c r="N12" i="109"/>
  <c r="L13" i="109" s="1"/>
  <c r="P11" i="109"/>
  <c r="N11" i="109" s="1"/>
  <c r="P7" i="109"/>
  <c r="N7" i="109" s="1"/>
  <c r="N6" i="109"/>
  <c r="G6" i="109" s="1"/>
  <c r="K23" i="108"/>
  <c r="J23" i="108"/>
  <c r="I23" i="108"/>
  <c r="E23" i="108"/>
  <c r="K22" i="108"/>
  <c r="K21" i="108"/>
  <c r="K20" i="108"/>
  <c r="K17" i="108"/>
  <c r="K16" i="108"/>
  <c r="K15" i="108"/>
  <c r="P14" i="108"/>
  <c r="N14" i="108" s="1"/>
  <c r="N13" i="108"/>
  <c r="F13" i="108" s="1"/>
  <c r="D13" i="108"/>
  <c r="E13" i="108" s="1"/>
  <c r="N12" i="108"/>
  <c r="L13" i="108" s="1"/>
  <c r="P11" i="108"/>
  <c r="N11" i="108" s="1"/>
  <c r="P7" i="108"/>
  <c r="N7" i="108" s="1"/>
  <c r="N6" i="108"/>
  <c r="G6" i="108" s="1"/>
  <c r="K23" i="107"/>
  <c r="J23" i="107"/>
  <c r="I23" i="107"/>
  <c r="E23" i="107"/>
  <c r="K22" i="107"/>
  <c r="K21" i="107"/>
  <c r="K20" i="107"/>
  <c r="K17" i="107"/>
  <c r="K16" i="107"/>
  <c r="K15" i="107"/>
  <c r="P14" i="107"/>
  <c r="N14" i="107" s="1"/>
  <c r="N13" i="107"/>
  <c r="D13" i="107" s="1"/>
  <c r="E13" i="107" s="1"/>
  <c r="N12" i="107"/>
  <c r="L13" i="107" s="1"/>
  <c r="P11" i="107"/>
  <c r="N11" i="107" s="1"/>
  <c r="P7" i="107"/>
  <c r="N7" i="107" s="1"/>
  <c r="N6" i="107"/>
  <c r="B6" i="107" s="1"/>
  <c r="L6" i="107"/>
  <c r="G6" i="107"/>
  <c r="K23" i="106"/>
  <c r="J23" i="106"/>
  <c r="I23" i="106"/>
  <c r="E23" i="106"/>
  <c r="K22" i="106"/>
  <c r="K21" i="106"/>
  <c r="K20" i="106"/>
  <c r="K17" i="106"/>
  <c r="K16" i="106"/>
  <c r="K15" i="106"/>
  <c r="P14" i="106"/>
  <c r="N14" i="106" s="1"/>
  <c r="N13" i="106"/>
  <c r="G13" i="106" s="1"/>
  <c r="N12" i="106"/>
  <c r="L13" i="106" s="1"/>
  <c r="L12" i="106"/>
  <c r="P11" i="106"/>
  <c r="N11" i="106" s="1"/>
  <c r="P7" i="106"/>
  <c r="N7" i="106" s="1"/>
  <c r="N6" i="106"/>
  <c r="L6" i="106" s="1"/>
  <c r="K23" i="105"/>
  <c r="J23" i="105"/>
  <c r="I23" i="105"/>
  <c r="E23" i="105"/>
  <c r="K22" i="105"/>
  <c r="K21" i="105"/>
  <c r="K20" i="105"/>
  <c r="K17" i="105"/>
  <c r="K16" i="105"/>
  <c r="K15" i="105"/>
  <c r="P14" i="105"/>
  <c r="N14" i="105"/>
  <c r="F14" i="105" s="1"/>
  <c r="N13" i="105"/>
  <c r="F13" i="105" s="1"/>
  <c r="N12" i="105"/>
  <c r="F12" i="105" s="1"/>
  <c r="P11" i="105"/>
  <c r="N11" i="105" s="1"/>
  <c r="P7" i="105"/>
  <c r="N7" i="105" s="1"/>
  <c r="N6" i="105"/>
  <c r="L6" i="105" s="1"/>
  <c r="D6" i="105"/>
  <c r="B6" i="105"/>
  <c r="K23" i="104"/>
  <c r="J23" i="104"/>
  <c r="I23" i="104"/>
  <c r="E23" i="104"/>
  <c r="K22" i="104"/>
  <c r="K21" i="104"/>
  <c r="K20" i="104"/>
  <c r="K17" i="104"/>
  <c r="K16" i="104"/>
  <c r="K15" i="104"/>
  <c r="P14" i="104"/>
  <c r="N14" i="104" s="1"/>
  <c r="N13" i="104"/>
  <c r="F13" i="104" s="1"/>
  <c r="N12" i="104"/>
  <c r="F12" i="104" s="1"/>
  <c r="P11" i="104"/>
  <c r="N11" i="104" s="1"/>
  <c r="P7" i="104"/>
  <c r="N7" i="104" s="1"/>
  <c r="N6" i="104"/>
  <c r="F6" i="104" s="1"/>
  <c r="G6" i="104"/>
  <c r="K23" i="103"/>
  <c r="J23" i="103"/>
  <c r="I23" i="103"/>
  <c r="E23" i="103"/>
  <c r="K22" i="103"/>
  <c r="K21" i="103"/>
  <c r="K20" i="103"/>
  <c r="K17" i="103"/>
  <c r="K16" i="103"/>
  <c r="K15" i="103"/>
  <c r="P14" i="103"/>
  <c r="N14" i="103"/>
  <c r="D14" i="103" s="1"/>
  <c r="E14" i="103" s="1"/>
  <c r="N13" i="103"/>
  <c r="F13" i="103" s="1"/>
  <c r="N12" i="103"/>
  <c r="F12" i="103" s="1"/>
  <c r="P11" i="103"/>
  <c r="N11" i="103" s="1"/>
  <c r="P7" i="103"/>
  <c r="N7" i="103" s="1"/>
  <c r="N9" i="103" s="1"/>
  <c r="N6" i="103"/>
  <c r="G6" i="103" s="1"/>
  <c r="L6" i="103"/>
  <c r="K23" i="102"/>
  <c r="J23" i="102"/>
  <c r="I23" i="102"/>
  <c r="E23" i="102"/>
  <c r="K22" i="102"/>
  <c r="K21" i="102"/>
  <c r="K20" i="102"/>
  <c r="K17" i="102"/>
  <c r="K16" i="102"/>
  <c r="K15" i="102"/>
  <c r="P14" i="102"/>
  <c r="N14" i="102"/>
  <c r="F14" i="102" s="1"/>
  <c r="N13" i="102"/>
  <c r="D13" i="102" s="1"/>
  <c r="E13" i="102" s="1"/>
  <c r="N12" i="102"/>
  <c r="L13" i="102" s="1"/>
  <c r="F12" i="102"/>
  <c r="P11" i="102"/>
  <c r="N11" i="102" s="1"/>
  <c r="P7" i="102"/>
  <c r="N7" i="102"/>
  <c r="N9" i="102" s="1"/>
  <c r="L7" i="102"/>
  <c r="N6" i="102"/>
  <c r="F6" i="102" s="1"/>
  <c r="G6" i="102"/>
  <c r="K23" i="101"/>
  <c r="J23" i="101"/>
  <c r="I23" i="101"/>
  <c r="E23" i="101"/>
  <c r="K22" i="101"/>
  <c r="K21" i="101"/>
  <c r="K20" i="101"/>
  <c r="K17" i="101"/>
  <c r="K16" i="101"/>
  <c r="K15" i="101"/>
  <c r="P14" i="101"/>
  <c r="N14" i="101"/>
  <c r="D14" i="101" s="1"/>
  <c r="E14" i="101" s="1"/>
  <c r="F14" i="101"/>
  <c r="N13" i="101"/>
  <c r="G13" i="101"/>
  <c r="F13" i="101"/>
  <c r="D13" i="101"/>
  <c r="E13" i="101" s="1"/>
  <c r="N12" i="101"/>
  <c r="L13" i="101" s="1"/>
  <c r="P11" i="101"/>
  <c r="N11" i="101" s="1"/>
  <c r="P7" i="101"/>
  <c r="N7" i="101"/>
  <c r="N9" i="101" s="1"/>
  <c r="L7" i="101"/>
  <c r="D7" i="101"/>
  <c r="N6" i="101"/>
  <c r="G6" i="101" s="1"/>
  <c r="L6" i="101"/>
  <c r="K23" i="100"/>
  <c r="J23" i="100"/>
  <c r="I23" i="100"/>
  <c r="E23" i="100"/>
  <c r="K22" i="100"/>
  <c r="K21" i="100"/>
  <c r="K20" i="100"/>
  <c r="K17" i="100"/>
  <c r="K16" i="100"/>
  <c r="K15" i="100"/>
  <c r="P14" i="100"/>
  <c r="N14" i="100" s="1"/>
  <c r="N13" i="100"/>
  <c r="G13" i="100"/>
  <c r="F13" i="100"/>
  <c r="D13" i="100"/>
  <c r="E13" i="100" s="1"/>
  <c r="N12" i="100"/>
  <c r="L13" i="100" s="1"/>
  <c r="P11" i="100"/>
  <c r="N11" i="100" s="1"/>
  <c r="L11" i="100" s="1"/>
  <c r="P7" i="100"/>
  <c r="N7" i="100" s="1"/>
  <c r="N6" i="100"/>
  <c r="L6" i="100" s="1"/>
  <c r="K23" i="99"/>
  <c r="J23" i="99"/>
  <c r="I23" i="99"/>
  <c r="E23" i="99"/>
  <c r="K22" i="99"/>
  <c r="K21" i="99"/>
  <c r="K20" i="99"/>
  <c r="K17" i="99"/>
  <c r="K16" i="99"/>
  <c r="K15" i="99"/>
  <c r="P14" i="99"/>
  <c r="N14" i="99"/>
  <c r="L14" i="99" s="1"/>
  <c r="N13" i="99"/>
  <c r="F13" i="99" s="1"/>
  <c r="G13" i="99"/>
  <c r="N12" i="99"/>
  <c r="L13" i="99" s="1"/>
  <c r="P11" i="99"/>
  <c r="N11" i="99" s="1"/>
  <c r="P7" i="99"/>
  <c r="N7" i="99" s="1"/>
  <c r="N6" i="99"/>
  <c r="F6" i="99" s="1"/>
  <c r="L6" i="99"/>
  <c r="G6" i="99"/>
  <c r="K23" i="98"/>
  <c r="J23" i="98"/>
  <c r="I23" i="98"/>
  <c r="E23" i="98"/>
  <c r="K22" i="98"/>
  <c r="K21" i="98"/>
  <c r="K20" i="98"/>
  <c r="K17" i="98"/>
  <c r="K16" i="98"/>
  <c r="K15" i="98"/>
  <c r="P14" i="98"/>
  <c r="N14" i="98"/>
  <c r="L14" i="98" s="1"/>
  <c r="N13" i="98"/>
  <c r="F13" i="98" s="1"/>
  <c r="G13" i="98"/>
  <c r="N12" i="98"/>
  <c r="L13" i="98" s="1"/>
  <c r="P11" i="98"/>
  <c r="N11" i="98" s="1"/>
  <c r="P7" i="98"/>
  <c r="N7" i="98" s="1"/>
  <c r="N6" i="98"/>
  <c r="L6" i="98" s="1"/>
  <c r="K23" i="97"/>
  <c r="J23" i="97"/>
  <c r="I23" i="97"/>
  <c r="E23" i="97"/>
  <c r="K22" i="97"/>
  <c r="K21" i="97"/>
  <c r="K20" i="97"/>
  <c r="K17" i="97"/>
  <c r="K16" i="97"/>
  <c r="K15" i="97"/>
  <c r="P14" i="97"/>
  <c r="N14" i="97"/>
  <c r="F14" i="97" s="1"/>
  <c r="N13" i="97"/>
  <c r="F13" i="97" s="1"/>
  <c r="G13" i="97"/>
  <c r="N12" i="97"/>
  <c r="F12" i="97" s="1"/>
  <c r="P11" i="97"/>
  <c r="N11" i="97" s="1"/>
  <c r="P7" i="97"/>
  <c r="N7" i="97" s="1"/>
  <c r="N6" i="97"/>
  <c r="F6" i="97" s="1"/>
  <c r="L6" i="97"/>
  <c r="G6" i="97"/>
  <c r="K23" i="96"/>
  <c r="J23" i="96"/>
  <c r="I23" i="96"/>
  <c r="E23" i="96"/>
  <c r="K22" i="96"/>
  <c r="K21" i="96"/>
  <c r="K20" i="96"/>
  <c r="K17" i="96"/>
  <c r="K16" i="96"/>
  <c r="K15" i="96"/>
  <c r="P14" i="96"/>
  <c r="N14" i="96" s="1"/>
  <c r="N13" i="96"/>
  <c r="F13" i="96" s="1"/>
  <c r="N12" i="96"/>
  <c r="F12" i="96" s="1"/>
  <c r="P11" i="96"/>
  <c r="N11" i="96" s="1"/>
  <c r="P7" i="96"/>
  <c r="N7" i="96" s="1"/>
  <c r="N9" i="96" s="1"/>
  <c r="N6" i="96"/>
  <c r="D6" i="96" s="1"/>
  <c r="L6" i="96"/>
  <c r="G6" i="96"/>
  <c r="F6" i="96"/>
  <c r="K23" i="95"/>
  <c r="J23" i="95"/>
  <c r="I23" i="95"/>
  <c r="E23" i="95"/>
  <c r="K22" i="95"/>
  <c r="K21" i="95"/>
  <c r="K20" i="95"/>
  <c r="K17" i="95"/>
  <c r="K16" i="95"/>
  <c r="K15" i="95"/>
  <c r="P14" i="95"/>
  <c r="N14" i="95"/>
  <c r="G14" i="95" s="1"/>
  <c r="L14" i="95"/>
  <c r="N13" i="95"/>
  <c r="F13" i="95" s="1"/>
  <c r="G13" i="95"/>
  <c r="N12" i="95"/>
  <c r="F12" i="95" s="1"/>
  <c r="P11" i="95"/>
  <c r="N11" i="95" s="1"/>
  <c r="P7" i="95"/>
  <c r="N7" i="95"/>
  <c r="N9" i="95" s="1"/>
  <c r="N6" i="95"/>
  <c r="D6" i="95" s="1"/>
  <c r="F6" i="95"/>
  <c r="N9" i="104" l="1"/>
  <c r="L7" i="104"/>
  <c r="B6" i="97"/>
  <c r="D6" i="97"/>
  <c r="E6" i="97" s="1"/>
  <c r="D6" i="107"/>
  <c r="K6" i="107" s="1"/>
  <c r="D6" i="114"/>
  <c r="L7" i="95"/>
  <c r="D6" i="101"/>
  <c r="F14" i="103"/>
  <c r="F6" i="107"/>
  <c r="F12" i="107"/>
  <c r="L12" i="109"/>
  <c r="F6" i="114"/>
  <c r="F12" i="114"/>
  <c r="J6" i="107"/>
  <c r="D6" i="108"/>
  <c r="G13" i="108"/>
  <c r="I13" i="108" s="1"/>
  <c r="D13" i="109"/>
  <c r="E13" i="109" s="1"/>
  <c r="L12" i="110"/>
  <c r="G12" i="112"/>
  <c r="L6" i="114"/>
  <c r="G13" i="114"/>
  <c r="I13" i="114" s="1"/>
  <c r="G13" i="115"/>
  <c r="H13" i="115" s="1"/>
  <c r="D13" i="103"/>
  <c r="E13" i="103" s="1"/>
  <c r="G6" i="105"/>
  <c r="L14" i="105"/>
  <c r="G13" i="110"/>
  <c r="G13" i="111"/>
  <c r="G13" i="112"/>
  <c r="I13" i="112" s="1"/>
  <c r="M14" i="116"/>
  <c r="N9" i="99"/>
  <c r="G7" i="99"/>
  <c r="L7" i="99"/>
  <c r="N9" i="105"/>
  <c r="D9" i="105" s="1"/>
  <c r="B7" i="105"/>
  <c r="C7" i="105" s="1"/>
  <c r="L7" i="105"/>
  <c r="F7" i="105"/>
  <c r="D7" i="105"/>
  <c r="G11" i="106"/>
  <c r="L11" i="106"/>
  <c r="N9" i="111"/>
  <c r="D9" i="111" s="1"/>
  <c r="L7" i="111"/>
  <c r="N9" i="97"/>
  <c r="D7" i="97"/>
  <c r="F7" i="97"/>
  <c r="L7" i="97"/>
  <c r="N10" i="114"/>
  <c r="L10" i="114" s="1"/>
  <c r="F7" i="114"/>
  <c r="D7" i="114"/>
  <c r="B7" i="114"/>
  <c r="C7" i="114" s="1"/>
  <c r="G7" i="114"/>
  <c r="K7" i="114" s="1"/>
  <c r="L7" i="114"/>
  <c r="M6" i="105"/>
  <c r="G14" i="101"/>
  <c r="K14" i="101" s="1"/>
  <c r="G14" i="102"/>
  <c r="I14" i="102" s="1"/>
  <c r="G12" i="105"/>
  <c r="I12" i="105" s="1"/>
  <c r="M6" i="107"/>
  <c r="G6" i="110"/>
  <c r="G14" i="110"/>
  <c r="H14" i="110" s="1"/>
  <c r="B6" i="112"/>
  <c r="M6" i="112" s="1"/>
  <c r="D13" i="113"/>
  <c r="E13" i="113" s="1"/>
  <c r="G12" i="114"/>
  <c r="I12" i="114" s="1"/>
  <c r="D12" i="116"/>
  <c r="E12" i="116" s="1"/>
  <c r="G6" i="95"/>
  <c r="H12" i="95" s="1"/>
  <c r="G12" i="102"/>
  <c r="K12" i="102" s="1"/>
  <c r="G14" i="103"/>
  <c r="G12" i="107"/>
  <c r="L6" i="95"/>
  <c r="D14" i="95"/>
  <c r="E14" i="95" s="1"/>
  <c r="J6" i="97"/>
  <c r="D14" i="98"/>
  <c r="E14" i="98" s="1"/>
  <c r="D12" i="99"/>
  <c r="E12" i="99" s="1"/>
  <c r="B6" i="101"/>
  <c r="J6" i="101" s="1"/>
  <c r="B7" i="101"/>
  <c r="M7" i="101" s="1"/>
  <c r="L14" i="101"/>
  <c r="M14" i="101" s="1"/>
  <c r="L12" i="102"/>
  <c r="M12" i="102" s="1"/>
  <c r="L14" i="102"/>
  <c r="L14" i="103"/>
  <c r="F6" i="105"/>
  <c r="L12" i="105"/>
  <c r="D13" i="106"/>
  <c r="E13" i="106" s="1"/>
  <c r="L12" i="107"/>
  <c r="M13" i="109"/>
  <c r="L6" i="110"/>
  <c r="L14" i="110"/>
  <c r="D6" i="112"/>
  <c r="L14" i="112"/>
  <c r="G13" i="113"/>
  <c r="I13" i="113" s="1"/>
  <c r="L12" i="114"/>
  <c r="M12" i="114" s="1"/>
  <c r="B7" i="115"/>
  <c r="M7" i="115" s="1"/>
  <c r="D6" i="116"/>
  <c r="B6" i="98"/>
  <c r="F14" i="98"/>
  <c r="B6" i="100"/>
  <c r="E6" i="100" s="1"/>
  <c r="E7" i="101"/>
  <c r="J6" i="105"/>
  <c r="F6" i="111"/>
  <c r="F6" i="112"/>
  <c r="B6" i="95"/>
  <c r="E6" i="95" s="1"/>
  <c r="D7" i="95"/>
  <c r="L12" i="95"/>
  <c r="F14" i="95"/>
  <c r="D13" i="96"/>
  <c r="E13" i="96" s="1"/>
  <c r="D6" i="98"/>
  <c r="D13" i="98"/>
  <c r="E13" i="98" s="1"/>
  <c r="G14" i="98"/>
  <c r="G12" i="99"/>
  <c r="K12" i="99" s="1"/>
  <c r="D6" i="100"/>
  <c r="M13" i="100"/>
  <c r="F6" i="101"/>
  <c r="F7" i="101"/>
  <c r="D12" i="101"/>
  <c r="E12" i="101" s="1"/>
  <c r="L6" i="102"/>
  <c r="D12" i="102"/>
  <c r="E12" i="102" s="1"/>
  <c r="F13" i="102"/>
  <c r="G13" i="103"/>
  <c r="L6" i="104"/>
  <c r="G13" i="105"/>
  <c r="I13" i="105" s="1"/>
  <c r="E6" i="107"/>
  <c r="F13" i="107"/>
  <c r="D12" i="108"/>
  <c r="K13" i="109"/>
  <c r="B6" i="110"/>
  <c r="G6" i="111"/>
  <c r="H14" i="111" s="1"/>
  <c r="G6" i="112"/>
  <c r="K6" i="112" s="1"/>
  <c r="L12" i="112"/>
  <c r="D13" i="114"/>
  <c r="E13" i="114" s="1"/>
  <c r="M14" i="95"/>
  <c r="M13" i="98"/>
  <c r="F12" i="99"/>
  <c r="K13" i="106"/>
  <c r="F7" i="95"/>
  <c r="L7" i="96"/>
  <c r="L12" i="97"/>
  <c r="F6" i="98"/>
  <c r="L12" i="99"/>
  <c r="M12" i="99" s="1"/>
  <c r="F6" i="100"/>
  <c r="G7" i="101"/>
  <c r="K7" i="101" s="1"/>
  <c r="F12" i="101"/>
  <c r="G13" i="102"/>
  <c r="G13" i="104"/>
  <c r="I13" i="104" s="1"/>
  <c r="D12" i="107"/>
  <c r="E12" i="107" s="1"/>
  <c r="G13" i="107"/>
  <c r="H13" i="107" s="1"/>
  <c r="F12" i="108"/>
  <c r="D14" i="110"/>
  <c r="E14" i="110" s="1"/>
  <c r="L6" i="111"/>
  <c r="D12" i="114"/>
  <c r="E12" i="114" s="1"/>
  <c r="K14" i="116"/>
  <c r="G11" i="108"/>
  <c r="I11" i="108" s="1"/>
  <c r="L11" i="108"/>
  <c r="F11" i="108"/>
  <c r="D11" i="108"/>
  <c r="B11" i="108"/>
  <c r="F14" i="115"/>
  <c r="L14" i="115"/>
  <c r="G14" i="115"/>
  <c r="I14" i="115" s="1"/>
  <c r="D14" i="106"/>
  <c r="E14" i="106" s="1"/>
  <c r="L14" i="106"/>
  <c r="M14" i="106" s="1"/>
  <c r="G14" i="106"/>
  <c r="K14" i="106" s="1"/>
  <c r="F14" i="106"/>
  <c r="L7" i="98"/>
  <c r="F7" i="98"/>
  <c r="D7" i="98"/>
  <c r="B7" i="98"/>
  <c r="C7" i="98" s="1"/>
  <c r="N9" i="100"/>
  <c r="F9" i="100" s="1"/>
  <c r="L7" i="100"/>
  <c r="M7" i="100" s="1"/>
  <c r="G7" i="100"/>
  <c r="I7" i="100" s="1"/>
  <c r="B7" i="100"/>
  <c r="F7" i="100"/>
  <c r="D7" i="100"/>
  <c r="F14" i="104"/>
  <c r="L14" i="104"/>
  <c r="G14" i="104"/>
  <c r="I14" i="104" s="1"/>
  <c r="N9" i="112"/>
  <c r="B7" i="112"/>
  <c r="D7" i="112"/>
  <c r="L7" i="112"/>
  <c r="F7" i="112"/>
  <c r="N9" i="110"/>
  <c r="G9" i="110" s="1"/>
  <c r="B7" i="110"/>
  <c r="D7" i="110"/>
  <c r="L7" i="110"/>
  <c r="F7" i="110"/>
  <c r="N10" i="113"/>
  <c r="B10" i="113" s="1"/>
  <c r="C10" i="113" s="1"/>
  <c r="L7" i="113"/>
  <c r="F7" i="113"/>
  <c r="D7" i="113"/>
  <c r="B7" i="113"/>
  <c r="B11" i="114"/>
  <c r="C11" i="114" s="1"/>
  <c r="D11" i="114"/>
  <c r="L11" i="114"/>
  <c r="G11" i="114"/>
  <c r="F11" i="114"/>
  <c r="F14" i="111"/>
  <c r="L14" i="111"/>
  <c r="G14" i="111"/>
  <c r="I14" i="111" s="1"/>
  <c r="B11" i="107"/>
  <c r="C11" i="107" s="1"/>
  <c r="L11" i="107"/>
  <c r="G11" i="107"/>
  <c r="D11" i="107"/>
  <c r="F11" i="107"/>
  <c r="D14" i="113"/>
  <c r="E14" i="113" s="1"/>
  <c r="L14" i="113"/>
  <c r="G14" i="113"/>
  <c r="I14" i="113" s="1"/>
  <c r="F14" i="113"/>
  <c r="L14" i="109"/>
  <c r="G14" i="109"/>
  <c r="I14" i="109" s="1"/>
  <c r="F14" i="109"/>
  <c r="D14" i="109"/>
  <c r="E14" i="109" s="1"/>
  <c r="N9" i="116"/>
  <c r="D7" i="116"/>
  <c r="B7" i="116"/>
  <c r="C7" i="116" s="1"/>
  <c r="F7" i="116"/>
  <c r="L7" i="116"/>
  <c r="D14" i="96"/>
  <c r="E14" i="96" s="1"/>
  <c r="F14" i="96"/>
  <c r="L14" i="96"/>
  <c r="G14" i="96"/>
  <c r="D12" i="98"/>
  <c r="E12" i="98" s="1"/>
  <c r="B11" i="100"/>
  <c r="K13" i="102"/>
  <c r="K14" i="103"/>
  <c r="B6" i="106"/>
  <c r="M6" i="106" s="1"/>
  <c r="B6" i="113"/>
  <c r="M6" i="113" s="1"/>
  <c r="D7" i="115"/>
  <c r="E7" i="115" s="1"/>
  <c r="G6" i="116"/>
  <c r="J6" i="116" s="1"/>
  <c r="F12" i="116"/>
  <c r="K13" i="116"/>
  <c r="D14" i="99"/>
  <c r="E14" i="99" s="1"/>
  <c r="D11" i="100"/>
  <c r="D12" i="100"/>
  <c r="E12" i="100" s="1"/>
  <c r="B6" i="103"/>
  <c r="M6" i="103" s="1"/>
  <c r="B7" i="103"/>
  <c r="K13" i="103"/>
  <c r="M14" i="103"/>
  <c r="D6" i="106"/>
  <c r="B11" i="106"/>
  <c r="J11" i="106" s="1"/>
  <c r="M14" i="110"/>
  <c r="D6" i="113"/>
  <c r="D12" i="113"/>
  <c r="E12" i="113" s="1"/>
  <c r="D6" i="115"/>
  <c r="L6" i="116"/>
  <c r="M6" i="116" s="1"/>
  <c r="G12" i="116"/>
  <c r="K12" i="116" s="1"/>
  <c r="B6" i="96"/>
  <c r="M6" i="96" s="1"/>
  <c r="B7" i="96"/>
  <c r="G13" i="96"/>
  <c r="K13" i="96" s="1"/>
  <c r="G6" i="98"/>
  <c r="J6" i="98" s="1"/>
  <c r="F12" i="98"/>
  <c r="B6" i="99"/>
  <c r="M6" i="99" s="1"/>
  <c r="B7" i="99"/>
  <c r="J7" i="99" s="1"/>
  <c r="F14" i="99"/>
  <c r="G6" i="100"/>
  <c r="F11" i="100"/>
  <c r="F12" i="100"/>
  <c r="K13" i="100"/>
  <c r="G12" i="101"/>
  <c r="K13" i="101"/>
  <c r="B6" i="102"/>
  <c r="B7" i="102"/>
  <c r="M7" i="102" s="1"/>
  <c r="M13" i="102"/>
  <c r="D14" i="102"/>
  <c r="E14" i="102" s="1"/>
  <c r="D6" i="103"/>
  <c r="D7" i="103"/>
  <c r="G12" i="103"/>
  <c r="B6" i="104"/>
  <c r="J6" i="104" s="1"/>
  <c r="B7" i="104"/>
  <c r="C7" i="104" s="1"/>
  <c r="F6" i="106"/>
  <c r="D11" i="106"/>
  <c r="K11" i="106" s="1"/>
  <c r="D12" i="106"/>
  <c r="E12" i="106" s="1"/>
  <c r="F13" i="106"/>
  <c r="F6" i="108"/>
  <c r="G12" i="108"/>
  <c r="I12" i="108" s="1"/>
  <c r="D6" i="109"/>
  <c r="K6" i="109" s="1"/>
  <c r="D12" i="109"/>
  <c r="E12" i="109" s="1"/>
  <c r="F13" i="109"/>
  <c r="B6" i="111"/>
  <c r="M6" i="111" s="1"/>
  <c r="B7" i="111"/>
  <c r="C7" i="111" s="1"/>
  <c r="F6" i="113"/>
  <c r="F6" i="115"/>
  <c r="F7" i="115"/>
  <c r="G12" i="115"/>
  <c r="M12" i="116"/>
  <c r="M6" i="95"/>
  <c r="B7" i="95"/>
  <c r="C7" i="95" s="1"/>
  <c r="D7" i="96"/>
  <c r="G12" i="96"/>
  <c r="M6" i="97"/>
  <c r="B7" i="97"/>
  <c r="C7" i="97" s="1"/>
  <c r="G14" i="97"/>
  <c r="I14" i="97" s="1"/>
  <c r="G12" i="98"/>
  <c r="K12" i="98" s="1"/>
  <c r="D6" i="99"/>
  <c r="K6" i="99" s="1"/>
  <c r="D7" i="99"/>
  <c r="D13" i="99"/>
  <c r="E13" i="99" s="1"/>
  <c r="G14" i="99"/>
  <c r="K14" i="99" s="1"/>
  <c r="G11" i="100"/>
  <c r="I11" i="100" s="1"/>
  <c r="G12" i="100"/>
  <c r="K12" i="100" s="1"/>
  <c r="M6" i="101"/>
  <c r="C7" i="101"/>
  <c r="L12" i="101"/>
  <c r="D6" i="102"/>
  <c r="D7" i="102"/>
  <c r="F6" i="103"/>
  <c r="F7" i="103"/>
  <c r="L12" i="103"/>
  <c r="D6" i="104"/>
  <c r="D7" i="104"/>
  <c r="G12" i="104"/>
  <c r="H12" i="104" s="1"/>
  <c r="G6" i="106"/>
  <c r="H11" i="106" s="1"/>
  <c r="F11" i="106"/>
  <c r="F12" i="106"/>
  <c r="M13" i="107"/>
  <c r="L6" i="108"/>
  <c r="L12" i="108"/>
  <c r="M12" i="108" s="1"/>
  <c r="F6" i="109"/>
  <c r="F12" i="109"/>
  <c r="D7" i="111"/>
  <c r="G12" i="111"/>
  <c r="G6" i="113"/>
  <c r="G12" i="113"/>
  <c r="I12" i="113" s="1"/>
  <c r="M6" i="114"/>
  <c r="M13" i="114"/>
  <c r="L6" i="115"/>
  <c r="G7" i="115"/>
  <c r="L12" i="115"/>
  <c r="M13" i="116"/>
  <c r="M6" i="98"/>
  <c r="G12" i="95"/>
  <c r="F7" i="96"/>
  <c r="L12" i="96"/>
  <c r="G12" i="97"/>
  <c r="H12" i="97" s="1"/>
  <c r="L14" i="97"/>
  <c r="L12" i="98"/>
  <c r="F7" i="99"/>
  <c r="L12" i="100"/>
  <c r="M13" i="101"/>
  <c r="F7" i="102"/>
  <c r="L7" i="103"/>
  <c r="F7" i="104"/>
  <c r="L12" i="104"/>
  <c r="G14" i="105"/>
  <c r="G12" i="106"/>
  <c r="M13" i="108"/>
  <c r="L6" i="109"/>
  <c r="G12" i="109"/>
  <c r="F7" i="111"/>
  <c r="L12" i="111"/>
  <c r="G14" i="112"/>
  <c r="H14" i="112" s="1"/>
  <c r="L12" i="113"/>
  <c r="M12" i="113" s="1"/>
  <c r="L9" i="96"/>
  <c r="F9" i="96"/>
  <c r="D9" i="96"/>
  <c r="B9" i="96"/>
  <c r="G9" i="96"/>
  <c r="L11" i="96"/>
  <c r="F11" i="96"/>
  <c r="D11" i="96"/>
  <c r="B11" i="96"/>
  <c r="C11" i="96" s="1"/>
  <c r="G11" i="96"/>
  <c r="L9" i="95"/>
  <c r="F9" i="95"/>
  <c r="D9" i="95"/>
  <c r="B9" i="95"/>
  <c r="C9" i="95" s="1"/>
  <c r="G9" i="95"/>
  <c r="L11" i="95"/>
  <c r="F11" i="95"/>
  <c r="D11" i="95"/>
  <c r="B11" i="95"/>
  <c r="G11" i="95"/>
  <c r="L9" i="97"/>
  <c r="F9" i="97"/>
  <c r="D9" i="97"/>
  <c r="B9" i="97"/>
  <c r="C9" i="97" s="1"/>
  <c r="G9" i="97"/>
  <c r="L11" i="97"/>
  <c r="F11" i="97"/>
  <c r="D11" i="97"/>
  <c r="B11" i="97"/>
  <c r="C11" i="97" s="1"/>
  <c r="G11" i="97"/>
  <c r="N8" i="95"/>
  <c r="N10" i="95"/>
  <c r="I12" i="95"/>
  <c r="I13" i="95"/>
  <c r="L13" i="95"/>
  <c r="I14" i="95"/>
  <c r="K6" i="96"/>
  <c r="N8" i="96"/>
  <c r="N10" i="96"/>
  <c r="I12" i="96"/>
  <c r="I13" i="96"/>
  <c r="L13" i="96"/>
  <c r="M13" i="96" s="1"/>
  <c r="I14" i="96"/>
  <c r="N8" i="97"/>
  <c r="N10" i="97"/>
  <c r="I12" i="97"/>
  <c r="I13" i="97"/>
  <c r="L13" i="97"/>
  <c r="E6" i="98"/>
  <c r="N9" i="98"/>
  <c r="N10" i="98"/>
  <c r="N8" i="98"/>
  <c r="L9" i="100"/>
  <c r="F14" i="100"/>
  <c r="D14" i="100"/>
  <c r="E14" i="100" s="1"/>
  <c r="L14" i="100"/>
  <c r="G14" i="100"/>
  <c r="L9" i="101"/>
  <c r="F9" i="101"/>
  <c r="D9" i="101"/>
  <c r="B9" i="101"/>
  <c r="C9" i="101" s="1"/>
  <c r="G9" i="101"/>
  <c r="L11" i="101"/>
  <c r="F11" i="101"/>
  <c r="D11" i="101"/>
  <c r="B11" i="101"/>
  <c r="C11" i="101" s="1"/>
  <c r="G11" i="101"/>
  <c r="L9" i="102"/>
  <c r="F9" i="102"/>
  <c r="D9" i="102"/>
  <c r="B9" i="102"/>
  <c r="C9" i="102" s="1"/>
  <c r="G9" i="102"/>
  <c r="L11" i="102"/>
  <c r="F11" i="102"/>
  <c r="D11" i="102"/>
  <c r="B11" i="102"/>
  <c r="G11" i="102"/>
  <c r="L9" i="104"/>
  <c r="F9" i="104"/>
  <c r="D9" i="104"/>
  <c r="B9" i="104"/>
  <c r="C9" i="104" s="1"/>
  <c r="G9" i="104"/>
  <c r="L11" i="104"/>
  <c r="F11" i="104"/>
  <c r="D11" i="104"/>
  <c r="B11" i="104"/>
  <c r="G11" i="104"/>
  <c r="L9" i="105"/>
  <c r="L11" i="105"/>
  <c r="F11" i="105"/>
  <c r="D11" i="105"/>
  <c r="B11" i="105"/>
  <c r="C11" i="105" s="1"/>
  <c r="G11" i="105"/>
  <c r="G7" i="95"/>
  <c r="D12" i="95"/>
  <c r="E12" i="95" s="1"/>
  <c r="D13" i="95"/>
  <c r="E13" i="95" s="1"/>
  <c r="G7" i="96"/>
  <c r="D12" i="96"/>
  <c r="E12" i="96" s="1"/>
  <c r="H12" i="96"/>
  <c r="H13" i="96"/>
  <c r="G7" i="97"/>
  <c r="D12" i="97"/>
  <c r="E12" i="97" s="1"/>
  <c r="D13" i="97"/>
  <c r="E13" i="97" s="1"/>
  <c r="H13" i="97"/>
  <c r="D14" i="97"/>
  <c r="E14" i="97" s="1"/>
  <c r="H14" i="97"/>
  <c r="G7" i="98"/>
  <c r="L11" i="98"/>
  <c r="F11" i="98"/>
  <c r="D11" i="98"/>
  <c r="B11" i="98"/>
  <c r="C11" i="98" s="1"/>
  <c r="G11" i="98"/>
  <c r="L9" i="99"/>
  <c r="F9" i="99"/>
  <c r="D9" i="99"/>
  <c r="B9" i="99"/>
  <c r="G9" i="99"/>
  <c r="L11" i="99"/>
  <c r="F11" i="99"/>
  <c r="D11" i="99"/>
  <c r="B11" i="99"/>
  <c r="G11" i="99"/>
  <c r="L9" i="103"/>
  <c r="M9" i="103" s="1"/>
  <c r="F9" i="103"/>
  <c r="D9" i="103"/>
  <c r="E9" i="103" s="1"/>
  <c r="B9" i="103"/>
  <c r="G9" i="103"/>
  <c r="L11" i="103"/>
  <c r="F11" i="103"/>
  <c r="D11" i="103"/>
  <c r="B11" i="103"/>
  <c r="G11" i="103"/>
  <c r="I13" i="98"/>
  <c r="E6" i="99"/>
  <c r="H7" i="99"/>
  <c r="N8" i="99"/>
  <c r="N10" i="99"/>
  <c r="I13" i="99"/>
  <c r="I14" i="99"/>
  <c r="K6" i="100"/>
  <c r="J7" i="100"/>
  <c r="N8" i="100"/>
  <c r="N10" i="100"/>
  <c r="I13" i="100"/>
  <c r="E6" i="101"/>
  <c r="K6" i="101"/>
  <c r="H7" i="101"/>
  <c r="J7" i="101"/>
  <c r="N8" i="101"/>
  <c r="N10" i="101"/>
  <c r="I13" i="101"/>
  <c r="I14" i="101"/>
  <c r="E6" i="102"/>
  <c r="K6" i="102"/>
  <c r="N8" i="102"/>
  <c r="N10" i="102"/>
  <c r="I13" i="102"/>
  <c r="N8" i="103"/>
  <c r="N10" i="103"/>
  <c r="I12" i="103"/>
  <c r="I13" i="103"/>
  <c r="L13" i="103"/>
  <c r="M13" i="103" s="1"/>
  <c r="I14" i="103"/>
  <c r="N8" i="104"/>
  <c r="N10" i="104"/>
  <c r="L13" i="104"/>
  <c r="E6" i="105"/>
  <c r="K6" i="105"/>
  <c r="N8" i="105"/>
  <c r="N10" i="105"/>
  <c r="L13" i="105"/>
  <c r="I14" i="105"/>
  <c r="N9" i="106"/>
  <c r="G7" i="106"/>
  <c r="N10" i="106"/>
  <c r="N8" i="106"/>
  <c r="L7" i="106"/>
  <c r="F7" i="106"/>
  <c r="D7" i="106"/>
  <c r="B7" i="106"/>
  <c r="F14" i="107"/>
  <c r="D14" i="107"/>
  <c r="E14" i="107" s="1"/>
  <c r="L14" i="107"/>
  <c r="G14" i="107"/>
  <c r="K6" i="108"/>
  <c r="H11" i="108"/>
  <c r="N10" i="109"/>
  <c r="N9" i="109"/>
  <c r="G7" i="109"/>
  <c r="N8" i="109"/>
  <c r="L7" i="109"/>
  <c r="F7" i="109"/>
  <c r="D7" i="109"/>
  <c r="B7" i="109"/>
  <c r="H13" i="98"/>
  <c r="I7" i="99"/>
  <c r="H13" i="99"/>
  <c r="H14" i="99"/>
  <c r="I7" i="101"/>
  <c r="H12" i="101"/>
  <c r="H13" i="101"/>
  <c r="H14" i="101"/>
  <c r="G7" i="102"/>
  <c r="H13" i="102"/>
  <c r="H14" i="102"/>
  <c r="G7" i="103"/>
  <c r="D12" i="103"/>
  <c r="E12" i="103" s="1"/>
  <c r="H12" i="103"/>
  <c r="H13" i="103"/>
  <c r="H14" i="103"/>
  <c r="G7" i="104"/>
  <c r="D12" i="104"/>
  <c r="E12" i="104" s="1"/>
  <c r="D13" i="104"/>
  <c r="E13" i="104" s="1"/>
  <c r="D14" i="104"/>
  <c r="E14" i="104" s="1"/>
  <c r="G7" i="105"/>
  <c r="D12" i="105"/>
  <c r="E12" i="105" s="1"/>
  <c r="D13" i="105"/>
  <c r="E13" i="105" s="1"/>
  <c r="D14" i="105"/>
  <c r="E14" i="105" s="1"/>
  <c r="H14" i="105"/>
  <c r="N9" i="107"/>
  <c r="G7" i="107"/>
  <c r="N10" i="107"/>
  <c r="N8" i="107"/>
  <c r="L7" i="107"/>
  <c r="F7" i="107"/>
  <c r="D7" i="107"/>
  <c r="B7" i="107"/>
  <c r="C7" i="107" s="1"/>
  <c r="N9" i="108"/>
  <c r="G7" i="108"/>
  <c r="N10" i="108"/>
  <c r="N8" i="108"/>
  <c r="L7" i="108"/>
  <c r="F7" i="108"/>
  <c r="D7" i="108"/>
  <c r="B7" i="108"/>
  <c r="F14" i="108"/>
  <c r="D14" i="108"/>
  <c r="E14" i="108" s="1"/>
  <c r="L14" i="108"/>
  <c r="G14" i="108"/>
  <c r="I11" i="106"/>
  <c r="I12" i="106"/>
  <c r="I13" i="106"/>
  <c r="I11" i="107"/>
  <c r="I12" i="107"/>
  <c r="B6" i="108"/>
  <c r="E6" i="108" s="1"/>
  <c r="E12" i="108"/>
  <c r="B6" i="109"/>
  <c r="E6" i="109" s="1"/>
  <c r="D9" i="110"/>
  <c r="L11" i="110"/>
  <c r="F11" i="110"/>
  <c r="D11" i="110"/>
  <c r="B11" i="110"/>
  <c r="G11" i="110"/>
  <c r="L11" i="111"/>
  <c r="F11" i="111"/>
  <c r="D11" i="111"/>
  <c r="B11" i="111"/>
  <c r="C11" i="111" s="1"/>
  <c r="G11" i="111"/>
  <c r="L9" i="112"/>
  <c r="F9" i="112"/>
  <c r="D9" i="112"/>
  <c r="B9" i="112"/>
  <c r="C9" i="112" s="1"/>
  <c r="G9" i="112"/>
  <c r="L11" i="112"/>
  <c r="F11" i="112"/>
  <c r="D11" i="112"/>
  <c r="B11" i="112"/>
  <c r="C11" i="112" s="1"/>
  <c r="G11" i="112"/>
  <c r="H11" i="107"/>
  <c r="H12" i="107"/>
  <c r="L11" i="109"/>
  <c r="F11" i="109"/>
  <c r="D11" i="109"/>
  <c r="B11" i="109"/>
  <c r="G11" i="109"/>
  <c r="I12" i="109"/>
  <c r="I13" i="109"/>
  <c r="K6" i="110"/>
  <c r="N8" i="110"/>
  <c r="N10" i="110"/>
  <c r="I12" i="110"/>
  <c r="I13" i="110"/>
  <c r="L13" i="110"/>
  <c r="I14" i="110"/>
  <c r="E6" i="111"/>
  <c r="N8" i="111"/>
  <c r="N10" i="111"/>
  <c r="I12" i="111"/>
  <c r="I13" i="111"/>
  <c r="L13" i="111"/>
  <c r="N8" i="112"/>
  <c r="N10" i="112"/>
  <c r="I12" i="112"/>
  <c r="L13" i="112"/>
  <c r="L10" i="113"/>
  <c r="F10" i="113"/>
  <c r="G11" i="113"/>
  <c r="L11" i="113"/>
  <c r="F11" i="113"/>
  <c r="D11" i="113"/>
  <c r="B11" i="113"/>
  <c r="B10" i="114"/>
  <c r="C10" i="114" s="1"/>
  <c r="L14" i="114"/>
  <c r="G14" i="114"/>
  <c r="F14" i="114"/>
  <c r="D14" i="114"/>
  <c r="E14" i="114" s="1"/>
  <c r="K6" i="115"/>
  <c r="H12" i="109"/>
  <c r="H13" i="109"/>
  <c r="G7" i="110"/>
  <c r="D12" i="110"/>
  <c r="E12" i="110" s="1"/>
  <c r="H12" i="110"/>
  <c r="D13" i="110"/>
  <c r="E13" i="110" s="1"/>
  <c r="H13" i="110"/>
  <c r="G7" i="111"/>
  <c r="D12" i="111"/>
  <c r="E12" i="111" s="1"/>
  <c r="D13" i="111"/>
  <c r="E13" i="111" s="1"/>
  <c r="H13" i="111"/>
  <c r="D14" i="111"/>
  <c r="E14" i="111" s="1"/>
  <c r="G7" i="112"/>
  <c r="D12" i="112"/>
  <c r="E12" i="112" s="1"/>
  <c r="D13" i="112"/>
  <c r="E13" i="112" s="1"/>
  <c r="H13" i="112"/>
  <c r="D14" i="112"/>
  <c r="E14" i="112" s="1"/>
  <c r="G7" i="113"/>
  <c r="N9" i="113"/>
  <c r="F12" i="113"/>
  <c r="H14" i="113"/>
  <c r="J6" i="114"/>
  <c r="N9" i="114"/>
  <c r="H11" i="114"/>
  <c r="H12" i="114"/>
  <c r="H13" i="114"/>
  <c r="K13" i="114"/>
  <c r="I7" i="115"/>
  <c r="N8" i="113"/>
  <c r="E6" i="114"/>
  <c r="K6" i="114"/>
  <c r="N8" i="114"/>
  <c r="I11" i="114"/>
  <c r="B6" i="115"/>
  <c r="C7" i="115" s="1"/>
  <c r="H7" i="115"/>
  <c r="J7" i="115"/>
  <c r="N9" i="115"/>
  <c r="N10" i="115"/>
  <c r="N8" i="115"/>
  <c r="L11" i="115"/>
  <c r="F11" i="115"/>
  <c r="D11" i="115"/>
  <c r="B11" i="115"/>
  <c r="G11" i="115"/>
  <c r="L9" i="116"/>
  <c r="F9" i="116"/>
  <c r="D9" i="116"/>
  <c r="B9" i="116"/>
  <c r="C9" i="116" s="1"/>
  <c r="G9" i="116"/>
  <c r="L11" i="116"/>
  <c r="M11" i="116" s="1"/>
  <c r="F11" i="116"/>
  <c r="D11" i="116"/>
  <c r="B11" i="116"/>
  <c r="C11" i="116" s="1"/>
  <c r="G11" i="116"/>
  <c r="I12" i="115"/>
  <c r="I13" i="115"/>
  <c r="L13" i="115"/>
  <c r="E6" i="116"/>
  <c r="N8" i="116"/>
  <c r="N10" i="116"/>
  <c r="I12" i="116"/>
  <c r="I13" i="116"/>
  <c r="I14" i="116"/>
  <c r="D12" i="115"/>
  <c r="E12" i="115" s="1"/>
  <c r="H12" i="115"/>
  <c r="D13" i="115"/>
  <c r="E13" i="115" s="1"/>
  <c r="D14" i="115"/>
  <c r="E14" i="115" s="1"/>
  <c r="H14" i="115"/>
  <c r="G7" i="116"/>
  <c r="H13" i="116"/>
  <c r="H14" i="116"/>
  <c r="D10" i="114" l="1"/>
  <c r="I13" i="107"/>
  <c r="K14" i="113"/>
  <c r="G10" i="114"/>
  <c r="J10" i="114" s="1"/>
  <c r="D10" i="113"/>
  <c r="E10" i="113" s="1"/>
  <c r="B9" i="110"/>
  <c r="H12" i="99"/>
  <c r="K11" i="108"/>
  <c r="I12" i="104"/>
  <c r="H13" i="95"/>
  <c r="F9" i="105"/>
  <c r="K13" i="108"/>
  <c r="M7" i="105"/>
  <c r="E11" i="110"/>
  <c r="E11" i="100"/>
  <c r="K14" i="98"/>
  <c r="E7" i="95"/>
  <c r="M12" i="107"/>
  <c r="H12" i="112"/>
  <c r="F10" i="114"/>
  <c r="E6" i="113"/>
  <c r="H13" i="108"/>
  <c r="L9" i="110"/>
  <c r="M9" i="110" s="1"/>
  <c r="K6" i="106"/>
  <c r="G9" i="105"/>
  <c r="C11" i="104"/>
  <c r="M11" i="95"/>
  <c r="J6" i="113"/>
  <c r="M6" i="102"/>
  <c r="K13" i="107"/>
  <c r="J6" i="111"/>
  <c r="J11" i="108"/>
  <c r="M6" i="110"/>
  <c r="F9" i="110"/>
  <c r="G10" i="113"/>
  <c r="K10" i="113" s="1"/>
  <c r="I14" i="112"/>
  <c r="K12" i="108"/>
  <c r="M11" i="111"/>
  <c r="M11" i="110"/>
  <c r="H14" i="104"/>
  <c r="B9" i="105"/>
  <c r="C9" i="105" s="1"/>
  <c r="K6" i="97"/>
  <c r="M9" i="97"/>
  <c r="E9" i="96"/>
  <c r="M12" i="100"/>
  <c r="K7" i="115"/>
  <c r="E6" i="104"/>
  <c r="M7" i="113"/>
  <c r="E7" i="100"/>
  <c r="E7" i="97"/>
  <c r="C11" i="113"/>
  <c r="K6" i="111"/>
  <c r="F9" i="111"/>
  <c r="I12" i="99"/>
  <c r="E6" i="103"/>
  <c r="K12" i="101"/>
  <c r="C7" i="103"/>
  <c r="H13" i="105"/>
  <c r="C9" i="110"/>
  <c r="I14" i="106"/>
  <c r="H13" i="104"/>
  <c r="H12" i="102"/>
  <c r="H12" i="100"/>
  <c r="I12" i="101"/>
  <c r="M11" i="104"/>
  <c r="G9" i="100"/>
  <c r="C11" i="95"/>
  <c r="J6" i="96"/>
  <c r="K13" i="98"/>
  <c r="M7" i="104"/>
  <c r="E7" i="113"/>
  <c r="C7" i="112"/>
  <c r="E7" i="98"/>
  <c r="H7" i="114"/>
  <c r="K14" i="110"/>
  <c r="E7" i="114"/>
  <c r="I14" i="98"/>
  <c r="E9" i="101"/>
  <c r="J6" i="95"/>
  <c r="I7" i="114"/>
  <c r="K12" i="113"/>
  <c r="E6" i="110"/>
  <c r="G9" i="111"/>
  <c r="C11" i="110"/>
  <c r="H12" i="105"/>
  <c r="H12" i="98"/>
  <c r="K6" i="103"/>
  <c r="I12" i="98"/>
  <c r="C11" i="99"/>
  <c r="E9" i="99"/>
  <c r="B9" i="100"/>
  <c r="C9" i="100" s="1"/>
  <c r="E11" i="95"/>
  <c r="M7" i="103"/>
  <c r="M6" i="115"/>
  <c r="H12" i="111"/>
  <c r="M12" i="101"/>
  <c r="M6" i="104"/>
  <c r="M6" i="100"/>
  <c r="K6" i="113"/>
  <c r="E6" i="106"/>
  <c r="K11" i="114"/>
  <c r="C7" i="110"/>
  <c r="C7" i="100"/>
  <c r="M13" i="113"/>
  <c r="J6" i="110"/>
  <c r="K14" i="95"/>
  <c r="E9" i="112"/>
  <c r="H13" i="113"/>
  <c r="E10" i="114"/>
  <c r="C11" i="109"/>
  <c r="K12" i="114"/>
  <c r="H12" i="113"/>
  <c r="H14" i="109"/>
  <c r="M10" i="114"/>
  <c r="B9" i="111"/>
  <c r="C9" i="111" s="1"/>
  <c r="C11" i="106"/>
  <c r="K11" i="100"/>
  <c r="C9" i="103"/>
  <c r="D9" i="100"/>
  <c r="E7" i="99"/>
  <c r="J6" i="100"/>
  <c r="K7" i="99"/>
  <c r="J6" i="112"/>
  <c r="C11" i="100"/>
  <c r="M14" i="113"/>
  <c r="M14" i="98"/>
  <c r="E7" i="105"/>
  <c r="K13" i="113"/>
  <c r="L9" i="111"/>
  <c r="M9" i="111" s="1"/>
  <c r="I12" i="102"/>
  <c r="K12" i="107"/>
  <c r="E6" i="112"/>
  <c r="H12" i="106"/>
  <c r="H12" i="108"/>
  <c r="C11" i="103"/>
  <c r="H14" i="95"/>
  <c r="K6" i="95"/>
  <c r="M14" i="100"/>
  <c r="J7" i="114"/>
  <c r="E7" i="96"/>
  <c r="E7" i="103"/>
  <c r="M7" i="97"/>
  <c r="M14" i="99"/>
  <c r="M13" i="106"/>
  <c r="M7" i="114"/>
  <c r="H12" i="116"/>
  <c r="C11" i="115"/>
  <c r="E11" i="113"/>
  <c r="H14" i="106"/>
  <c r="M9" i="112"/>
  <c r="C7" i="106"/>
  <c r="K6" i="104"/>
  <c r="M9" i="105"/>
  <c r="C11" i="102"/>
  <c r="E9" i="102"/>
  <c r="M9" i="101"/>
  <c r="E6" i="96"/>
  <c r="K12" i="109"/>
  <c r="E7" i="102"/>
  <c r="J11" i="100"/>
  <c r="E11" i="106"/>
  <c r="M13" i="99"/>
  <c r="M12" i="106"/>
  <c r="M14" i="102"/>
  <c r="M11" i="106"/>
  <c r="M7" i="116"/>
  <c r="M11" i="114"/>
  <c r="E11" i="108"/>
  <c r="M7" i="111"/>
  <c r="K6" i="116"/>
  <c r="H13" i="106"/>
  <c r="H13" i="100"/>
  <c r="M9" i="99"/>
  <c r="K6" i="98"/>
  <c r="M9" i="96"/>
  <c r="M12" i="98"/>
  <c r="E7" i="104"/>
  <c r="J6" i="102"/>
  <c r="C7" i="99"/>
  <c r="C7" i="96"/>
  <c r="K14" i="102"/>
  <c r="J6" i="99"/>
  <c r="K14" i="109"/>
  <c r="E11" i="114"/>
  <c r="K7" i="100"/>
  <c r="M7" i="98"/>
  <c r="J6" i="103"/>
  <c r="M10" i="113"/>
  <c r="K14" i="96"/>
  <c r="M14" i="109"/>
  <c r="E11" i="107"/>
  <c r="M11" i="108"/>
  <c r="M9" i="102"/>
  <c r="K13" i="99"/>
  <c r="E11" i="116"/>
  <c r="J11" i="114"/>
  <c r="E11" i="111"/>
  <c r="K11" i="107"/>
  <c r="J6" i="106"/>
  <c r="H11" i="100"/>
  <c r="H14" i="98"/>
  <c r="I12" i="100"/>
  <c r="H7" i="100"/>
  <c r="H14" i="96"/>
  <c r="E11" i="104"/>
  <c r="E9" i="97"/>
  <c r="K12" i="106"/>
  <c r="E7" i="111"/>
  <c r="C7" i="102"/>
  <c r="M7" i="95"/>
  <c r="M7" i="96"/>
  <c r="M7" i="99"/>
  <c r="M14" i="96"/>
  <c r="E7" i="116"/>
  <c r="J11" i="107"/>
  <c r="M11" i="100"/>
  <c r="C7" i="113"/>
  <c r="M7" i="110"/>
  <c r="M7" i="112"/>
  <c r="M11" i="113"/>
  <c r="C9" i="99"/>
  <c r="C9" i="96"/>
  <c r="M12" i="109"/>
  <c r="M11" i="107"/>
  <c r="E7" i="110"/>
  <c r="E7" i="112"/>
  <c r="K7" i="116"/>
  <c r="I7" i="116"/>
  <c r="J7" i="116"/>
  <c r="H7" i="116"/>
  <c r="G10" i="116"/>
  <c r="L10" i="116"/>
  <c r="F10" i="116"/>
  <c r="D10" i="116"/>
  <c r="B10" i="116"/>
  <c r="C10" i="116" s="1"/>
  <c r="J11" i="116"/>
  <c r="H11" i="116"/>
  <c r="K11" i="116"/>
  <c r="I11" i="116"/>
  <c r="K14" i="115"/>
  <c r="M12" i="115"/>
  <c r="G8" i="115"/>
  <c r="L8" i="115"/>
  <c r="F8" i="115"/>
  <c r="B8" i="115"/>
  <c r="C8" i="115" s="1"/>
  <c r="D8" i="115"/>
  <c r="L9" i="115"/>
  <c r="F9" i="115"/>
  <c r="D9" i="115"/>
  <c r="B9" i="115"/>
  <c r="C9" i="115" s="1"/>
  <c r="G9" i="115"/>
  <c r="L8" i="113"/>
  <c r="F8" i="113"/>
  <c r="D8" i="113"/>
  <c r="B8" i="113"/>
  <c r="C8" i="113" s="1"/>
  <c r="G8" i="113"/>
  <c r="K12" i="115"/>
  <c r="G9" i="113"/>
  <c r="L9" i="113"/>
  <c r="F9" i="113"/>
  <c r="D9" i="113"/>
  <c r="B9" i="113"/>
  <c r="C9" i="113" s="1"/>
  <c r="K7" i="111"/>
  <c r="I7" i="111"/>
  <c r="J7" i="111"/>
  <c r="H7" i="111"/>
  <c r="K7" i="110"/>
  <c r="I7" i="110"/>
  <c r="J7" i="110"/>
  <c r="H7" i="110"/>
  <c r="J6" i="115"/>
  <c r="I14" i="114"/>
  <c r="K14" i="114"/>
  <c r="H14" i="114"/>
  <c r="I10" i="114"/>
  <c r="J10" i="113"/>
  <c r="M13" i="112"/>
  <c r="G8" i="112"/>
  <c r="L8" i="112"/>
  <c r="F8" i="112"/>
  <c r="D8" i="112"/>
  <c r="B8" i="112"/>
  <c r="C8" i="112" s="1"/>
  <c r="M13" i="111"/>
  <c r="G8" i="111"/>
  <c r="L8" i="111"/>
  <c r="F8" i="111"/>
  <c r="D8" i="111"/>
  <c r="B8" i="111"/>
  <c r="C8" i="111" s="1"/>
  <c r="M13" i="110"/>
  <c r="G8" i="110"/>
  <c r="L8" i="110"/>
  <c r="F8" i="110"/>
  <c r="D8" i="110"/>
  <c r="B8" i="110"/>
  <c r="C8" i="110" s="1"/>
  <c r="M14" i="112"/>
  <c r="M14" i="111"/>
  <c r="K12" i="110"/>
  <c r="K14" i="112"/>
  <c r="M12" i="112"/>
  <c r="J9" i="112"/>
  <c r="H9" i="112"/>
  <c r="K9" i="112"/>
  <c r="I9" i="112"/>
  <c r="K13" i="111"/>
  <c r="J11" i="111"/>
  <c r="H11" i="111"/>
  <c r="K11" i="111"/>
  <c r="I11" i="111"/>
  <c r="K13" i="110"/>
  <c r="J11" i="110"/>
  <c r="H11" i="110"/>
  <c r="K11" i="110"/>
  <c r="I11" i="110"/>
  <c r="K14" i="108"/>
  <c r="H14" i="108"/>
  <c r="I14" i="108"/>
  <c r="C7" i="108"/>
  <c r="G8" i="108"/>
  <c r="L8" i="108"/>
  <c r="F8" i="108"/>
  <c r="D8" i="108"/>
  <c r="B8" i="108"/>
  <c r="C8" i="108" s="1"/>
  <c r="K7" i="108"/>
  <c r="I7" i="108"/>
  <c r="J7" i="108"/>
  <c r="H7" i="108"/>
  <c r="M6" i="108"/>
  <c r="G8" i="107"/>
  <c r="L8" i="107"/>
  <c r="F8" i="107"/>
  <c r="D8" i="107"/>
  <c r="B8" i="107"/>
  <c r="C8" i="107" s="1"/>
  <c r="K7" i="107"/>
  <c r="I7" i="107"/>
  <c r="J7" i="107"/>
  <c r="H7" i="107"/>
  <c r="K7" i="105"/>
  <c r="I7" i="105"/>
  <c r="J7" i="105"/>
  <c r="H7" i="105"/>
  <c r="K7" i="103"/>
  <c r="I7" i="103"/>
  <c r="J7" i="103"/>
  <c r="H7" i="103"/>
  <c r="K7" i="102"/>
  <c r="I7" i="102"/>
  <c r="J7" i="102"/>
  <c r="H7" i="102"/>
  <c r="C7" i="109"/>
  <c r="G8" i="109"/>
  <c r="L8" i="109"/>
  <c r="F8" i="109"/>
  <c r="D8" i="109"/>
  <c r="B8" i="109"/>
  <c r="C8" i="109" s="1"/>
  <c r="L9" i="109"/>
  <c r="F9" i="109"/>
  <c r="D9" i="109"/>
  <c r="B9" i="109"/>
  <c r="C9" i="109" s="1"/>
  <c r="G9" i="109"/>
  <c r="M6" i="109"/>
  <c r="C11" i="108"/>
  <c r="J6" i="108"/>
  <c r="K14" i="107"/>
  <c r="H14" i="107"/>
  <c r="I14" i="107"/>
  <c r="G8" i="106"/>
  <c r="L8" i="106"/>
  <c r="F8" i="106"/>
  <c r="D8" i="106"/>
  <c r="B8" i="106"/>
  <c r="C8" i="106" s="1"/>
  <c r="K7" i="106"/>
  <c r="I7" i="106"/>
  <c r="J7" i="106"/>
  <c r="H7" i="106"/>
  <c r="G10" i="105"/>
  <c r="L10" i="105"/>
  <c r="F10" i="105"/>
  <c r="D10" i="105"/>
  <c r="B10" i="105"/>
  <c r="C10" i="105" s="1"/>
  <c r="G10" i="104"/>
  <c r="L10" i="104"/>
  <c r="F10" i="104"/>
  <c r="D10" i="104"/>
  <c r="B10" i="104"/>
  <c r="C10" i="104" s="1"/>
  <c r="G10" i="103"/>
  <c r="L10" i="103"/>
  <c r="F10" i="103"/>
  <c r="D10" i="103"/>
  <c r="B10" i="103"/>
  <c r="C10" i="103" s="1"/>
  <c r="G8" i="102"/>
  <c r="L8" i="102"/>
  <c r="F8" i="102"/>
  <c r="D8" i="102"/>
  <c r="B8" i="102"/>
  <c r="C8" i="102" s="1"/>
  <c r="G10" i="101"/>
  <c r="L10" i="101"/>
  <c r="F10" i="101"/>
  <c r="D10" i="101"/>
  <c r="B10" i="101"/>
  <c r="C10" i="101" s="1"/>
  <c r="G10" i="100"/>
  <c r="L10" i="100"/>
  <c r="F10" i="100"/>
  <c r="D10" i="100"/>
  <c r="B10" i="100"/>
  <c r="C10" i="100" s="1"/>
  <c r="G8" i="99"/>
  <c r="L8" i="99"/>
  <c r="F8" i="99"/>
  <c r="D8" i="99"/>
  <c r="B8" i="99"/>
  <c r="C8" i="99" s="1"/>
  <c r="M14" i="105"/>
  <c r="M14" i="104"/>
  <c r="M12" i="103"/>
  <c r="J9" i="103"/>
  <c r="H9" i="103"/>
  <c r="K9" i="103"/>
  <c r="I9" i="103"/>
  <c r="J9" i="99"/>
  <c r="H9" i="99"/>
  <c r="K9" i="99"/>
  <c r="I9" i="99"/>
  <c r="K7" i="98"/>
  <c r="I7" i="98"/>
  <c r="J7" i="98"/>
  <c r="H7" i="98"/>
  <c r="K7" i="96"/>
  <c r="I7" i="96"/>
  <c r="J7" i="96"/>
  <c r="H7" i="96"/>
  <c r="K7" i="95"/>
  <c r="I7" i="95"/>
  <c r="J7" i="95"/>
  <c r="H7" i="95"/>
  <c r="K14" i="105"/>
  <c r="M12" i="105"/>
  <c r="J9" i="105"/>
  <c r="H9" i="105"/>
  <c r="K9" i="105"/>
  <c r="I9" i="105"/>
  <c r="K13" i="104"/>
  <c r="J11" i="104"/>
  <c r="H11" i="104"/>
  <c r="K11" i="104"/>
  <c r="I11" i="104"/>
  <c r="K12" i="103"/>
  <c r="J9" i="102"/>
  <c r="H9" i="102"/>
  <c r="K9" i="102"/>
  <c r="I9" i="102"/>
  <c r="J9" i="101"/>
  <c r="H9" i="101"/>
  <c r="K9" i="101"/>
  <c r="I9" i="101"/>
  <c r="G8" i="98"/>
  <c r="L8" i="98"/>
  <c r="F8" i="98"/>
  <c r="D8" i="98"/>
  <c r="B8" i="98"/>
  <c r="C8" i="98" s="1"/>
  <c r="L9" i="98"/>
  <c r="F9" i="98"/>
  <c r="D9" i="98"/>
  <c r="B9" i="98"/>
  <c r="C9" i="98" s="1"/>
  <c r="G9" i="98"/>
  <c r="M13" i="97"/>
  <c r="G8" i="97"/>
  <c r="L8" i="97"/>
  <c r="F8" i="97"/>
  <c r="D8" i="97"/>
  <c r="B8" i="97"/>
  <c r="C8" i="97" s="1"/>
  <c r="G8" i="96"/>
  <c r="L8" i="96"/>
  <c r="F8" i="96"/>
  <c r="D8" i="96"/>
  <c r="B8" i="96"/>
  <c r="C8" i="96" s="1"/>
  <c r="M13" i="95"/>
  <c r="G8" i="95"/>
  <c r="L8" i="95"/>
  <c r="F8" i="95"/>
  <c r="D8" i="95"/>
  <c r="B8" i="95"/>
  <c r="C8" i="95" s="1"/>
  <c r="K14" i="97"/>
  <c r="M12" i="97"/>
  <c r="J9" i="97"/>
  <c r="H9" i="97"/>
  <c r="K9" i="97"/>
  <c r="I9" i="97"/>
  <c r="K13" i="95"/>
  <c r="J11" i="95"/>
  <c r="H11" i="95"/>
  <c r="K11" i="95"/>
  <c r="I11" i="95"/>
  <c r="M14" i="97"/>
  <c r="M12" i="96"/>
  <c r="J9" i="96"/>
  <c r="H9" i="96"/>
  <c r="K9" i="96"/>
  <c r="I9" i="96"/>
  <c r="G8" i="116"/>
  <c r="L8" i="116"/>
  <c r="F8" i="116"/>
  <c r="D8" i="116"/>
  <c r="B8" i="116"/>
  <c r="C8" i="116" s="1"/>
  <c r="M13" i="115"/>
  <c r="J9" i="116"/>
  <c r="H9" i="116"/>
  <c r="K9" i="116"/>
  <c r="I9" i="116"/>
  <c r="E9" i="116"/>
  <c r="M9" i="116"/>
  <c r="K13" i="115"/>
  <c r="J11" i="115"/>
  <c r="H11" i="115"/>
  <c r="K11" i="115"/>
  <c r="I11" i="115"/>
  <c r="E11" i="115"/>
  <c r="M11" i="115"/>
  <c r="G10" i="115"/>
  <c r="L10" i="115"/>
  <c r="F10" i="115"/>
  <c r="D10" i="115"/>
  <c r="B10" i="115"/>
  <c r="C10" i="115" s="1"/>
  <c r="L8" i="114"/>
  <c r="F8" i="114"/>
  <c r="D8" i="114"/>
  <c r="B8" i="114"/>
  <c r="C8" i="114" s="1"/>
  <c r="G8" i="114"/>
  <c r="M14" i="115"/>
  <c r="G9" i="114"/>
  <c r="L9" i="114"/>
  <c r="F9" i="114"/>
  <c r="D9" i="114"/>
  <c r="B9" i="114"/>
  <c r="C9" i="114" s="1"/>
  <c r="K7" i="113"/>
  <c r="I7" i="113"/>
  <c r="H7" i="113"/>
  <c r="J7" i="113"/>
  <c r="E6" i="115"/>
  <c r="K7" i="112"/>
  <c r="I7" i="112"/>
  <c r="J7" i="112"/>
  <c r="H7" i="112"/>
  <c r="M14" i="114"/>
  <c r="K11" i="113"/>
  <c r="I11" i="113"/>
  <c r="J11" i="113"/>
  <c r="H11" i="113"/>
  <c r="G10" i="112"/>
  <c r="L10" i="112"/>
  <c r="F10" i="112"/>
  <c r="D10" i="112"/>
  <c r="B10" i="112"/>
  <c r="C10" i="112" s="1"/>
  <c r="G10" i="111"/>
  <c r="L10" i="111"/>
  <c r="F10" i="111"/>
  <c r="D10" i="111"/>
  <c r="B10" i="111"/>
  <c r="C10" i="111" s="1"/>
  <c r="G10" i="110"/>
  <c r="L10" i="110"/>
  <c r="F10" i="110"/>
  <c r="D10" i="110"/>
  <c r="B10" i="110"/>
  <c r="C10" i="110" s="1"/>
  <c r="K12" i="112"/>
  <c r="K12" i="111"/>
  <c r="J11" i="109"/>
  <c r="H11" i="109"/>
  <c r="K11" i="109"/>
  <c r="I11" i="109"/>
  <c r="E11" i="109"/>
  <c r="M11" i="109"/>
  <c r="K13" i="112"/>
  <c r="J11" i="112"/>
  <c r="H11" i="112"/>
  <c r="K11" i="112"/>
  <c r="I11" i="112"/>
  <c r="E11" i="112"/>
  <c r="M11" i="112"/>
  <c r="K14" i="111"/>
  <c r="M12" i="111"/>
  <c r="J9" i="111"/>
  <c r="H9" i="111"/>
  <c r="K9" i="111"/>
  <c r="I9" i="111"/>
  <c r="E9" i="111"/>
  <c r="M12" i="110"/>
  <c r="J9" i="110"/>
  <c r="H9" i="110"/>
  <c r="K9" i="110"/>
  <c r="I9" i="110"/>
  <c r="E9" i="110"/>
  <c r="J6" i="109"/>
  <c r="M14" i="108"/>
  <c r="E7" i="108"/>
  <c r="M7" i="108"/>
  <c r="G10" i="108"/>
  <c r="L10" i="108"/>
  <c r="F10" i="108"/>
  <c r="D10" i="108"/>
  <c r="B10" i="108"/>
  <c r="C10" i="108" s="1"/>
  <c r="L9" i="108"/>
  <c r="F9" i="108"/>
  <c r="D9" i="108"/>
  <c r="B9" i="108"/>
  <c r="C9" i="108" s="1"/>
  <c r="G9" i="108"/>
  <c r="E7" i="107"/>
  <c r="M7" i="107"/>
  <c r="G10" i="107"/>
  <c r="L10" i="107"/>
  <c r="F10" i="107"/>
  <c r="D10" i="107"/>
  <c r="B10" i="107"/>
  <c r="C10" i="107" s="1"/>
  <c r="L9" i="107"/>
  <c r="F9" i="107"/>
  <c r="D9" i="107"/>
  <c r="B9" i="107"/>
  <c r="C9" i="107" s="1"/>
  <c r="G9" i="107"/>
  <c r="K7" i="104"/>
  <c r="I7" i="104"/>
  <c r="J7" i="104"/>
  <c r="H7" i="104"/>
  <c r="E7" i="109"/>
  <c r="M7" i="109"/>
  <c r="K7" i="109"/>
  <c r="I7" i="109"/>
  <c r="J7" i="109"/>
  <c r="H7" i="109"/>
  <c r="G10" i="109"/>
  <c r="L10" i="109"/>
  <c r="F10" i="109"/>
  <c r="D10" i="109"/>
  <c r="B10" i="109"/>
  <c r="C10" i="109" s="1"/>
  <c r="M14" i="107"/>
  <c r="E7" i="106"/>
  <c r="M7" i="106"/>
  <c r="G10" i="106"/>
  <c r="L10" i="106"/>
  <c r="F10" i="106"/>
  <c r="D10" i="106"/>
  <c r="B10" i="106"/>
  <c r="C10" i="106" s="1"/>
  <c r="L9" i="106"/>
  <c r="F9" i="106"/>
  <c r="D9" i="106"/>
  <c r="B9" i="106"/>
  <c r="C9" i="106" s="1"/>
  <c r="G9" i="106"/>
  <c r="M13" i="105"/>
  <c r="G8" i="105"/>
  <c r="L8" i="105"/>
  <c r="F8" i="105"/>
  <c r="D8" i="105"/>
  <c r="B8" i="105"/>
  <c r="C8" i="105" s="1"/>
  <c r="M13" i="104"/>
  <c r="G8" i="104"/>
  <c r="L8" i="104"/>
  <c r="F8" i="104"/>
  <c r="D8" i="104"/>
  <c r="B8" i="104"/>
  <c r="C8" i="104" s="1"/>
  <c r="G8" i="103"/>
  <c r="L8" i="103"/>
  <c r="F8" i="103"/>
  <c r="D8" i="103"/>
  <c r="B8" i="103"/>
  <c r="C8" i="103" s="1"/>
  <c r="G10" i="102"/>
  <c r="L10" i="102"/>
  <c r="F10" i="102"/>
  <c r="D10" i="102"/>
  <c r="B10" i="102"/>
  <c r="C10" i="102" s="1"/>
  <c r="G8" i="101"/>
  <c r="L8" i="101"/>
  <c r="F8" i="101"/>
  <c r="D8" i="101"/>
  <c r="B8" i="101"/>
  <c r="C8" i="101" s="1"/>
  <c r="G8" i="100"/>
  <c r="L8" i="100"/>
  <c r="F8" i="100"/>
  <c r="D8" i="100"/>
  <c r="B8" i="100"/>
  <c r="C8" i="100" s="1"/>
  <c r="G10" i="99"/>
  <c r="L10" i="99"/>
  <c r="F10" i="99"/>
  <c r="D10" i="99"/>
  <c r="B10" i="99"/>
  <c r="C10" i="99" s="1"/>
  <c r="K12" i="105"/>
  <c r="K12" i="104"/>
  <c r="J11" i="103"/>
  <c r="H11" i="103"/>
  <c r="K11" i="103"/>
  <c r="I11" i="103"/>
  <c r="E11" i="103"/>
  <c r="M11" i="103"/>
  <c r="J11" i="99"/>
  <c r="H11" i="99"/>
  <c r="K11" i="99"/>
  <c r="I11" i="99"/>
  <c r="E11" i="99"/>
  <c r="M11" i="99"/>
  <c r="J11" i="98"/>
  <c r="H11" i="98"/>
  <c r="K11" i="98"/>
  <c r="I11" i="98"/>
  <c r="E11" i="98"/>
  <c r="M11" i="98"/>
  <c r="K7" i="97"/>
  <c r="I7" i="97"/>
  <c r="J7" i="97"/>
  <c r="H7" i="97"/>
  <c r="K13" i="105"/>
  <c r="J11" i="105"/>
  <c r="H11" i="105"/>
  <c r="K11" i="105"/>
  <c r="I11" i="105"/>
  <c r="E11" i="105"/>
  <c r="M11" i="105"/>
  <c r="K14" i="104"/>
  <c r="M12" i="104"/>
  <c r="J9" i="104"/>
  <c r="H9" i="104"/>
  <c r="K9" i="104"/>
  <c r="I9" i="104"/>
  <c r="E9" i="104"/>
  <c r="M9" i="104"/>
  <c r="J11" i="102"/>
  <c r="H11" i="102"/>
  <c r="K11" i="102"/>
  <c r="I11" i="102"/>
  <c r="E11" i="102"/>
  <c r="M11" i="102"/>
  <c r="J11" i="101"/>
  <c r="H11" i="101"/>
  <c r="K11" i="101"/>
  <c r="I11" i="101"/>
  <c r="E11" i="101"/>
  <c r="M11" i="101"/>
  <c r="K14" i="100"/>
  <c r="H14" i="100"/>
  <c r="I14" i="100"/>
  <c r="J9" i="100"/>
  <c r="H9" i="100"/>
  <c r="K9" i="100"/>
  <c r="I9" i="100"/>
  <c r="E9" i="100"/>
  <c r="M9" i="100"/>
  <c r="G10" i="98"/>
  <c r="L10" i="98"/>
  <c r="F10" i="98"/>
  <c r="D10" i="98"/>
  <c r="B10" i="98"/>
  <c r="C10" i="98" s="1"/>
  <c r="G10" i="97"/>
  <c r="L10" i="97"/>
  <c r="F10" i="97"/>
  <c r="D10" i="97"/>
  <c r="B10" i="97"/>
  <c r="C10" i="97" s="1"/>
  <c r="G10" i="96"/>
  <c r="L10" i="96"/>
  <c r="F10" i="96"/>
  <c r="D10" i="96"/>
  <c r="B10" i="96"/>
  <c r="C10" i="96" s="1"/>
  <c r="G10" i="95"/>
  <c r="L10" i="95"/>
  <c r="F10" i="95"/>
  <c r="D10" i="95"/>
  <c r="B10" i="95"/>
  <c r="C10" i="95" s="1"/>
  <c r="K13" i="97"/>
  <c r="J11" i="97"/>
  <c r="H11" i="97"/>
  <c r="K11" i="97"/>
  <c r="I11" i="97"/>
  <c r="E11" i="97"/>
  <c r="M11" i="97"/>
  <c r="K12" i="96"/>
  <c r="M12" i="95"/>
  <c r="J9" i="95"/>
  <c r="H9" i="95"/>
  <c r="K9" i="95"/>
  <c r="I9" i="95"/>
  <c r="E9" i="95"/>
  <c r="M9" i="95"/>
  <c r="K12" i="97"/>
  <c r="J11" i="96"/>
  <c r="H11" i="96"/>
  <c r="K11" i="96"/>
  <c r="I11" i="96"/>
  <c r="E11" i="96"/>
  <c r="M11" i="96"/>
  <c r="K12" i="95"/>
  <c r="H10" i="113" l="1"/>
  <c r="E9" i="105"/>
  <c r="M8" i="100"/>
  <c r="M10" i="112"/>
  <c r="M10" i="115"/>
  <c r="M8" i="102"/>
  <c r="M8" i="106"/>
  <c r="M9" i="109"/>
  <c r="M8" i="108"/>
  <c r="K10" i="114"/>
  <c r="I10" i="113"/>
  <c r="H10" i="114"/>
  <c r="E8" i="113"/>
  <c r="E8" i="115"/>
  <c r="E10" i="116"/>
  <c r="E8" i="105"/>
  <c r="E10" i="96"/>
  <c r="M10" i="98"/>
  <c r="E10" i="102"/>
  <c r="M8" i="104"/>
  <c r="M8" i="105"/>
  <c r="M10" i="110"/>
  <c r="M8" i="114"/>
  <c r="E8" i="97"/>
  <c r="M10" i="100"/>
  <c r="E10" i="104"/>
  <c r="E8" i="109"/>
  <c r="M8" i="107"/>
  <c r="E8" i="110"/>
  <c r="E8" i="111"/>
  <c r="E8" i="112"/>
  <c r="M10" i="116"/>
  <c r="M10" i="96"/>
  <c r="E8" i="100"/>
  <c r="M10" i="102"/>
  <c r="E10" i="112"/>
  <c r="E10" i="115"/>
  <c r="M8" i="97"/>
  <c r="E8" i="102"/>
  <c r="M10" i="104"/>
  <c r="E8" i="106"/>
  <c r="E9" i="109"/>
  <c r="M8" i="109"/>
  <c r="E8" i="108"/>
  <c r="M8" i="110"/>
  <c r="M8" i="111"/>
  <c r="E9" i="113"/>
  <c r="E9" i="115"/>
  <c r="E10" i="98"/>
  <c r="E8" i="104"/>
  <c r="E10" i="110"/>
  <c r="E8" i="114"/>
  <c r="E10" i="100"/>
  <c r="E8" i="107"/>
  <c r="K10" i="95"/>
  <c r="I10" i="95"/>
  <c r="J10" i="95"/>
  <c r="H10" i="95"/>
  <c r="K10" i="97"/>
  <c r="I10" i="97"/>
  <c r="J10" i="97"/>
  <c r="H10" i="97"/>
  <c r="K10" i="99"/>
  <c r="I10" i="99"/>
  <c r="J10" i="99"/>
  <c r="H10" i="99"/>
  <c r="K8" i="101"/>
  <c r="I8" i="101"/>
  <c r="J8" i="101"/>
  <c r="H8" i="101"/>
  <c r="K8" i="103"/>
  <c r="I8" i="103"/>
  <c r="J8" i="103"/>
  <c r="H8" i="103"/>
  <c r="E10" i="95"/>
  <c r="M10" i="95"/>
  <c r="K10" i="96"/>
  <c r="I10" i="96"/>
  <c r="J10" i="96"/>
  <c r="H10" i="96"/>
  <c r="E10" i="97"/>
  <c r="M10" i="97"/>
  <c r="K10" i="98"/>
  <c r="I10" i="98"/>
  <c r="J10" i="98"/>
  <c r="H10" i="98"/>
  <c r="E10" i="99"/>
  <c r="M10" i="99"/>
  <c r="K8" i="100"/>
  <c r="I8" i="100"/>
  <c r="J8" i="100"/>
  <c r="H8" i="100"/>
  <c r="E8" i="101"/>
  <c r="M8" i="101"/>
  <c r="K10" i="102"/>
  <c r="I10" i="102"/>
  <c r="J10" i="102"/>
  <c r="H10" i="102"/>
  <c r="E8" i="103"/>
  <c r="M8" i="103"/>
  <c r="K8" i="104"/>
  <c r="I8" i="104"/>
  <c r="J8" i="104"/>
  <c r="H8" i="104"/>
  <c r="K8" i="105"/>
  <c r="I8" i="105"/>
  <c r="J8" i="105"/>
  <c r="H8" i="105"/>
  <c r="J9" i="106"/>
  <c r="H9" i="106"/>
  <c r="K9" i="106"/>
  <c r="I9" i="106"/>
  <c r="E9" i="106"/>
  <c r="M9" i="106"/>
  <c r="E10" i="106"/>
  <c r="M10" i="106"/>
  <c r="E10" i="109"/>
  <c r="M10" i="109"/>
  <c r="J9" i="107"/>
  <c r="H9" i="107"/>
  <c r="K9" i="107"/>
  <c r="I9" i="107"/>
  <c r="E9" i="107"/>
  <c r="M9" i="107"/>
  <c r="E10" i="107"/>
  <c r="M10" i="107"/>
  <c r="J9" i="108"/>
  <c r="H9" i="108"/>
  <c r="K9" i="108"/>
  <c r="I9" i="108"/>
  <c r="E9" i="108"/>
  <c r="M9" i="108"/>
  <c r="E10" i="108"/>
  <c r="M10" i="108"/>
  <c r="K10" i="110"/>
  <c r="I10" i="110"/>
  <c r="J10" i="110"/>
  <c r="H10" i="110"/>
  <c r="E10" i="111"/>
  <c r="M10" i="111"/>
  <c r="K10" i="112"/>
  <c r="I10" i="112"/>
  <c r="J10" i="112"/>
  <c r="H10" i="112"/>
  <c r="E9" i="114"/>
  <c r="M9" i="114"/>
  <c r="K10" i="115"/>
  <c r="I10" i="115"/>
  <c r="J10" i="115"/>
  <c r="H10" i="115"/>
  <c r="E8" i="116"/>
  <c r="M8" i="116"/>
  <c r="E8" i="95"/>
  <c r="M8" i="95"/>
  <c r="E8" i="96"/>
  <c r="M8" i="96"/>
  <c r="K8" i="97"/>
  <c r="I8" i="97"/>
  <c r="J8" i="97"/>
  <c r="H8" i="97"/>
  <c r="J9" i="98"/>
  <c r="H9" i="98"/>
  <c r="K9" i="98"/>
  <c r="I9" i="98"/>
  <c r="E9" i="98"/>
  <c r="M9" i="98"/>
  <c r="E8" i="98"/>
  <c r="M8" i="98"/>
  <c r="E8" i="99"/>
  <c r="M8" i="99"/>
  <c r="K10" i="100"/>
  <c r="I10" i="100"/>
  <c r="J10" i="100"/>
  <c r="H10" i="100"/>
  <c r="E10" i="101"/>
  <c r="M10" i="101"/>
  <c r="K8" i="102"/>
  <c r="I8" i="102"/>
  <c r="J8" i="102"/>
  <c r="H8" i="102"/>
  <c r="E10" i="103"/>
  <c r="M10" i="103"/>
  <c r="K10" i="104"/>
  <c r="I10" i="104"/>
  <c r="J10" i="104"/>
  <c r="H10" i="104"/>
  <c r="E10" i="105"/>
  <c r="M10" i="105"/>
  <c r="K8" i="106"/>
  <c r="I8" i="106"/>
  <c r="J8" i="106"/>
  <c r="H8" i="106"/>
  <c r="K8" i="109"/>
  <c r="I8" i="109"/>
  <c r="J8" i="109"/>
  <c r="H8" i="109"/>
  <c r="K8" i="107"/>
  <c r="I8" i="107"/>
  <c r="J8" i="107"/>
  <c r="H8" i="107"/>
  <c r="K8" i="108"/>
  <c r="I8" i="108"/>
  <c r="J8" i="108"/>
  <c r="H8" i="108"/>
  <c r="K8" i="110"/>
  <c r="I8" i="110"/>
  <c r="J8" i="110"/>
  <c r="H8" i="110"/>
  <c r="K8" i="111"/>
  <c r="I8" i="111"/>
  <c r="J8" i="111"/>
  <c r="H8" i="111"/>
  <c r="K8" i="112"/>
  <c r="I8" i="112"/>
  <c r="J8" i="112"/>
  <c r="H8" i="112"/>
  <c r="K9" i="113"/>
  <c r="I9" i="113"/>
  <c r="J9" i="113"/>
  <c r="H9" i="113"/>
  <c r="J8" i="113"/>
  <c r="H8" i="113"/>
  <c r="K8" i="113"/>
  <c r="I8" i="113"/>
  <c r="M8" i="113"/>
  <c r="K8" i="115"/>
  <c r="I8" i="115"/>
  <c r="J8" i="115"/>
  <c r="H8" i="115"/>
  <c r="K10" i="106"/>
  <c r="I10" i="106"/>
  <c r="J10" i="106"/>
  <c r="H10" i="106"/>
  <c r="K10" i="109"/>
  <c r="I10" i="109"/>
  <c r="J10" i="109"/>
  <c r="H10" i="109"/>
  <c r="K10" i="107"/>
  <c r="I10" i="107"/>
  <c r="J10" i="107"/>
  <c r="H10" i="107"/>
  <c r="K10" i="108"/>
  <c r="I10" i="108"/>
  <c r="J10" i="108"/>
  <c r="H10" i="108"/>
  <c r="K10" i="111"/>
  <c r="I10" i="111"/>
  <c r="J10" i="111"/>
  <c r="H10" i="111"/>
  <c r="K9" i="114"/>
  <c r="I9" i="114"/>
  <c r="J9" i="114"/>
  <c r="H9" i="114"/>
  <c r="J8" i="114"/>
  <c r="H8" i="114"/>
  <c r="K8" i="114"/>
  <c r="I8" i="114"/>
  <c r="K8" i="116"/>
  <c r="I8" i="116"/>
  <c r="J8" i="116"/>
  <c r="H8" i="116"/>
  <c r="K8" i="95"/>
  <c r="I8" i="95"/>
  <c r="J8" i="95"/>
  <c r="H8" i="95"/>
  <c r="K8" i="96"/>
  <c r="I8" i="96"/>
  <c r="J8" i="96"/>
  <c r="H8" i="96"/>
  <c r="K8" i="98"/>
  <c r="I8" i="98"/>
  <c r="H8" i="98"/>
  <c r="J8" i="98"/>
  <c r="K8" i="99"/>
  <c r="I8" i="99"/>
  <c r="J8" i="99"/>
  <c r="H8" i="99"/>
  <c r="K10" i="101"/>
  <c r="I10" i="101"/>
  <c r="J10" i="101"/>
  <c r="H10" i="101"/>
  <c r="K10" i="103"/>
  <c r="I10" i="103"/>
  <c r="J10" i="103"/>
  <c r="H10" i="103"/>
  <c r="K10" i="105"/>
  <c r="I10" i="105"/>
  <c r="J10" i="105"/>
  <c r="H10" i="105"/>
  <c r="J9" i="109"/>
  <c r="H9" i="109"/>
  <c r="K9" i="109"/>
  <c r="I9" i="109"/>
  <c r="M8" i="112"/>
  <c r="M9" i="113"/>
  <c r="J9" i="115"/>
  <c r="H9" i="115"/>
  <c r="K9" i="115"/>
  <c r="I9" i="115"/>
  <c r="M9" i="115"/>
  <c r="M8" i="115"/>
  <c r="K10" i="116"/>
  <c r="I10" i="116"/>
  <c r="J10" i="116"/>
  <c r="H10" i="116"/>
  <c r="N15" i="94" l="1"/>
  <c r="K15" i="94"/>
  <c r="H15" i="94"/>
  <c r="E15" i="94"/>
  <c r="N14" i="94"/>
  <c r="K14" i="94"/>
  <c r="H14" i="94"/>
  <c r="E14" i="94"/>
  <c r="N13" i="94"/>
  <c r="K13" i="94"/>
  <c r="H13" i="94"/>
  <c r="E13" i="94"/>
  <c r="N12" i="94"/>
  <c r="K12" i="94"/>
  <c r="H12" i="94"/>
  <c r="E12" i="94"/>
  <c r="B12" i="94"/>
  <c r="N10" i="94"/>
  <c r="K10" i="94"/>
  <c r="H10" i="94"/>
  <c r="E10" i="94"/>
  <c r="B10" i="94"/>
  <c r="N9" i="94"/>
  <c r="K9" i="94"/>
  <c r="H9" i="94"/>
  <c r="E9" i="94"/>
  <c r="B9" i="94"/>
  <c r="N8" i="94"/>
  <c r="K8" i="94"/>
  <c r="H8" i="94"/>
  <c r="E8" i="94"/>
  <c r="B8" i="94"/>
  <c r="N7" i="94"/>
  <c r="K7" i="94"/>
  <c r="H7" i="94"/>
  <c r="E7" i="94"/>
  <c r="B7" i="94"/>
  <c r="N6" i="94"/>
  <c r="K6" i="94"/>
  <c r="H6" i="94"/>
  <c r="E6" i="94"/>
  <c r="B6" i="94"/>
  <c r="L13" i="94" l="1"/>
  <c r="O9" i="94"/>
  <c r="H11" i="94"/>
  <c r="J11" i="94" s="1"/>
  <c r="I9" i="94"/>
  <c r="F10" i="94"/>
  <c r="F7" i="94"/>
  <c r="L7" i="94"/>
  <c r="F9" i="94"/>
  <c r="L9" i="94"/>
  <c r="M10" i="94"/>
  <c r="G14" i="94"/>
  <c r="L14" i="94"/>
  <c r="G15" i="94"/>
  <c r="L15" i="94"/>
  <c r="F8" i="94"/>
  <c r="M8" i="94"/>
  <c r="G12" i="94"/>
  <c r="M12" i="94"/>
  <c r="G13" i="94"/>
  <c r="C9" i="94"/>
  <c r="C8" i="94"/>
  <c r="O8" i="94"/>
  <c r="C10" i="94"/>
  <c r="O10" i="94"/>
  <c r="I13" i="94"/>
  <c r="I14" i="94"/>
  <c r="I15" i="94"/>
  <c r="B11" i="94"/>
  <c r="D11" i="94" s="1"/>
  <c r="N11" i="94"/>
  <c r="O11" i="94" s="1"/>
  <c r="G8" i="94"/>
  <c r="I8" i="94"/>
  <c r="L8" i="94"/>
  <c r="D9" i="94"/>
  <c r="J9" i="94"/>
  <c r="P9" i="94"/>
  <c r="G10" i="94"/>
  <c r="I10" i="94"/>
  <c r="L10" i="94"/>
  <c r="C12" i="94"/>
  <c r="I12" i="94"/>
  <c r="O12" i="94"/>
  <c r="F13" i="94"/>
  <c r="M13" i="94"/>
  <c r="O13" i="94"/>
  <c r="F14" i="94"/>
  <c r="M14" i="94"/>
  <c r="O14" i="94"/>
  <c r="F15" i="94"/>
  <c r="M15" i="94"/>
  <c r="P15" i="94"/>
  <c r="L12" i="94"/>
  <c r="F12" i="94"/>
  <c r="I11" i="94"/>
  <c r="C7" i="94"/>
  <c r="G7" i="94"/>
  <c r="I7" i="94"/>
  <c r="M7" i="94"/>
  <c r="O7" i="94"/>
  <c r="D8" i="94"/>
  <c r="J8" i="94"/>
  <c r="P8" i="94"/>
  <c r="G9" i="94"/>
  <c r="M9" i="94"/>
  <c r="D10" i="94"/>
  <c r="J10" i="94"/>
  <c r="P10" i="94"/>
  <c r="E11" i="94"/>
  <c r="K11" i="94"/>
  <c r="D12" i="94"/>
  <c r="J12" i="94"/>
  <c r="P12" i="94"/>
  <c r="J13" i="94"/>
  <c r="P13" i="94"/>
  <c r="J14" i="94"/>
  <c r="P14" i="94"/>
  <c r="J15" i="94"/>
  <c r="D7" i="94"/>
  <c r="J7" i="94"/>
  <c r="P7" i="94"/>
  <c r="O15" i="94"/>
  <c r="P11" i="94" l="1"/>
  <c r="C11" i="94"/>
  <c r="F11" i="94"/>
  <c r="G11" i="94"/>
  <c r="L11" i="94"/>
  <c r="M11" i="94"/>
  <c r="N15" i="93" l="1"/>
  <c r="K15" i="93"/>
  <c r="H15" i="93"/>
  <c r="E15" i="93"/>
  <c r="N14" i="93"/>
  <c r="K14" i="93"/>
  <c r="H14" i="93"/>
  <c r="E14" i="93"/>
  <c r="N13" i="93"/>
  <c r="K13" i="93"/>
  <c r="H13" i="93"/>
  <c r="E13" i="93"/>
  <c r="N12" i="93"/>
  <c r="K12" i="93"/>
  <c r="H12" i="93"/>
  <c r="E12" i="93"/>
  <c r="B12" i="93"/>
  <c r="N10" i="93"/>
  <c r="K10" i="93"/>
  <c r="H10" i="93"/>
  <c r="E10" i="93"/>
  <c r="B10" i="93"/>
  <c r="N9" i="93"/>
  <c r="K9" i="93"/>
  <c r="H9" i="93"/>
  <c r="E9" i="93"/>
  <c r="B9" i="93"/>
  <c r="N8" i="93"/>
  <c r="K8" i="93"/>
  <c r="H8" i="93"/>
  <c r="E8" i="93"/>
  <c r="B8" i="93"/>
  <c r="N7" i="93"/>
  <c r="K7" i="93"/>
  <c r="H7" i="93"/>
  <c r="E7" i="93"/>
  <c r="B7" i="93"/>
  <c r="N6" i="93"/>
  <c r="K6" i="93"/>
  <c r="H6" i="93"/>
  <c r="I9" i="93" s="1"/>
  <c r="E6" i="93"/>
  <c r="B6" i="93"/>
  <c r="D9" i="93" l="1"/>
  <c r="O9" i="93"/>
  <c r="I8" i="93"/>
  <c r="F12" i="93"/>
  <c r="L15" i="93"/>
  <c r="C9" i="93"/>
  <c r="B11" i="93"/>
  <c r="C11" i="93" s="1"/>
  <c r="H11" i="93"/>
  <c r="I11" i="93" s="1"/>
  <c r="N11" i="93"/>
  <c r="P11" i="93" s="1"/>
  <c r="G8" i="93"/>
  <c r="L8" i="93"/>
  <c r="J9" i="93"/>
  <c r="P9" i="93"/>
  <c r="G10" i="93"/>
  <c r="I10" i="93"/>
  <c r="L10" i="93"/>
  <c r="C12" i="93"/>
  <c r="M12" i="93"/>
  <c r="G13" i="93"/>
  <c r="I13" i="93"/>
  <c r="L13" i="93"/>
  <c r="G14" i="93"/>
  <c r="I14" i="93"/>
  <c r="L14" i="93"/>
  <c r="G15" i="93"/>
  <c r="I15" i="93"/>
  <c r="F7" i="93"/>
  <c r="L7" i="93"/>
  <c r="C8" i="93"/>
  <c r="F8" i="93"/>
  <c r="M8" i="93"/>
  <c r="O8" i="93"/>
  <c r="F9" i="93"/>
  <c r="L9" i="93"/>
  <c r="C10" i="93"/>
  <c r="F10" i="93"/>
  <c r="M10" i="93"/>
  <c r="O10" i="93"/>
  <c r="G12" i="93"/>
  <c r="I12" i="93"/>
  <c r="O12" i="93"/>
  <c r="F13" i="93"/>
  <c r="M13" i="93"/>
  <c r="O13" i="93"/>
  <c r="F14" i="93"/>
  <c r="M14" i="93"/>
  <c r="O14" i="93"/>
  <c r="F15" i="93"/>
  <c r="M15" i="93"/>
  <c r="O15" i="93"/>
  <c r="L12" i="93"/>
  <c r="O11" i="93"/>
  <c r="C7" i="93"/>
  <c r="G7" i="93"/>
  <c r="I7" i="93"/>
  <c r="M7" i="93"/>
  <c r="O7" i="93"/>
  <c r="D8" i="93"/>
  <c r="J8" i="93"/>
  <c r="P8" i="93"/>
  <c r="G9" i="93"/>
  <c r="M9" i="93"/>
  <c r="D10" i="93"/>
  <c r="J10" i="93"/>
  <c r="P10" i="93"/>
  <c r="E11" i="93"/>
  <c r="K11" i="93"/>
  <c r="D12" i="93"/>
  <c r="J12" i="93"/>
  <c r="P12" i="93"/>
  <c r="J13" i="93"/>
  <c r="P13" i="93"/>
  <c r="J14" i="93"/>
  <c r="P14" i="93"/>
  <c r="J15" i="93"/>
  <c r="P15" i="93"/>
  <c r="D7" i="93"/>
  <c r="J7" i="93"/>
  <c r="P7" i="93"/>
  <c r="N15" i="92"/>
  <c r="K15" i="92"/>
  <c r="H15" i="92"/>
  <c r="E15" i="92"/>
  <c r="N14" i="92"/>
  <c r="K14" i="92"/>
  <c r="H14" i="92"/>
  <c r="E14" i="92"/>
  <c r="N13" i="92"/>
  <c r="K13" i="92"/>
  <c r="H13" i="92"/>
  <c r="E13" i="92"/>
  <c r="N12" i="92"/>
  <c r="K12" i="92"/>
  <c r="H12" i="92"/>
  <c r="E12" i="92"/>
  <c r="B12" i="92"/>
  <c r="N10" i="92"/>
  <c r="K10" i="92"/>
  <c r="H10" i="92"/>
  <c r="E10" i="92"/>
  <c r="B10" i="92"/>
  <c r="N9" i="92"/>
  <c r="K9" i="92"/>
  <c r="H9" i="92"/>
  <c r="E9" i="92"/>
  <c r="B9" i="92"/>
  <c r="C9" i="92" s="1"/>
  <c r="N8" i="92"/>
  <c r="K8" i="92"/>
  <c r="H8" i="92"/>
  <c r="E8" i="92"/>
  <c r="B8" i="92"/>
  <c r="N7" i="92"/>
  <c r="K7" i="92"/>
  <c r="H7" i="92"/>
  <c r="E7" i="92"/>
  <c r="B7" i="92"/>
  <c r="N6" i="92"/>
  <c r="K6" i="92"/>
  <c r="H6" i="92"/>
  <c r="E6" i="92"/>
  <c r="B6" i="92"/>
  <c r="D11" i="93" l="1"/>
  <c r="L15" i="92"/>
  <c r="O7" i="92"/>
  <c r="J12" i="92"/>
  <c r="P13" i="92"/>
  <c r="J15" i="92"/>
  <c r="C10" i="92"/>
  <c r="F15" i="92"/>
  <c r="I7" i="92"/>
  <c r="J13" i="92"/>
  <c r="O9" i="92"/>
  <c r="D12" i="92"/>
  <c r="P14" i="92"/>
  <c r="I10" i="92"/>
  <c r="O10" i="92"/>
  <c r="C7" i="92"/>
  <c r="I9" i="92"/>
  <c r="P12" i="92"/>
  <c r="J14" i="92"/>
  <c r="P15" i="92"/>
  <c r="J11" i="93"/>
  <c r="F11" i="93"/>
  <c r="G11" i="93"/>
  <c r="L11" i="93"/>
  <c r="M11" i="93"/>
  <c r="F8" i="92"/>
  <c r="L8" i="92"/>
  <c r="F10" i="92"/>
  <c r="L10" i="92"/>
  <c r="E11" i="92"/>
  <c r="F11" i="92" s="1"/>
  <c r="K11" i="92"/>
  <c r="M11" i="92" s="1"/>
  <c r="D8" i="92"/>
  <c r="J8" i="92"/>
  <c r="P8" i="92"/>
  <c r="G9" i="92"/>
  <c r="M9" i="92"/>
  <c r="D10" i="92"/>
  <c r="J10" i="92"/>
  <c r="P10" i="92"/>
  <c r="F12" i="92"/>
  <c r="L12" i="92"/>
  <c r="F13" i="92"/>
  <c r="M13" i="92"/>
  <c r="G14" i="92"/>
  <c r="M14" i="92"/>
  <c r="G15" i="92"/>
  <c r="M15" i="92"/>
  <c r="D7" i="92"/>
  <c r="F7" i="92"/>
  <c r="J7" i="92"/>
  <c r="L7" i="92"/>
  <c r="P7" i="92"/>
  <c r="C8" i="92"/>
  <c r="G8" i="92"/>
  <c r="I8" i="92"/>
  <c r="M8" i="92"/>
  <c r="O8" i="92"/>
  <c r="D9" i="92"/>
  <c r="F9" i="92"/>
  <c r="J9" i="92"/>
  <c r="L9" i="92"/>
  <c r="P9" i="92"/>
  <c r="G10" i="92"/>
  <c r="M10" i="92"/>
  <c r="B11" i="92"/>
  <c r="H11" i="92"/>
  <c r="N11" i="92"/>
  <c r="C12" i="92"/>
  <c r="G12" i="92"/>
  <c r="I12" i="92"/>
  <c r="M12" i="92"/>
  <c r="O12" i="92"/>
  <c r="G13" i="92"/>
  <c r="I13" i="92"/>
  <c r="O13" i="92"/>
  <c r="I14" i="92"/>
  <c r="O14" i="92"/>
  <c r="I15" i="92"/>
  <c r="O15" i="92"/>
  <c r="G7" i="92"/>
  <c r="M7" i="92"/>
  <c r="L13" i="92"/>
  <c r="F14" i="92"/>
  <c r="L14" i="92"/>
  <c r="N15" i="91"/>
  <c r="K15" i="91"/>
  <c r="H15" i="91"/>
  <c r="E15" i="91"/>
  <c r="N14" i="91"/>
  <c r="K14" i="91"/>
  <c r="H14" i="91"/>
  <c r="E14" i="91"/>
  <c r="N13" i="91"/>
  <c r="K13" i="91"/>
  <c r="H13" i="91"/>
  <c r="E13" i="91"/>
  <c r="N12" i="91"/>
  <c r="K12" i="91"/>
  <c r="H12" i="91"/>
  <c r="E12" i="91"/>
  <c r="B12" i="91"/>
  <c r="N10" i="91"/>
  <c r="K10" i="91"/>
  <c r="H10" i="91"/>
  <c r="E10" i="91"/>
  <c r="B10" i="91"/>
  <c r="N9" i="91"/>
  <c r="K9" i="91"/>
  <c r="H9" i="91"/>
  <c r="E9" i="91"/>
  <c r="B9" i="91"/>
  <c r="N8" i="91"/>
  <c r="K8" i="91"/>
  <c r="H8" i="91"/>
  <c r="E8" i="91"/>
  <c r="B8" i="91"/>
  <c r="N7" i="91"/>
  <c r="K7" i="91"/>
  <c r="H7" i="91"/>
  <c r="E7" i="91"/>
  <c r="B7" i="91"/>
  <c r="N6" i="91"/>
  <c r="K6" i="91"/>
  <c r="H6" i="91"/>
  <c r="E6" i="91"/>
  <c r="B6" i="91"/>
  <c r="L11" i="92" l="1"/>
  <c r="K11" i="91"/>
  <c r="O8" i="91"/>
  <c r="G11" i="92"/>
  <c r="I10" i="91"/>
  <c r="O11" i="92"/>
  <c r="P11" i="92"/>
  <c r="C11" i="92"/>
  <c r="D11" i="92"/>
  <c r="I11" i="92"/>
  <c r="J11" i="92"/>
  <c r="L15" i="91"/>
  <c r="E11" i="91"/>
  <c r="F11" i="91" s="1"/>
  <c r="F15" i="91"/>
  <c r="C10" i="91"/>
  <c r="D8" i="91"/>
  <c r="J8" i="91"/>
  <c r="P8" i="91"/>
  <c r="G9" i="91"/>
  <c r="M9" i="91"/>
  <c r="D10" i="91"/>
  <c r="J10" i="91"/>
  <c r="P10" i="91"/>
  <c r="F12" i="91"/>
  <c r="L12" i="91"/>
  <c r="F13" i="91"/>
  <c r="M13" i="91"/>
  <c r="G14" i="91"/>
  <c r="M14" i="91"/>
  <c r="G15" i="91"/>
  <c r="M15" i="91"/>
  <c r="C7" i="91"/>
  <c r="I7" i="91"/>
  <c r="O7" i="91"/>
  <c r="F8" i="91"/>
  <c r="L8" i="91"/>
  <c r="C9" i="91"/>
  <c r="I9" i="91"/>
  <c r="O9" i="91"/>
  <c r="F10" i="91"/>
  <c r="L10" i="91"/>
  <c r="D12" i="91"/>
  <c r="J12" i="91"/>
  <c r="P12" i="91"/>
  <c r="J13" i="91"/>
  <c r="P13" i="91"/>
  <c r="J14" i="91"/>
  <c r="P14" i="91"/>
  <c r="J15" i="91"/>
  <c r="P15" i="91"/>
  <c r="M11" i="91"/>
  <c r="L11" i="91"/>
  <c r="G11" i="91"/>
  <c r="D7" i="91"/>
  <c r="F7" i="91"/>
  <c r="J7" i="91"/>
  <c r="L7" i="91"/>
  <c r="P7" i="91"/>
  <c r="C8" i="91"/>
  <c r="G8" i="91"/>
  <c r="I8" i="91"/>
  <c r="M8" i="91"/>
  <c r="D9" i="91"/>
  <c r="F9" i="91"/>
  <c r="J9" i="91"/>
  <c r="L9" i="91"/>
  <c r="P9" i="91"/>
  <c r="G10" i="91"/>
  <c r="M10" i="91"/>
  <c r="O10" i="91"/>
  <c r="B11" i="91"/>
  <c r="H11" i="91"/>
  <c r="N11" i="91"/>
  <c r="C12" i="91"/>
  <c r="G12" i="91"/>
  <c r="I12" i="91"/>
  <c r="M12" i="91"/>
  <c r="O12" i="91"/>
  <c r="G13" i="91"/>
  <c r="I13" i="91"/>
  <c r="O13" i="91"/>
  <c r="I14" i="91"/>
  <c r="O14" i="91"/>
  <c r="I15" i="91"/>
  <c r="O15" i="91"/>
  <c r="G7" i="91"/>
  <c r="M7" i="91"/>
  <c r="L13" i="91"/>
  <c r="F14" i="91"/>
  <c r="L14" i="91"/>
  <c r="N15" i="90"/>
  <c r="K15" i="90"/>
  <c r="H15" i="90"/>
  <c r="E15" i="90"/>
  <c r="N14" i="90"/>
  <c r="K14" i="90"/>
  <c r="H14" i="90"/>
  <c r="E14" i="90"/>
  <c r="N13" i="90"/>
  <c r="K13" i="90"/>
  <c r="H13" i="90"/>
  <c r="E13" i="90"/>
  <c r="N12" i="90"/>
  <c r="K12" i="90"/>
  <c r="H12" i="90"/>
  <c r="E12" i="90"/>
  <c r="B12" i="90"/>
  <c r="N10" i="90"/>
  <c r="K10" i="90"/>
  <c r="H10" i="90"/>
  <c r="E10" i="90"/>
  <c r="B10" i="90"/>
  <c r="N9" i="90"/>
  <c r="K9" i="90"/>
  <c r="H9" i="90"/>
  <c r="E9" i="90"/>
  <c r="B9" i="90"/>
  <c r="N8" i="90"/>
  <c r="K8" i="90"/>
  <c r="H8" i="90"/>
  <c r="E8" i="90"/>
  <c r="B8" i="90"/>
  <c r="N7" i="90"/>
  <c r="K7" i="90"/>
  <c r="H7" i="90"/>
  <c r="E7" i="90"/>
  <c r="B7" i="90"/>
  <c r="N6" i="90"/>
  <c r="K6" i="90"/>
  <c r="H6" i="90"/>
  <c r="I10" i="90" s="1"/>
  <c r="E6" i="90"/>
  <c r="B6" i="90"/>
  <c r="N15" i="89"/>
  <c r="K15" i="89"/>
  <c r="H15" i="89"/>
  <c r="E15" i="89"/>
  <c r="N14" i="89"/>
  <c r="K14" i="89"/>
  <c r="H14" i="89"/>
  <c r="E14" i="89"/>
  <c r="N13" i="89"/>
  <c r="K13" i="89"/>
  <c r="H13" i="89"/>
  <c r="E13" i="89"/>
  <c r="N12" i="89"/>
  <c r="K12" i="89"/>
  <c r="H12" i="89"/>
  <c r="E12" i="89"/>
  <c r="B12" i="89"/>
  <c r="N10" i="89"/>
  <c r="K10" i="89"/>
  <c r="H10" i="89"/>
  <c r="E10" i="89"/>
  <c r="B10" i="89"/>
  <c r="N9" i="89"/>
  <c r="O9" i="89" s="1"/>
  <c r="K9" i="89"/>
  <c r="H9" i="89"/>
  <c r="E9" i="89"/>
  <c r="B9" i="89"/>
  <c r="N8" i="89"/>
  <c r="K8" i="89"/>
  <c r="L8" i="89" s="1"/>
  <c r="H8" i="89"/>
  <c r="E8" i="89"/>
  <c r="B8" i="89"/>
  <c r="N7" i="89"/>
  <c r="O7" i="89" s="1"/>
  <c r="K7" i="89"/>
  <c r="H7" i="89"/>
  <c r="E7" i="89"/>
  <c r="B7" i="89"/>
  <c r="N6" i="89"/>
  <c r="K6" i="89"/>
  <c r="L15" i="89" s="1"/>
  <c r="H6" i="89"/>
  <c r="I14" i="89" s="1"/>
  <c r="E6" i="89"/>
  <c r="B6" i="89"/>
  <c r="P8" i="89" l="1"/>
  <c r="L13" i="89"/>
  <c r="F15" i="89"/>
  <c r="I7" i="89"/>
  <c r="D12" i="89"/>
  <c r="J13" i="89"/>
  <c r="P14" i="89"/>
  <c r="F15" i="90"/>
  <c r="D10" i="89"/>
  <c r="C9" i="89"/>
  <c r="P13" i="89"/>
  <c r="K11" i="89"/>
  <c r="O13" i="89"/>
  <c r="D8" i="89"/>
  <c r="G9" i="89"/>
  <c r="J10" i="89"/>
  <c r="L12" i="89"/>
  <c r="F14" i="89"/>
  <c r="M15" i="89"/>
  <c r="O8" i="90"/>
  <c r="G15" i="89"/>
  <c r="F10" i="89"/>
  <c r="J15" i="89"/>
  <c r="C7" i="89"/>
  <c r="F8" i="89"/>
  <c r="I9" i="89"/>
  <c r="L10" i="89"/>
  <c r="P12" i="89"/>
  <c r="J14" i="89"/>
  <c r="P15" i="89"/>
  <c r="F12" i="89"/>
  <c r="K11" i="90"/>
  <c r="L11" i="90" s="1"/>
  <c r="J12" i="89"/>
  <c r="C12" i="89"/>
  <c r="E11" i="89"/>
  <c r="F11" i="89" s="1"/>
  <c r="J8" i="89"/>
  <c r="M9" i="89"/>
  <c r="P10" i="89"/>
  <c r="F13" i="89"/>
  <c r="L14" i="89"/>
  <c r="C10" i="90"/>
  <c r="E11" i="90"/>
  <c r="G11" i="90" s="1"/>
  <c r="O11" i="91"/>
  <c r="P11" i="91"/>
  <c r="C11" i="91"/>
  <c r="D11" i="91"/>
  <c r="I11" i="91"/>
  <c r="J11" i="91"/>
  <c r="L15" i="90"/>
  <c r="D8" i="90"/>
  <c r="J8" i="90"/>
  <c r="P8" i="90"/>
  <c r="G9" i="90"/>
  <c r="M9" i="90"/>
  <c r="D10" i="90"/>
  <c r="J10" i="90"/>
  <c r="P10" i="90"/>
  <c r="F12" i="90"/>
  <c r="L12" i="90"/>
  <c r="F13" i="90"/>
  <c r="M13" i="90"/>
  <c r="G14" i="90"/>
  <c r="M14" i="90"/>
  <c r="G15" i="90"/>
  <c r="M15" i="90"/>
  <c r="C7" i="90"/>
  <c r="I7" i="90"/>
  <c r="O7" i="90"/>
  <c r="F8" i="90"/>
  <c r="L8" i="90"/>
  <c r="C9" i="90"/>
  <c r="I9" i="90"/>
  <c r="O9" i="90"/>
  <c r="F10" i="90"/>
  <c r="L10" i="90"/>
  <c r="D12" i="90"/>
  <c r="J12" i="90"/>
  <c r="P12" i="90"/>
  <c r="J13" i="90"/>
  <c r="P13" i="90"/>
  <c r="J14" i="90"/>
  <c r="P14" i="90"/>
  <c r="J15" i="90"/>
  <c r="P15" i="90"/>
  <c r="D7" i="90"/>
  <c r="F7" i="90"/>
  <c r="J7" i="90"/>
  <c r="L7" i="90"/>
  <c r="P7" i="90"/>
  <c r="C8" i="90"/>
  <c r="G8" i="90"/>
  <c r="I8" i="90"/>
  <c r="M8" i="90"/>
  <c r="D9" i="90"/>
  <c r="F9" i="90"/>
  <c r="J9" i="90"/>
  <c r="L9" i="90"/>
  <c r="P9" i="90"/>
  <c r="G10" i="90"/>
  <c r="M10" i="90"/>
  <c r="O10" i="90"/>
  <c r="B11" i="90"/>
  <c r="H11" i="90"/>
  <c r="N11" i="90"/>
  <c r="C12" i="90"/>
  <c r="G12" i="90"/>
  <c r="I12" i="90"/>
  <c r="M12" i="90"/>
  <c r="O12" i="90"/>
  <c r="G13" i="90"/>
  <c r="I13" i="90"/>
  <c r="O13" i="90"/>
  <c r="I14" i="90"/>
  <c r="O14" i="90"/>
  <c r="I15" i="90"/>
  <c r="O15" i="90"/>
  <c r="G7" i="90"/>
  <c r="M7" i="90"/>
  <c r="L13" i="90"/>
  <c r="F14" i="90"/>
  <c r="L14" i="90"/>
  <c r="M11" i="89"/>
  <c r="L11" i="89"/>
  <c r="G11" i="89"/>
  <c r="D7" i="89"/>
  <c r="F7" i="89"/>
  <c r="J7" i="89"/>
  <c r="L7" i="89"/>
  <c r="P7" i="89"/>
  <c r="C8" i="89"/>
  <c r="G8" i="89"/>
  <c r="I8" i="89"/>
  <c r="M8" i="89"/>
  <c r="O8" i="89"/>
  <c r="D9" i="89"/>
  <c r="F9" i="89"/>
  <c r="J9" i="89"/>
  <c r="L9" i="89"/>
  <c r="P9" i="89"/>
  <c r="C10" i="89"/>
  <c r="G10" i="89"/>
  <c r="I10" i="89"/>
  <c r="M10" i="89"/>
  <c r="O10" i="89"/>
  <c r="B11" i="89"/>
  <c r="H11" i="89"/>
  <c r="N11" i="89"/>
  <c r="G12" i="89"/>
  <c r="I12" i="89"/>
  <c r="M12" i="89"/>
  <c r="O12" i="89"/>
  <c r="G13" i="89"/>
  <c r="I13" i="89"/>
  <c r="M13" i="89"/>
  <c r="G14" i="89"/>
  <c r="M14" i="89"/>
  <c r="O14" i="89"/>
  <c r="I15" i="89"/>
  <c r="O15" i="89"/>
  <c r="G7" i="89"/>
  <c r="M7" i="89"/>
  <c r="F11" i="90" l="1"/>
  <c r="M11" i="90"/>
  <c r="O11" i="90"/>
  <c r="P11" i="90"/>
  <c r="C11" i="90"/>
  <c r="D11" i="90"/>
  <c r="I11" i="90"/>
  <c r="J11" i="90"/>
  <c r="I11" i="89"/>
  <c r="J11" i="89"/>
  <c r="O11" i="89"/>
  <c r="P11" i="89"/>
  <c r="C11" i="89"/>
  <c r="D11" i="89"/>
  <c r="N15" i="88" l="1"/>
  <c r="K15" i="88"/>
  <c r="H15" i="88"/>
  <c r="E15" i="88"/>
  <c r="N14" i="88"/>
  <c r="K14" i="88"/>
  <c r="H14" i="88"/>
  <c r="E14" i="88"/>
  <c r="N13" i="88"/>
  <c r="K13" i="88"/>
  <c r="L13" i="88" s="1"/>
  <c r="H13" i="88"/>
  <c r="E13" i="88"/>
  <c r="N12" i="88"/>
  <c r="K12" i="88"/>
  <c r="H12" i="88"/>
  <c r="E12" i="88"/>
  <c r="B12" i="88"/>
  <c r="N10" i="88"/>
  <c r="K10" i="88"/>
  <c r="H10" i="88"/>
  <c r="E10" i="88"/>
  <c r="B10" i="88"/>
  <c r="N9" i="88"/>
  <c r="K9" i="88"/>
  <c r="H9" i="88"/>
  <c r="E9" i="88"/>
  <c r="B9" i="88"/>
  <c r="N8" i="88"/>
  <c r="K8" i="88"/>
  <c r="H8" i="88"/>
  <c r="E8" i="88"/>
  <c r="B8" i="88"/>
  <c r="N7" i="88"/>
  <c r="K7" i="88"/>
  <c r="H7" i="88"/>
  <c r="E7" i="88"/>
  <c r="B7" i="88"/>
  <c r="N6" i="88"/>
  <c r="K6" i="88"/>
  <c r="H6" i="88"/>
  <c r="I9" i="88" s="1"/>
  <c r="E6" i="88"/>
  <c r="B6" i="88"/>
  <c r="C9" i="88" s="1"/>
  <c r="F12" i="88" l="1"/>
  <c r="O9" i="88"/>
  <c r="L14" i="88"/>
  <c r="H11" i="88"/>
  <c r="J11" i="88" s="1"/>
  <c r="L8" i="88"/>
  <c r="N11" i="88"/>
  <c r="O11" i="88" s="1"/>
  <c r="L15" i="88"/>
  <c r="B11" i="88"/>
  <c r="C11" i="88" s="1"/>
  <c r="L10" i="88"/>
  <c r="F13" i="88"/>
  <c r="G8" i="88"/>
  <c r="I8" i="88"/>
  <c r="D9" i="88"/>
  <c r="J9" i="88"/>
  <c r="P9" i="88"/>
  <c r="G10" i="88"/>
  <c r="I10" i="88"/>
  <c r="C12" i="88"/>
  <c r="M12" i="88"/>
  <c r="G13" i="88"/>
  <c r="I13" i="88"/>
  <c r="G14" i="88"/>
  <c r="I14" i="88"/>
  <c r="G15" i="88"/>
  <c r="I15" i="88"/>
  <c r="F7" i="88"/>
  <c r="L7" i="88"/>
  <c r="C8" i="88"/>
  <c r="F8" i="88"/>
  <c r="M8" i="88"/>
  <c r="O8" i="88"/>
  <c r="F9" i="88"/>
  <c r="L9" i="88"/>
  <c r="C10" i="88"/>
  <c r="F10" i="88"/>
  <c r="M10" i="88"/>
  <c r="O10" i="88"/>
  <c r="G12" i="88"/>
  <c r="I12" i="88"/>
  <c r="O12" i="88"/>
  <c r="M13" i="88"/>
  <c r="O13" i="88"/>
  <c r="F14" i="88"/>
  <c r="M14" i="88"/>
  <c r="O14" i="88"/>
  <c r="F15" i="88"/>
  <c r="M15" i="88"/>
  <c r="P15" i="88"/>
  <c r="L12" i="88"/>
  <c r="D11" i="88"/>
  <c r="I11" i="88"/>
  <c r="C7" i="88"/>
  <c r="G7" i="88"/>
  <c r="I7" i="88"/>
  <c r="M7" i="88"/>
  <c r="O7" i="88"/>
  <c r="D8" i="88"/>
  <c r="J8" i="88"/>
  <c r="P8" i="88"/>
  <c r="G9" i="88"/>
  <c r="M9" i="88"/>
  <c r="D10" i="88"/>
  <c r="J10" i="88"/>
  <c r="P10" i="88"/>
  <c r="E11" i="88"/>
  <c r="K11" i="88"/>
  <c r="D12" i="88"/>
  <c r="J12" i="88"/>
  <c r="P12" i="88"/>
  <c r="J13" i="88"/>
  <c r="P13" i="88"/>
  <c r="J14" i="88"/>
  <c r="P14" i="88"/>
  <c r="J15" i="88"/>
  <c r="D7" i="88"/>
  <c r="J7" i="88"/>
  <c r="P7" i="88"/>
  <c r="O15" i="88"/>
  <c r="P11" i="88" l="1"/>
  <c r="F11" i="88"/>
  <c r="G11" i="88"/>
  <c r="L11" i="88"/>
  <c r="M11" i="88"/>
  <c r="N15" i="86" l="1"/>
  <c r="K15" i="86"/>
  <c r="H15" i="86"/>
  <c r="E15" i="86"/>
  <c r="N14" i="86"/>
  <c r="K14" i="86"/>
  <c r="H14" i="86"/>
  <c r="E14" i="86"/>
  <c r="N13" i="86"/>
  <c r="K13" i="86"/>
  <c r="H13" i="86"/>
  <c r="E13" i="86"/>
  <c r="N12" i="86"/>
  <c r="K12" i="86"/>
  <c r="H12" i="86"/>
  <c r="E12" i="86"/>
  <c r="B12" i="86"/>
  <c r="N10" i="86"/>
  <c r="K10" i="86"/>
  <c r="H10" i="86"/>
  <c r="E10" i="86"/>
  <c r="B10" i="86"/>
  <c r="N9" i="86"/>
  <c r="K9" i="86"/>
  <c r="H9" i="86"/>
  <c r="E9" i="86"/>
  <c r="B9" i="86"/>
  <c r="N8" i="86"/>
  <c r="K8" i="86"/>
  <c r="H8" i="86"/>
  <c r="E8" i="86"/>
  <c r="B8" i="86"/>
  <c r="N7" i="86"/>
  <c r="K7" i="86"/>
  <c r="H7" i="86"/>
  <c r="E7" i="86"/>
  <c r="E11" i="86" s="1"/>
  <c r="B7" i="86"/>
  <c r="N6" i="86"/>
  <c r="O13" i="86" s="1"/>
  <c r="K6" i="86"/>
  <c r="H6" i="86"/>
  <c r="E6" i="86"/>
  <c r="B6" i="86"/>
  <c r="K11" i="86" l="1"/>
  <c r="L9" i="86"/>
  <c r="F9" i="86"/>
  <c r="O10" i="86"/>
  <c r="I8" i="86"/>
  <c r="I13" i="86"/>
  <c r="I14" i="86"/>
  <c r="I15" i="86"/>
  <c r="C10" i="86"/>
  <c r="C12" i="86"/>
  <c r="D8" i="86"/>
  <c r="F8" i="86"/>
  <c r="P8" i="86"/>
  <c r="C9" i="86"/>
  <c r="I9" i="86"/>
  <c r="O9" i="86"/>
  <c r="J10" i="86"/>
  <c r="L10" i="86"/>
  <c r="J12" i="86"/>
  <c r="P12" i="86"/>
  <c r="F13" i="86"/>
  <c r="P13" i="86"/>
  <c r="F14" i="86"/>
  <c r="P14" i="86"/>
  <c r="F15" i="86"/>
  <c r="P15" i="86"/>
  <c r="C7" i="86"/>
  <c r="I7" i="86"/>
  <c r="O7" i="86"/>
  <c r="C8" i="86"/>
  <c r="J8" i="86"/>
  <c r="L8" i="86"/>
  <c r="O8" i="86"/>
  <c r="G9" i="86"/>
  <c r="M9" i="86"/>
  <c r="D10" i="86"/>
  <c r="F10" i="86"/>
  <c r="I10" i="86"/>
  <c r="P10" i="86"/>
  <c r="D12" i="86"/>
  <c r="F12" i="86"/>
  <c r="L12" i="86"/>
  <c r="O12" i="86"/>
  <c r="J13" i="86"/>
  <c r="L13" i="86"/>
  <c r="J14" i="86"/>
  <c r="L14" i="86"/>
  <c r="O14" i="86"/>
  <c r="J15" i="86"/>
  <c r="L15" i="86"/>
  <c r="O15" i="86"/>
  <c r="I12" i="86"/>
  <c r="G11" i="86"/>
  <c r="F11" i="86"/>
  <c r="M11" i="86"/>
  <c r="L11" i="86"/>
  <c r="D7" i="86"/>
  <c r="F7" i="86"/>
  <c r="J7" i="86"/>
  <c r="L7" i="86"/>
  <c r="P7" i="86"/>
  <c r="G8" i="86"/>
  <c r="M8" i="86"/>
  <c r="D9" i="86"/>
  <c r="J9" i="86"/>
  <c r="P9" i="86"/>
  <c r="G10" i="86"/>
  <c r="M10" i="86"/>
  <c r="B11" i="86"/>
  <c r="H11" i="86"/>
  <c r="N11" i="86"/>
  <c r="G12" i="86"/>
  <c r="M12" i="86"/>
  <c r="G13" i="86"/>
  <c r="M13" i="86"/>
  <c r="G14" i="86"/>
  <c r="M14" i="86"/>
  <c r="G15" i="86"/>
  <c r="M15" i="86"/>
  <c r="G7" i="86"/>
  <c r="M7" i="86"/>
  <c r="I11" i="86" l="1"/>
  <c r="J11" i="86"/>
  <c r="O11" i="86"/>
  <c r="P11" i="86"/>
  <c r="C11" i="86"/>
  <c r="D11" i="86"/>
  <c r="N15" i="85" l="1"/>
  <c r="K15" i="85"/>
  <c r="H15" i="85"/>
  <c r="E15" i="85"/>
  <c r="N14" i="85"/>
  <c r="K14" i="85"/>
  <c r="H14" i="85"/>
  <c r="E14" i="85"/>
  <c r="N13" i="85"/>
  <c r="K13" i="85"/>
  <c r="H13" i="85"/>
  <c r="E13" i="85"/>
  <c r="N12" i="85"/>
  <c r="K12" i="85"/>
  <c r="H12" i="85"/>
  <c r="E12" i="85"/>
  <c r="B12" i="85"/>
  <c r="N10" i="85"/>
  <c r="O10" i="85" s="1"/>
  <c r="K10" i="85"/>
  <c r="H10" i="85"/>
  <c r="E10" i="85"/>
  <c r="B10" i="85"/>
  <c r="N9" i="85"/>
  <c r="K9" i="85"/>
  <c r="H9" i="85"/>
  <c r="E9" i="85"/>
  <c r="B9" i="85"/>
  <c r="N8" i="85"/>
  <c r="K8" i="85"/>
  <c r="H8" i="85"/>
  <c r="E8" i="85"/>
  <c r="B8" i="85"/>
  <c r="N7" i="85"/>
  <c r="K7" i="85"/>
  <c r="H7" i="85"/>
  <c r="E7" i="85"/>
  <c r="E11" i="85" s="1"/>
  <c r="B7" i="85"/>
  <c r="N6" i="85"/>
  <c r="K6" i="85"/>
  <c r="H6" i="85"/>
  <c r="I10" i="85" s="1"/>
  <c r="E6" i="85"/>
  <c r="B6" i="85"/>
  <c r="C8" i="85" s="1"/>
  <c r="O14" i="85" l="1"/>
  <c r="I8" i="85"/>
  <c r="I13" i="85"/>
  <c r="I15" i="85"/>
  <c r="K11" i="85"/>
  <c r="L11" i="85" s="1"/>
  <c r="C10" i="85"/>
  <c r="I14" i="85"/>
  <c r="F9" i="85"/>
  <c r="L9" i="85"/>
  <c r="D8" i="85"/>
  <c r="F8" i="85"/>
  <c r="P8" i="85"/>
  <c r="C9" i="85"/>
  <c r="I9" i="85"/>
  <c r="O9" i="85"/>
  <c r="J10" i="85"/>
  <c r="L10" i="85"/>
  <c r="F12" i="85"/>
  <c r="L12" i="85"/>
  <c r="F13" i="85"/>
  <c r="P13" i="85"/>
  <c r="F14" i="85"/>
  <c r="P14" i="85"/>
  <c r="F15" i="85"/>
  <c r="P15" i="85"/>
  <c r="C7" i="85"/>
  <c r="I7" i="85"/>
  <c r="O7" i="85"/>
  <c r="J8" i="85"/>
  <c r="L8" i="85"/>
  <c r="O8" i="85"/>
  <c r="G9" i="85"/>
  <c r="M9" i="85"/>
  <c r="D10" i="85"/>
  <c r="F10" i="85"/>
  <c r="P10" i="85"/>
  <c r="D12" i="85"/>
  <c r="J12" i="85"/>
  <c r="P12" i="85"/>
  <c r="J13" i="85"/>
  <c r="L13" i="85"/>
  <c r="O13" i="85"/>
  <c r="J14" i="85"/>
  <c r="L14" i="85"/>
  <c r="J15" i="85"/>
  <c r="L15" i="85"/>
  <c r="O15" i="85"/>
  <c r="I12" i="85"/>
  <c r="C12" i="85"/>
  <c r="O12" i="85"/>
  <c r="G11" i="85"/>
  <c r="F11" i="85"/>
  <c r="M11" i="85"/>
  <c r="D7" i="85"/>
  <c r="F7" i="85"/>
  <c r="J7" i="85"/>
  <c r="L7" i="85"/>
  <c r="P7" i="85"/>
  <c r="G8" i="85"/>
  <c r="M8" i="85"/>
  <c r="D9" i="85"/>
  <c r="J9" i="85"/>
  <c r="P9" i="85"/>
  <c r="G10" i="85"/>
  <c r="M10" i="85"/>
  <c r="B11" i="85"/>
  <c r="H11" i="85"/>
  <c r="N11" i="85"/>
  <c r="G12" i="85"/>
  <c r="M12" i="85"/>
  <c r="G13" i="85"/>
  <c r="M13" i="85"/>
  <c r="G14" i="85"/>
  <c r="M14" i="85"/>
  <c r="G15" i="85"/>
  <c r="M15" i="85"/>
  <c r="G7" i="85"/>
  <c r="M7" i="85"/>
  <c r="N15" i="84"/>
  <c r="K15" i="84"/>
  <c r="H15" i="84"/>
  <c r="E15" i="84"/>
  <c r="N14" i="84"/>
  <c r="K14" i="84"/>
  <c r="L14" i="84" s="1"/>
  <c r="H14" i="84"/>
  <c r="E14" i="84"/>
  <c r="N13" i="84"/>
  <c r="K13" i="84"/>
  <c r="L13" i="84" s="1"/>
  <c r="H13" i="84"/>
  <c r="E13" i="84"/>
  <c r="N12" i="84"/>
  <c r="K12" i="84"/>
  <c r="H12" i="84"/>
  <c r="E12" i="84"/>
  <c r="B12" i="84"/>
  <c r="N10" i="84"/>
  <c r="K10" i="84"/>
  <c r="H10" i="84"/>
  <c r="E10" i="84"/>
  <c r="B10" i="84"/>
  <c r="N9" i="84"/>
  <c r="K9" i="84"/>
  <c r="M9" i="84" s="1"/>
  <c r="H9" i="84"/>
  <c r="E9" i="84"/>
  <c r="B9" i="84"/>
  <c r="N8" i="84"/>
  <c r="K8" i="84"/>
  <c r="H8" i="84"/>
  <c r="E8" i="84"/>
  <c r="B8" i="84"/>
  <c r="N7" i="84"/>
  <c r="K7" i="84"/>
  <c r="H7" i="84"/>
  <c r="E7" i="84"/>
  <c r="B7" i="84"/>
  <c r="N6" i="84"/>
  <c r="K6" i="84"/>
  <c r="H6" i="84"/>
  <c r="E6" i="84"/>
  <c r="B6" i="84"/>
  <c r="F13" i="84" l="1"/>
  <c r="F15" i="84"/>
  <c r="F12" i="84"/>
  <c r="O14" i="84"/>
  <c r="K11" i="84"/>
  <c r="G9" i="84"/>
  <c r="F14" i="84"/>
  <c r="L15" i="84"/>
  <c r="L12" i="84"/>
  <c r="I11" i="85"/>
  <c r="J11" i="85"/>
  <c r="O11" i="85"/>
  <c r="P11" i="85"/>
  <c r="C11" i="85"/>
  <c r="D11" i="85"/>
  <c r="E11" i="84"/>
  <c r="F11" i="84" s="1"/>
  <c r="I15" i="84"/>
  <c r="D8" i="84"/>
  <c r="J8" i="84"/>
  <c r="P8" i="84"/>
  <c r="D10" i="84"/>
  <c r="J10" i="84"/>
  <c r="P10" i="84"/>
  <c r="F7" i="84"/>
  <c r="L7" i="84"/>
  <c r="C7" i="84"/>
  <c r="I7" i="84"/>
  <c r="O7" i="84"/>
  <c r="F8" i="84"/>
  <c r="L8" i="84"/>
  <c r="C9" i="84"/>
  <c r="I9" i="84"/>
  <c r="O9" i="84"/>
  <c r="F10" i="84"/>
  <c r="L10" i="84"/>
  <c r="D12" i="84"/>
  <c r="J12" i="84"/>
  <c r="P12" i="84"/>
  <c r="J13" i="84"/>
  <c r="P13" i="84"/>
  <c r="J14" i="84"/>
  <c r="P14" i="84"/>
  <c r="J15" i="84"/>
  <c r="P15" i="84"/>
  <c r="C12" i="84"/>
  <c r="G11" i="84"/>
  <c r="M11" i="84"/>
  <c r="L11" i="84"/>
  <c r="D7" i="84"/>
  <c r="J7" i="84"/>
  <c r="P7" i="84"/>
  <c r="C8" i="84"/>
  <c r="G8" i="84"/>
  <c r="I8" i="84"/>
  <c r="M8" i="84"/>
  <c r="O8" i="84"/>
  <c r="D9" i="84"/>
  <c r="F9" i="84"/>
  <c r="J9" i="84"/>
  <c r="L9" i="84"/>
  <c r="P9" i="84"/>
  <c r="C10" i="84"/>
  <c r="G10" i="84"/>
  <c r="I10" i="84"/>
  <c r="M10" i="84"/>
  <c r="O10" i="84"/>
  <c r="B11" i="84"/>
  <c r="H11" i="84"/>
  <c r="N11" i="84"/>
  <c r="G12" i="84"/>
  <c r="I12" i="84"/>
  <c r="M12" i="84"/>
  <c r="O12" i="84"/>
  <c r="G13" i="84"/>
  <c r="I13" i="84"/>
  <c r="M13" i="84"/>
  <c r="O13" i="84"/>
  <c r="G14" i="84"/>
  <c r="I14" i="84"/>
  <c r="M14" i="84"/>
  <c r="G15" i="84"/>
  <c r="M15" i="84"/>
  <c r="O15" i="84"/>
  <c r="G7" i="84"/>
  <c r="M7" i="84"/>
  <c r="N15" i="83"/>
  <c r="K15" i="83"/>
  <c r="H15" i="83"/>
  <c r="E15" i="83"/>
  <c r="N14" i="83"/>
  <c r="K14" i="83"/>
  <c r="H14" i="83"/>
  <c r="E14" i="83"/>
  <c r="N13" i="83"/>
  <c r="K13" i="83"/>
  <c r="H13" i="83"/>
  <c r="E13" i="83"/>
  <c r="N12" i="83"/>
  <c r="K12" i="83"/>
  <c r="H12" i="83"/>
  <c r="E12" i="83"/>
  <c r="B12" i="83"/>
  <c r="N10" i="83"/>
  <c r="K10" i="83"/>
  <c r="H10" i="83"/>
  <c r="E10" i="83"/>
  <c r="B10" i="83"/>
  <c r="N9" i="83"/>
  <c r="K9" i="83"/>
  <c r="H9" i="83"/>
  <c r="E9" i="83"/>
  <c r="B9" i="83"/>
  <c r="D9" i="83" s="1"/>
  <c r="N8" i="83"/>
  <c r="K8" i="83"/>
  <c r="H8" i="83"/>
  <c r="E8" i="83"/>
  <c r="B8" i="83"/>
  <c r="N7" i="83"/>
  <c r="O7" i="83" s="1"/>
  <c r="K7" i="83"/>
  <c r="H7" i="83"/>
  <c r="E7" i="83"/>
  <c r="B7" i="83"/>
  <c r="D7" i="83" s="1"/>
  <c r="N6" i="83"/>
  <c r="K6" i="83"/>
  <c r="L10" i="83" s="1"/>
  <c r="H6" i="83"/>
  <c r="E6" i="83"/>
  <c r="B6" i="83"/>
  <c r="D8" i="83" l="1"/>
  <c r="G8" i="83"/>
  <c r="C12" i="83"/>
  <c r="G7" i="83"/>
  <c r="P9" i="83"/>
  <c r="O13" i="83"/>
  <c r="I11" i="84"/>
  <c r="J11" i="84"/>
  <c r="O11" i="84"/>
  <c r="P11" i="84"/>
  <c r="C11" i="84"/>
  <c r="D11" i="84"/>
  <c r="J15" i="83"/>
  <c r="G13" i="83"/>
  <c r="I8" i="83"/>
  <c r="M9" i="83"/>
  <c r="J10" i="83"/>
  <c r="F13" i="83"/>
  <c r="M10" i="83"/>
  <c r="L8" i="83"/>
  <c r="L12" i="83"/>
  <c r="L14" i="83"/>
  <c r="L15" i="83"/>
  <c r="J8" i="83"/>
  <c r="J12" i="83"/>
  <c r="J7" i="83"/>
  <c r="I9" i="83"/>
  <c r="L13" i="83"/>
  <c r="C7" i="83"/>
  <c r="K11" i="83"/>
  <c r="L11" i="83" s="1"/>
  <c r="P8" i="83"/>
  <c r="J9" i="83"/>
  <c r="F10" i="83"/>
  <c r="D12" i="83"/>
  <c r="P12" i="83"/>
  <c r="P13" i="83"/>
  <c r="P14" i="83"/>
  <c r="P15" i="83"/>
  <c r="L7" i="83"/>
  <c r="P7" i="83"/>
  <c r="M8" i="83"/>
  <c r="F9" i="83"/>
  <c r="C10" i="83"/>
  <c r="G10" i="83"/>
  <c r="O10" i="83"/>
  <c r="H11" i="83"/>
  <c r="I12" i="83"/>
  <c r="M12" i="83"/>
  <c r="I13" i="83"/>
  <c r="M13" i="83"/>
  <c r="I14" i="83"/>
  <c r="M14" i="83"/>
  <c r="I15" i="83"/>
  <c r="M15" i="83"/>
  <c r="M7" i="83"/>
  <c r="C9" i="83"/>
  <c r="G9" i="83"/>
  <c r="O9" i="83"/>
  <c r="D10" i="83"/>
  <c r="P10" i="83"/>
  <c r="E11" i="83"/>
  <c r="F12" i="83"/>
  <c r="J13" i="83"/>
  <c r="F14" i="83"/>
  <c r="J14" i="83"/>
  <c r="F15" i="83"/>
  <c r="I7" i="83"/>
  <c r="O8" i="83"/>
  <c r="G14" i="83"/>
  <c r="O14" i="83"/>
  <c r="G15" i="83"/>
  <c r="O15" i="83"/>
  <c r="F8" i="83"/>
  <c r="F7" i="83"/>
  <c r="C8" i="83"/>
  <c r="L9" i="83"/>
  <c r="I10" i="83"/>
  <c r="B11" i="83"/>
  <c r="N11" i="83"/>
  <c r="G12" i="83"/>
  <c r="O12" i="83"/>
  <c r="N15" i="82"/>
  <c r="K15" i="82"/>
  <c r="H15" i="82"/>
  <c r="E15" i="82"/>
  <c r="N14" i="82"/>
  <c r="K14" i="82"/>
  <c r="H14" i="82"/>
  <c r="E14" i="82"/>
  <c r="N13" i="82"/>
  <c r="K13" i="82"/>
  <c r="H13" i="82"/>
  <c r="E13" i="82"/>
  <c r="N12" i="82"/>
  <c r="K12" i="82"/>
  <c r="H12" i="82"/>
  <c r="E12" i="82"/>
  <c r="B12" i="82"/>
  <c r="N10" i="82"/>
  <c r="K10" i="82"/>
  <c r="H10" i="82"/>
  <c r="E10" i="82"/>
  <c r="B10" i="82"/>
  <c r="N9" i="82"/>
  <c r="K9" i="82"/>
  <c r="H9" i="82"/>
  <c r="I9" i="82" s="1"/>
  <c r="E9" i="82"/>
  <c r="B9" i="82"/>
  <c r="N8" i="82"/>
  <c r="K8" i="82"/>
  <c r="H8" i="82"/>
  <c r="E8" i="82"/>
  <c r="F8" i="82" s="1"/>
  <c r="B8" i="82"/>
  <c r="N7" i="82"/>
  <c r="O7" i="82" s="1"/>
  <c r="K7" i="82"/>
  <c r="H7" i="82"/>
  <c r="E7" i="82"/>
  <c r="B7" i="82"/>
  <c r="C7" i="82" s="1"/>
  <c r="N6" i="82"/>
  <c r="K6" i="82"/>
  <c r="L15" i="82" s="1"/>
  <c r="H6" i="82"/>
  <c r="E6" i="82"/>
  <c r="B6" i="82"/>
  <c r="P12" i="82" l="1"/>
  <c r="J14" i="82"/>
  <c r="P15" i="82"/>
  <c r="J8" i="82"/>
  <c r="M9" i="82"/>
  <c r="P10" i="82"/>
  <c r="L10" i="82"/>
  <c r="I7" i="82"/>
  <c r="L8" i="82"/>
  <c r="O9" i="82"/>
  <c r="I10" i="82"/>
  <c r="P8" i="82"/>
  <c r="G13" i="82"/>
  <c r="M14" i="82"/>
  <c r="D12" i="82"/>
  <c r="J13" i="82"/>
  <c r="P14" i="82"/>
  <c r="K11" i="82"/>
  <c r="L11" i="82" s="1"/>
  <c r="D10" i="82"/>
  <c r="G12" i="82"/>
  <c r="M13" i="82"/>
  <c r="G15" i="82"/>
  <c r="C9" i="82"/>
  <c r="F10" i="82"/>
  <c r="J12" i="82"/>
  <c r="P13" i="82"/>
  <c r="J15" i="82"/>
  <c r="E11" i="82"/>
  <c r="F11" i="82" s="1"/>
  <c r="D8" i="82"/>
  <c r="G9" i="82"/>
  <c r="J10" i="82"/>
  <c r="M12" i="82"/>
  <c r="G14" i="82"/>
  <c r="M15" i="82"/>
  <c r="M11" i="83"/>
  <c r="O11" i="83"/>
  <c r="P11" i="83"/>
  <c r="C11" i="83"/>
  <c r="D11" i="83"/>
  <c r="J11" i="83"/>
  <c r="I11" i="83"/>
  <c r="G11" i="83"/>
  <c r="F11" i="83"/>
  <c r="F15" i="82"/>
  <c r="C10" i="82"/>
  <c r="G11" i="82"/>
  <c r="D7" i="82"/>
  <c r="F7" i="82"/>
  <c r="J7" i="82"/>
  <c r="L7" i="82"/>
  <c r="P7" i="82"/>
  <c r="C8" i="82"/>
  <c r="G8" i="82"/>
  <c r="I8" i="82"/>
  <c r="M8" i="82"/>
  <c r="O8" i="82"/>
  <c r="D9" i="82"/>
  <c r="F9" i="82"/>
  <c r="J9" i="82"/>
  <c r="L9" i="82"/>
  <c r="P9" i="82"/>
  <c r="G10" i="82"/>
  <c r="M10" i="82"/>
  <c r="O10" i="82"/>
  <c r="B11" i="82"/>
  <c r="H11" i="82"/>
  <c r="N11" i="82"/>
  <c r="C12" i="82"/>
  <c r="I12" i="82"/>
  <c r="O12" i="82"/>
  <c r="I13" i="82"/>
  <c r="O13" i="82"/>
  <c r="I14" i="82"/>
  <c r="O14" i="82"/>
  <c r="I15" i="82"/>
  <c r="O15" i="82"/>
  <c r="G7" i="82"/>
  <c r="M7" i="82"/>
  <c r="F12" i="82"/>
  <c r="L12" i="82"/>
  <c r="F13" i="82"/>
  <c r="L13" i="82"/>
  <c r="F14" i="82"/>
  <c r="L14" i="82"/>
  <c r="N15" i="81"/>
  <c r="K15" i="81"/>
  <c r="H15" i="81"/>
  <c r="E15" i="81"/>
  <c r="N14" i="81"/>
  <c r="K14" i="81"/>
  <c r="H14" i="81"/>
  <c r="E14" i="81"/>
  <c r="N13" i="81"/>
  <c r="K13" i="81"/>
  <c r="H13" i="81"/>
  <c r="E13" i="81"/>
  <c r="N12" i="81"/>
  <c r="K12" i="81"/>
  <c r="H12" i="81"/>
  <c r="E12" i="81"/>
  <c r="B12" i="81"/>
  <c r="N10" i="81"/>
  <c r="K10" i="81"/>
  <c r="H10" i="81"/>
  <c r="E10" i="81"/>
  <c r="B10" i="81"/>
  <c r="N9" i="81"/>
  <c r="K9" i="81"/>
  <c r="H9" i="81"/>
  <c r="E9" i="81"/>
  <c r="B9" i="81"/>
  <c r="N8" i="81"/>
  <c r="K8" i="81"/>
  <c r="H8" i="81"/>
  <c r="E8" i="81"/>
  <c r="B8" i="81"/>
  <c r="N7" i="81"/>
  <c r="K7" i="81"/>
  <c r="H7" i="81"/>
  <c r="E7" i="81"/>
  <c r="B7" i="81"/>
  <c r="N6" i="81"/>
  <c r="K6" i="81"/>
  <c r="H6" i="81"/>
  <c r="E6" i="81"/>
  <c r="B6" i="81"/>
  <c r="M11" i="82" l="1"/>
  <c r="C8" i="81"/>
  <c r="I10" i="81"/>
  <c r="I11" i="82"/>
  <c r="J11" i="82"/>
  <c r="O11" i="82"/>
  <c r="P11" i="82"/>
  <c r="C11" i="82"/>
  <c r="D11" i="82"/>
  <c r="E11" i="81"/>
  <c r="G11" i="81" s="1"/>
  <c r="I7" i="81"/>
  <c r="C7" i="81"/>
  <c r="F9" i="81"/>
  <c r="L9" i="81"/>
  <c r="O14" i="81"/>
  <c r="O7" i="81"/>
  <c r="J8" i="81"/>
  <c r="L8" i="81"/>
  <c r="O8" i="81"/>
  <c r="G9" i="81"/>
  <c r="M9" i="81"/>
  <c r="D10" i="81"/>
  <c r="F10" i="81"/>
  <c r="P10" i="81"/>
  <c r="D12" i="81"/>
  <c r="J12" i="81"/>
  <c r="P12" i="81"/>
  <c r="J13" i="81"/>
  <c r="L13" i="81"/>
  <c r="O13" i="81"/>
  <c r="J14" i="81"/>
  <c r="L14" i="81"/>
  <c r="J15" i="81"/>
  <c r="L15" i="81"/>
  <c r="K11" i="81"/>
  <c r="L11" i="81" s="1"/>
  <c r="D8" i="81"/>
  <c r="F8" i="81"/>
  <c r="I8" i="81"/>
  <c r="P8" i="81"/>
  <c r="C9" i="81"/>
  <c r="I9" i="81"/>
  <c r="O9" i="81"/>
  <c r="C10" i="81"/>
  <c r="J10" i="81"/>
  <c r="L10" i="81"/>
  <c r="O10" i="81"/>
  <c r="F12" i="81"/>
  <c r="L12" i="81"/>
  <c r="F13" i="81"/>
  <c r="I13" i="81"/>
  <c r="P13" i="81"/>
  <c r="F14" i="81"/>
  <c r="I14" i="81"/>
  <c r="P14" i="81"/>
  <c r="F15" i="81"/>
  <c r="I15" i="81"/>
  <c r="P15" i="81"/>
  <c r="C12" i="81"/>
  <c r="O12" i="81"/>
  <c r="I12" i="81"/>
  <c r="O15" i="81"/>
  <c r="D7" i="81"/>
  <c r="F7" i="81"/>
  <c r="J7" i="81"/>
  <c r="L7" i="81"/>
  <c r="P7" i="81"/>
  <c r="G8" i="81"/>
  <c r="M8" i="81"/>
  <c r="D9" i="81"/>
  <c r="J9" i="81"/>
  <c r="P9" i="81"/>
  <c r="G10" i="81"/>
  <c r="M10" i="81"/>
  <c r="B11" i="81"/>
  <c r="H11" i="81"/>
  <c r="N11" i="81"/>
  <c r="G12" i="81"/>
  <c r="M12" i="81"/>
  <c r="G13" i="81"/>
  <c r="M13" i="81"/>
  <c r="G14" i="81"/>
  <c r="M14" i="81"/>
  <c r="G15" i="81"/>
  <c r="M15" i="81"/>
  <c r="G7" i="81"/>
  <c r="M7" i="81"/>
  <c r="N15" i="80"/>
  <c r="K15" i="80"/>
  <c r="H15" i="80"/>
  <c r="E15" i="80"/>
  <c r="N14" i="80"/>
  <c r="K14" i="80"/>
  <c r="H14" i="80"/>
  <c r="E14" i="80"/>
  <c r="N13" i="80"/>
  <c r="O13" i="80" s="1"/>
  <c r="K13" i="80"/>
  <c r="H13" i="80"/>
  <c r="E13" i="80"/>
  <c r="N12" i="80"/>
  <c r="K12" i="80"/>
  <c r="H12" i="80"/>
  <c r="E12" i="80"/>
  <c r="B12" i="80"/>
  <c r="N10" i="80"/>
  <c r="K10" i="80"/>
  <c r="H10" i="80"/>
  <c r="E10" i="80"/>
  <c r="B10" i="80"/>
  <c r="N9" i="80"/>
  <c r="K9" i="80"/>
  <c r="H9" i="80"/>
  <c r="E9" i="80"/>
  <c r="B9" i="80"/>
  <c r="N8" i="80"/>
  <c r="O8" i="80" s="1"/>
  <c r="K8" i="80"/>
  <c r="H8" i="80"/>
  <c r="E8" i="80"/>
  <c r="B8" i="80"/>
  <c r="C8" i="80" s="1"/>
  <c r="N7" i="80"/>
  <c r="K7" i="80"/>
  <c r="K11" i="80" s="1"/>
  <c r="H7" i="80"/>
  <c r="E7" i="80"/>
  <c r="B7" i="80"/>
  <c r="N6" i="80"/>
  <c r="O10" i="80" s="1"/>
  <c r="K6" i="80"/>
  <c r="H6" i="80"/>
  <c r="I14" i="80" s="1"/>
  <c r="E6" i="80"/>
  <c r="B6" i="80"/>
  <c r="C12" i="80" s="1"/>
  <c r="I10" i="80" l="1"/>
  <c r="O12" i="80"/>
  <c r="F9" i="80"/>
  <c r="O14" i="80"/>
  <c r="F11" i="81"/>
  <c r="M11" i="81"/>
  <c r="O11" i="81"/>
  <c r="P11" i="81"/>
  <c r="C11" i="81"/>
  <c r="D11" i="81"/>
  <c r="I11" i="81"/>
  <c r="J11" i="81"/>
  <c r="E11" i="80"/>
  <c r="F11" i="80" s="1"/>
  <c r="L9" i="80"/>
  <c r="L10" i="80"/>
  <c r="F8" i="80"/>
  <c r="C7" i="80"/>
  <c r="I7" i="80"/>
  <c r="O7" i="80"/>
  <c r="J8" i="80"/>
  <c r="L8" i="80"/>
  <c r="G9" i="80"/>
  <c r="M9" i="80"/>
  <c r="D10" i="80"/>
  <c r="F10" i="80"/>
  <c r="P10" i="80"/>
  <c r="D12" i="80"/>
  <c r="F12" i="80"/>
  <c r="L12" i="80"/>
  <c r="J13" i="80"/>
  <c r="L13" i="80"/>
  <c r="J14" i="80"/>
  <c r="L14" i="80"/>
  <c r="J15" i="80"/>
  <c r="L15" i="80"/>
  <c r="D8" i="80"/>
  <c r="I8" i="80"/>
  <c r="P8" i="80"/>
  <c r="C9" i="80"/>
  <c r="I9" i="80"/>
  <c r="O9" i="80"/>
  <c r="C10" i="80"/>
  <c r="J10" i="80"/>
  <c r="J12" i="80"/>
  <c r="P12" i="80"/>
  <c r="F13" i="80"/>
  <c r="I13" i="80"/>
  <c r="P13" i="80"/>
  <c r="F14" i="80"/>
  <c r="P14" i="80"/>
  <c r="F15" i="80"/>
  <c r="I15" i="80"/>
  <c r="P15" i="80"/>
  <c r="I12" i="80"/>
  <c r="G11" i="80"/>
  <c r="M11" i="80"/>
  <c r="L11" i="80"/>
  <c r="D7" i="80"/>
  <c r="F7" i="80"/>
  <c r="J7" i="80"/>
  <c r="L7" i="80"/>
  <c r="P7" i="80"/>
  <c r="G8" i="80"/>
  <c r="M8" i="80"/>
  <c r="D9" i="80"/>
  <c r="J9" i="80"/>
  <c r="P9" i="80"/>
  <c r="G10" i="80"/>
  <c r="M10" i="80"/>
  <c r="B11" i="80"/>
  <c r="H11" i="80"/>
  <c r="N11" i="80"/>
  <c r="G12" i="80"/>
  <c r="M12" i="80"/>
  <c r="G13" i="80"/>
  <c r="M13" i="80"/>
  <c r="G14" i="80"/>
  <c r="M14" i="80"/>
  <c r="G15" i="80"/>
  <c r="M15" i="80"/>
  <c r="O15" i="80"/>
  <c r="G7" i="80"/>
  <c r="M7" i="80"/>
  <c r="I11" i="80" l="1"/>
  <c r="J11" i="80"/>
  <c r="O11" i="80"/>
  <c r="P11" i="80"/>
  <c r="C11" i="80"/>
  <c r="D11" i="80"/>
  <c r="N15" i="79" l="1"/>
  <c r="K15" i="79"/>
  <c r="H15" i="79"/>
  <c r="E15" i="79"/>
  <c r="N14" i="79"/>
  <c r="K14" i="79"/>
  <c r="H14" i="79"/>
  <c r="E14" i="79"/>
  <c r="N13" i="79"/>
  <c r="K13" i="79"/>
  <c r="H13" i="79"/>
  <c r="E13" i="79"/>
  <c r="N12" i="79"/>
  <c r="K12" i="79"/>
  <c r="H12" i="79"/>
  <c r="E12" i="79"/>
  <c r="B12" i="79"/>
  <c r="N10" i="79"/>
  <c r="K10" i="79"/>
  <c r="H10" i="79"/>
  <c r="E10" i="79"/>
  <c r="B10" i="79"/>
  <c r="N9" i="79"/>
  <c r="K9" i="79"/>
  <c r="H9" i="79"/>
  <c r="E9" i="79"/>
  <c r="B9" i="79"/>
  <c r="N8" i="79"/>
  <c r="K8" i="79"/>
  <c r="H8" i="79"/>
  <c r="E8" i="79"/>
  <c r="B8" i="79"/>
  <c r="N7" i="79"/>
  <c r="K7" i="79"/>
  <c r="H7" i="79"/>
  <c r="E7" i="79"/>
  <c r="B7" i="79"/>
  <c r="N6" i="79"/>
  <c r="K6" i="79"/>
  <c r="H6" i="79"/>
  <c r="I10" i="79" s="1"/>
  <c r="E6" i="79"/>
  <c r="B6" i="79"/>
  <c r="N15" i="78"/>
  <c r="K15" i="78"/>
  <c r="H15" i="78"/>
  <c r="E15" i="78"/>
  <c r="N14" i="78"/>
  <c r="K14" i="78"/>
  <c r="H14" i="78"/>
  <c r="E14" i="78"/>
  <c r="N13" i="78"/>
  <c r="K13" i="78"/>
  <c r="H13" i="78"/>
  <c r="E13" i="78"/>
  <c r="N12" i="78"/>
  <c r="K12" i="78"/>
  <c r="H12" i="78"/>
  <c r="E12" i="78"/>
  <c r="B12" i="78"/>
  <c r="N10" i="78"/>
  <c r="P10" i="78" s="1"/>
  <c r="K10" i="78"/>
  <c r="H10" i="78"/>
  <c r="E10" i="78"/>
  <c r="B10" i="78"/>
  <c r="N9" i="78"/>
  <c r="K9" i="78"/>
  <c r="H9" i="78"/>
  <c r="E9" i="78"/>
  <c r="B9" i="78"/>
  <c r="N8" i="78"/>
  <c r="O8" i="78" s="1"/>
  <c r="K8" i="78"/>
  <c r="H8" i="78"/>
  <c r="E8" i="78"/>
  <c r="B8" i="78"/>
  <c r="N7" i="78"/>
  <c r="O7" i="78" s="1"/>
  <c r="K7" i="78"/>
  <c r="H7" i="78"/>
  <c r="E7" i="78"/>
  <c r="B7" i="78"/>
  <c r="N6" i="78"/>
  <c r="K6" i="78"/>
  <c r="H6" i="78"/>
  <c r="I15" i="78" s="1"/>
  <c r="E6" i="78"/>
  <c r="B6" i="78"/>
  <c r="P14" i="78" l="1"/>
  <c r="P13" i="78"/>
  <c r="P15" i="78"/>
  <c r="L9" i="79"/>
  <c r="F9" i="79"/>
  <c r="O8" i="79"/>
  <c r="P10" i="79"/>
  <c r="O7" i="79"/>
  <c r="P12" i="79"/>
  <c r="O13" i="79"/>
  <c r="O14" i="79"/>
  <c r="I7" i="79"/>
  <c r="J8" i="79"/>
  <c r="J12" i="79"/>
  <c r="J13" i="79"/>
  <c r="J14" i="79"/>
  <c r="J15" i="79"/>
  <c r="C7" i="79"/>
  <c r="C8" i="79"/>
  <c r="D10" i="79"/>
  <c r="D12" i="79"/>
  <c r="L8" i="79"/>
  <c r="G9" i="79"/>
  <c r="M9" i="79"/>
  <c r="F10" i="79"/>
  <c r="L13" i="79"/>
  <c r="L14" i="79"/>
  <c r="L15" i="79"/>
  <c r="E11" i="79"/>
  <c r="G11" i="79" s="1"/>
  <c r="K11" i="79"/>
  <c r="L11" i="79" s="1"/>
  <c r="D8" i="79"/>
  <c r="F8" i="79"/>
  <c r="I8" i="79"/>
  <c r="P8" i="79"/>
  <c r="C9" i="79"/>
  <c r="I9" i="79"/>
  <c r="O9" i="79"/>
  <c r="C10" i="79"/>
  <c r="J10" i="79"/>
  <c r="L10" i="79"/>
  <c r="O10" i="79"/>
  <c r="F12" i="79"/>
  <c r="L12" i="79"/>
  <c r="F13" i="79"/>
  <c r="I13" i="79"/>
  <c r="P13" i="79"/>
  <c r="F14" i="79"/>
  <c r="I14" i="79"/>
  <c r="P14" i="79"/>
  <c r="F15" i="79"/>
  <c r="I15" i="79"/>
  <c r="P15" i="79"/>
  <c r="C12" i="79"/>
  <c r="O12" i="79"/>
  <c r="I12" i="79"/>
  <c r="D7" i="79"/>
  <c r="F7" i="79"/>
  <c r="J7" i="79"/>
  <c r="L7" i="79"/>
  <c r="P7" i="79"/>
  <c r="G8" i="79"/>
  <c r="M8" i="79"/>
  <c r="D9" i="79"/>
  <c r="J9" i="79"/>
  <c r="P9" i="79"/>
  <c r="G10" i="79"/>
  <c r="M10" i="79"/>
  <c r="B11" i="79"/>
  <c r="H11" i="79"/>
  <c r="N11" i="79"/>
  <c r="G12" i="79"/>
  <c r="M12" i="79"/>
  <c r="G13" i="79"/>
  <c r="M13" i="79"/>
  <c r="G14" i="79"/>
  <c r="M14" i="79"/>
  <c r="G15" i="79"/>
  <c r="M15" i="79"/>
  <c r="O15" i="79"/>
  <c r="G7" i="79"/>
  <c r="M7" i="79"/>
  <c r="L9" i="78"/>
  <c r="F9" i="78"/>
  <c r="I7" i="78"/>
  <c r="I10" i="78"/>
  <c r="I14" i="78"/>
  <c r="J8" i="78"/>
  <c r="J12" i="78"/>
  <c r="I13" i="78"/>
  <c r="C8" i="78"/>
  <c r="C7" i="78"/>
  <c r="D10" i="78"/>
  <c r="D12" i="78"/>
  <c r="L8" i="78"/>
  <c r="G9" i="78"/>
  <c r="M9" i="78"/>
  <c r="F10" i="78"/>
  <c r="L12" i="78"/>
  <c r="F13" i="78"/>
  <c r="F14" i="78"/>
  <c r="F15" i="78"/>
  <c r="E11" i="78"/>
  <c r="F11" i="78" s="1"/>
  <c r="K11" i="78"/>
  <c r="M11" i="78" s="1"/>
  <c r="D8" i="78"/>
  <c r="F8" i="78"/>
  <c r="I8" i="78"/>
  <c r="P8" i="78"/>
  <c r="C9" i="78"/>
  <c r="I9" i="78"/>
  <c r="O9" i="78"/>
  <c r="C10" i="78"/>
  <c r="J10" i="78"/>
  <c r="L10" i="78"/>
  <c r="O10" i="78"/>
  <c r="F12" i="78"/>
  <c r="I12" i="78"/>
  <c r="P12" i="78"/>
  <c r="J13" i="78"/>
  <c r="L13" i="78"/>
  <c r="O13" i="78"/>
  <c r="J14" i="78"/>
  <c r="L14" i="78"/>
  <c r="O14" i="78"/>
  <c r="J15" i="78"/>
  <c r="L15" i="78"/>
  <c r="C12" i="78"/>
  <c r="O12" i="78"/>
  <c r="M15" i="78"/>
  <c r="O15" i="78"/>
  <c r="D7" i="78"/>
  <c r="F7" i="78"/>
  <c r="J7" i="78"/>
  <c r="L7" i="78"/>
  <c r="P7" i="78"/>
  <c r="G8" i="78"/>
  <c r="M8" i="78"/>
  <c r="D9" i="78"/>
  <c r="J9" i="78"/>
  <c r="P9" i="78"/>
  <c r="G10" i="78"/>
  <c r="M10" i="78"/>
  <c r="B11" i="78"/>
  <c r="H11" i="78"/>
  <c r="N11" i="78"/>
  <c r="G12" i="78"/>
  <c r="M12" i="78"/>
  <c r="G13" i="78"/>
  <c r="M13" i="78"/>
  <c r="G14" i="78"/>
  <c r="M14" i="78"/>
  <c r="G15" i="78"/>
  <c r="G7" i="78"/>
  <c r="M7" i="78"/>
  <c r="M11" i="79" l="1"/>
  <c r="F11" i="79"/>
  <c r="I11" i="79"/>
  <c r="J11" i="79"/>
  <c r="O11" i="79"/>
  <c r="P11" i="79"/>
  <c r="C11" i="79"/>
  <c r="D11" i="79"/>
  <c r="L11" i="78"/>
  <c r="G11" i="78"/>
  <c r="I11" i="78"/>
  <c r="J11" i="78"/>
  <c r="O11" i="78"/>
  <c r="P11" i="78"/>
  <c r="C11" i="78"/>
  <c r="D11" i="78"/>
  <c r="N15" i="77" l="1"/>
  <c r="K15" i="77"/>
  <c r="H15" i="77"/>
  <c r="E15" i="77"/>
  <c r="N14" i="77"/>
  <c r="K14" i="77"/>
  <c r="H14" i="77"/>
  <c r="E14" i="77"/>
  <c r="N13" i="77"/>
  <c r="K13" i="77"/>
  <c r="H13" i="77"/>
  <c r="E13" i="77"/>
  <c r="N12" i="77"/>
  <c r="K12" i="77"/>
  <c r="H12" i="77"/>
  <c r="E12" i="77"/>
  <c r="B12" i="77"/>
  <c r="N10" i="77"/>
  <c r="K10" i="77"/>
  <c r="H10" i="77"/>
  <c r="E10" i="77"/>
  <c r="B10" i="77"/>
  <c r="N9" i="77"/>
  <c r="K9" i="77"/>
  <c r="H9" i="77"/>
  <c r="E9" i="77"/>
  <c r="B9" i="77"/>
  <c r="N8" i="77"/>
  <c r="K8" i="77"/>
  <c r="H8" i="77"/>
  <c r="E8" i="77"/>
  <c r="B8" i="77"/>
  <c r="N7" i="77"/>
  <c r="K7" i="77"/>
  <c r="H7" i="77"/>
  <c r="E7" i="77"/>
  <c r="B7" i="77"/>
  <c r="N6" i="77"/>
  <c r="K6" i="77"/>
  <c r="H6" i="77"/>
  <c r="E6" i="77"/>
  <c r="B6" i="77"/>
  <c r="B11" i="77" l="1"/>
  <c r="E11" i="77"/>
  <c r="F8" i="77"/>
  <c r="K11" i="77"/>
  <c r="N11" i="77"/>
  <c r="P11" i="77" s="1"/>
  <c r="I7" i="77"/>
  <c r="L8" i="77"/>
  <c r="H11" i="77"/>
  <c r="C9" i="77"/>
  <c r="O7" i="77"/>
  <c r="I9" i="77"/>
  <c r="J12" i="77"/>
  <c r="J13" i="77"/>
  <c r="J14" i="77"/>
  <c r="J15" i="77"/>
  <c r="P8" i="77"/>
  <c r="P10" i="77"/>
  <c r="O9" i="77"/>
  <c r="P12" i="77"/>
  <c r="P13" i="77"/>
  <c r="P14" i="77"/>
  <c r="P15" i="77"/>
  <c r="M9" i="77"/>
  <c r="L12" i="77"/>
  <c r="L13" i="77"/>
  <c r="L14" i="77"/>
  <c r="L15" i="77"/>
  <c r="M8" i="77"/>
  <c r="L10" i="77"/>
  <c r="J8" i="77"/>
  <c r="J10" i="77"/>
  <c r="G9" i="77"/>
  <c r="F12" i="77"/>
  <c r="F13" i="77"/>
  <c r="F14" i="77"/>
  <c r="F15" i="77"/>
  <c r="G8" i="77"/>
  <c r="F10" i="77"/>
  <c r="D8" i="77"/>
  <c r="D10" i="77"/>
  <c r="D9" i="77"/>
  <c r="D12" i="77"/>
  <c r="G11" i="77"/>
  <c r="F11" i="77"/>
  <c r="M11" i="77"/>
  <c r="L11" i="77"/>
  <c r="C11" i="77"/>
  <c r="D11" i="77"/>
  <c r="I11" i="77"/>
  <c r="J11" i="77"/>
  <c r="O11" i="77"/>
  <c r="D7" i="77"/>
  <c r="F7" i="77"/>
  <c r="J7" i="77"/>
  <c r="L7" i="77"/>
  <c r="P7" i="77"/>
  <c r="C8" i="77"/>
  <c r="I8" i="77"/>
  <c r="O8" i="77"/>
  <c r="F9" i="77"/>
  <c r="J9" i="77"/>
  <c r="L9" i="77"/>
  <c r="P9" i="77"/>
  <c r="C10" i="77"/>
  <c r="G10" i="77"/>
  <c r="I10" i="77"/>
  <c r="M10" i="77"/>
  <c r="O10" i="77"/>
  <c r="C12" i="77"/>
  <c r="G12" i="77"/>
  <c r="I12" i="77"/>
  <c r="M12" i="77"/>
  <c r="O12" i="77"/>
  <c r="G13" i="77"/>
  <c r="I13" i="77"/>
  <c r="M13" i="77"/>
  <c r="O13" i="77"/>
  <c r="G14" i="77"/>
  <c r="I14" i="77"/>
  <c r="M14" i="77"/>
  <c r="O14" i="77"/>
  <c r="G15" i="77"/>
  <c r="I15" i="77"/>
  <c r="M15" i="77"/>
  <c r="O15" i="77"/>
  <c r="C7" i="77"/>
  <c r="G7" i="77"/>
  <c r="M7" i="77"/>
  <c r="N15" i="76"/>
  <c r="K15" i="76"/>
  <c r="H15" i="76"/>
  <c r="E15" i="76"/>
  <c r="N14" i="76"/>
  <c r="K14" i="76"/>
  <c r="H14" i="76"/>
  <c r="E14" i="76"/>
  <c r="N13" i="76"/>
  <c r="K13" i="76"/>
  <c r="H13" i="76"/>
  <c r="E13" i="76"/>
  <c r="N12" i="76"/>
  <c r="K12" i="76"/>
  <c r="H12" i="76"/>
  <c r="E12" i="76"/>
  <c r="B12" i="76"/>
  <c r="N10" i="76"/>
  <c r="K10" i="76"/>
  <c r="H10" i="76"/>
  <c r="E10" i="76"/>
  <c r="B10" i="76"/>
  <c r="N9" i="76"/>
  <c r="K9" i="76"/>
  <c r="H9" i="76"/>
  <c r="E9" i="76"/>
  <c r="B9" i="76"/>
  <c r="N8" i="76"/>
  <c r="K8" i="76"/>
  <c r="H8" i="76"/>
  <c r="E8" i="76"/>
  <c r="B8" i="76"/>
  <c r="N7" i="76"/>
  <c r="K7" i="76"/>
  <c r="H7" i="76"/>
  <c r="E7" i="76"/>
  <c r="B7" i="76"/>
  <c r="N6" i="76"/>
  <c r="K6" i="76"/>
  <c r="H6" i="76"/>
  <c r="E6" i="76"/>
  <c r="B6" i="76"/>
  <c r="K11" i="76" l="1"/>
  <c r="F9" i="76"/>
  <c r="E11" i="76"/>
  <c r="F11" i="76" s="1"/>
  <c r="L9" i="76"/>
  <c r="O10" i="76"/>
  <c r="I8" i="76"/>
  <c r="I13" i="76"/>
  <c r="I14" i="76"/>
  <c r="I15" i="76"/>
  <c r="C10" i="76"/>
  <c r="C12" i="76"/>
  <c r="D8" i="76"/>
  <c r="F8" i="76"/>
  <c r="P8" i="76"/>
  <c r="C9" i="76"/>
  <c r="I9" i="76"/>
  <c r="O9" i="76"/>
  <c r="J10" i="76"/>
  <c r="L10" i="76"/>
  <c r="J12" i="76"/>
  <c r="P12" i="76"/>
  <c r="F13" i="76"/>
  <c r="P13" i="76"/>
  <c r="F14" i="76"/>
  <c r="P14" i="76"/>
  <c r="F15" i="76"/>
  <c r="P15" i="76"/>
  <c r="C7" i="76"/>
  <c r="I7" i="76"/>
  <c r="O7" i="76"/>
  <c r="C8" i="76"/>
  <c r="J8" i="76"/>
  <c r="L8" i="76"/>
  <c r="O8" i="76"/>
  <c r="G9" i="76"/>
  <c r="M9" i="76"/>
  <c r="D10" i="76"/>
  <c r="F10" i="76"/>
  <c r="I10" i="76"/>
  <c r="P10" i="76"/>
  <c r="D12" i="76"/>
  <c r="F12" i="76"/>
  <c r="L12" i="76"/>
  <c r="O12" i="76"/>
  <c r="J13" i="76"/>
  <c r="L13" i="76"/>
  <c r="O13" i="76"/>
  <c r="J14" i="76"/>
  <c r="L14" i="76"/>
  <c r="O14" i="76"/>
  <c r="J15" i="76"/>
  <c r="L15" i="76"/>
  <c r="O15" i="76"/>
  <c r="I12" i="76"/>
  <c r="G11" i="76"/>
  <c r="M11" i="76"/>
  <c r="L11" i="76"/>
  <c r="D7" i="76"/>
  <c r="F7" i="76"/>
  <c r="J7" i="76"/>
  <c r="L7" i="76"/>
  <c r="P7" i="76"/>
  <c r="G8" i="76"/>
  <c r="M8" i="76"/>
  <c r="D9" i="76"/>
  <c r="J9" i="76"/>
  <c r="P9" i="76"/>
  <c r="G10" i="76"/>
  <c r="M10" i="76"/>
  <c r="B11" i="76"/>
  <c r="H11" i="76"/>
  <c r="N11" i="76"/>
  <c r="G12" i="76"/>
  <c r="M12" i="76"/>
  <c r="G13" i="76"/>
  <c r="M13" i="76"/>
  <c r="G14" i="76"/>
  <c r="M14" i="76"/>
  <c r="G15" i="76"/>
  <c r="M15" i="76"/>
  <c r="G7" i="76"/>
  <c r="M7" i="76"/>
  <c r="N15" i="75"/>
  <c r="K15" i="75"/>
  <c r="H15" i="75"/>
  <c r="E15" i="75"/>
  <c r="N14" i="75"/>
  <c r="K14" i="75"/>
  <c r="H14" i="75"/>
  <c r="E14" i="75"/>
  <c r="N13" i="75"/>
  <c r="K13" i="75"/>
  <c r="H13" i="75"/>
  <c r="E13" i="75"/>
  <c r="N12" i="75"/>
  <c r="K12" i="75"/>
  <c r="H12" i="75"/>
  <c r="E12" i="75"/>
  <c r="B12" i="75"/>
  <c r="N10" i="75"/>
  <c r="K10" i="75"/>
  <c r="H10" i="75"/>
  <c r="E10" i="75"/>
  <c r="B10" i="75"/>
  <c r="N9" i="75"/>
  <c r="K9" i="75"/>
  <c r="H9" i="75"/>
  <c r="E9" i="75"/>
  <c r="B9" i="75"/>
  <c r="N8" i="75"/>
  <c r="K8" i="75"/>
  <c r="H8" i="75"/>
  <c r="E8" i="75"/>
  <c r="B8" i="75"/>
  <c r="N7" i="75"/>
  <c r="K7" i="75"/>
  <c r="H7" i="75"/>
  <c r="E7" i="75"/>
  <c r="B7" i="75"/>
  <c r="N6" i="75"/>
  <c r="O9" i="75" s="1"/>
  <c r="K6" i="75"/>
  <c r="H6" i="75"/>
  <c r="E6" i="75"/>
  <c r="B6" i="75"/>
  <c r="N15" i="74"/>
  <c r="K15" i="74"/>
  <c r="H15" i="74"/>
  <c r="E15" i="74"/>
  <c r="N14" i="74"/>
  <c r="K14" i="74"/>
  <c r="H14" i="74"/>
  <c r="E14" i="74"/>
  <c r="N13" i="74"/>
  <c r="K13" i="74"/>
  <c r="H13" i="74"/>
  <c r="E13" i="74"/>
  <c r="N12" i="74"/>
  <c r="K12" i="74"/>
  <c r="H12" i="74"/>
  <c r="E12" i="74"/>
  <c r="B12" i="74"/>
  <c r="N10" i="74"/>
  <c r="K10" i="74"/>
  <c r="H10" i="74"/>
  <c r="E10" i="74"/>
  <c r="B10" i="74"/>
  <c r="N9" i="74"/>
  <c r="K9" i="74"/>
  <c r="H9" i="74"/>
  <c r="E9" i="74"/>
  <c r="B9" i="74"/>
  <c r="N8" i="74"/>
  <c r="K8" i="74"/>
  <c r="H8" i="74"/>
  <c r="E8" i="74"/>
  <c r="B8" i="74"/>
  <c r="N7" i="74"/>
  <c r="N11" i="74" s="1"/>
  <c r="K7" i="74"/>
  <c r="H7" i="74"/>
  <c r="E7" i="74"/>
  <c r="B7" i="74"/>
  <c r="N6" i="74"/>
  <c r="K6" i="74"/>
  <c r="H6" i="74"/>
  <c r="E6" i="74"/>
  <c r="B6" i="74"/>
  <c r="H11" i="74" l="1"/>
  <c r="N11" i="75"/>
  <c r="B11" i="74"/>
  <c r="B11" i="75"/>
  <c r="E11" i="75"/>
  <c r="F11" i="75" s="1"/>
  <c r="H11" i="75"/>
  <c r="I11" i="75" s="1"/>
  <c r="I9" i="75"/>
  <c r="K11" i="75"/>
  <c r="L11" i="75" s="1"/>
  <c r="I11" i="76"/>
  <c r="J11" i="76"/>
  <c r="O11" i="76"/>
  <c r="P11" i="76"/>
  <c r="C11" i="76"/>
  <c r="D11" i="76"/>
  <c r="C9" i="75"/>
  <c r="L13" i="75"/>
  <c r="L14" i="75"/>
  <c r="L15" i="75"/>
  <c r="L8" i="75"/>
  <c r="L10" i="75"/>
  <c r="F12" i="75"/>
  <c r="G8" i="75"/>
  <c r="J8" i="75"/>
  <c r="D9" i="75"/>
  <c r="J9" i="75"/>
  <c r="P9" i="75"/>
  <c r="G10" i="75"/>
  <c r="J10" i="75"/>
  <c r="D12" i="75"/>
  <c r="M12" i="75"/>
  <c r="G13" i="75"/>
  <c r="J13" i="75"/>
  <c r="G14" i="75"/>
  <c r="J14" i="75"/>
  <c r="G15" i="75"/>
  <c r="J15" i="75"/>
  <c r="D8" i="75"/>
  <c r="F8" i="75"/>
  <c r="M8" i="75"/>
  <c r="P8" i="75"/>
  <c r="G9" i="75"/>
  <c r="M9" i="75"/>
  <c r="D10" i="75"/>
  <c r="F10" i="75"/>
  <c r="M10" i="75"/>
  <c r="P10" i="75"/>
  <c r="G12" i="75"/>
  <c r="J12" i="75"/>
  <c r="P12" i="75"/>
  <c r="F13" i="75"/>
  <c r="M13" i="75"/>
  <c r="P13" i="75"/>
  <c r="F14" i="75"/>
  <c r="M14" i="75"/>
  <c r="P14" i="75"/>
  <c r="F15" i="75"/>
  <c r="M15" i="75"/>
  <c r="P15" i="75"/>
  <c r="L12" i="75"/>
  <c r="G11" i="75"/>
  <c r="M11" i="75"/>
  <c r="C11" i="75"/>
  <c r="D11" i="75"/>
  <c r="J11" i="75"/>
  <c r="O11" i="75"/>
  <c r="P11" i="75"/>
  <c r="D7" i="75"/>
  <c r="F7" i="75"/>
  <c r="J7" i="75"/>
  <c r="L7" i="75"/>
  <c r="P7" i="75"/>
  <c r="C8" i="75"/>
  <c r="I8" i="75"/>
  <c r="O8" i="75"/>
  <c r="F9" i="75"/>
  <c r="L9" i="75"/>
  <c r="C10" i="75"/>
  <c r="I10" i="75"/>
  <c r="O10" i="75"/>
  <c r="C12" i="75"/>
  <c r="I12" i="75"/>
  <c r="O12" i="75"/>
  <c r="I13" i="75"/>
  <c r="O13" i="75"/>
  <c r="I14" i="75"/>
  <c r="O14" i="75"/>
  <c r="I15" i="75"/>
  <c r="O15" i="75"/>
  <c r="C7" i="75"/>
  <c r="G7" i="75"/>
  <c r="I7" i="75"/>
  <c r="M7" i="75"/>
  <c r="O7" i="75"/>
  <c r="F8" i="74"/>
  <c r="C9" i="74"/>
  <c r="I9" i="74"/>
  <c r="O9" i="74"/>
  <c r="L13" i="74"/>
  <c r="L14" i="74"/>
  <c r="L15" i="74"/>
  <c r="F10" i="74"/>
  <c r="F7" i="74"/>
  <c r="L7" i="74"/>
  <c r="C8" i="74"/>
  <c r="M8" i="74"/>
  <c r="O8" i="74"/>
  <c r="F9" i="74"/>
  <c r="L9" i="74"/>
  <c r="C10" i="74"/>
  <c r="M10" i="74"/>
  <c r="O10" i="74"/>
  <c r="G12" i="74"/>
  <c r="M12" i="74"/>
  <c r="G13" i="74"/>
  <c r="I13" i="74"/>
  <c r="G14" i="74"/>
  <c r="I14" i="74"/>
  <c r="G15" i="74"/>
  <c r="I15" i="74"/>
  <c r="G8" i="74"/>
  <c r="I8" i="74"/>
  <c r="L8" i="74"/>
  <c r="D9" i="74"/>
  <c r="J9" i="74"/>
  <c r="P9" i="74"/>
  <c r="G10" i="74"/>
  <c r="I10" i="74"/>
  <c r="L10" i="74"/>
  <c r="C12" i="74"/>
  <c r="I12" i="74"/>
  <c r="O12" i="74"/>
  <c r="F13" i="74"/>
  <c r="M13" i="74"/>
  <c r="O13" i="74"/>
  <c r="F14" i="74"/>
  <c r="M14" i="74"/>
  <c r="O14" i="74"/>
  <c r="F15" i="74"/>
  <c r="M15" i="74"/>
  <c r="P15" i="74"/>
  <c r="L12" i="74"/>
  <c r="F12" i="74"/>
  <c r="D11" i="74"/>
  <c r="C11" i="74"/>
  <c r="J11" i="74"/>
  <c r="I11" i="74"/>
  <c r="P11" i="74"/>
  <c r="O11" i="74"/>
  <c r="C7" i="74"/>
  <c r="G7" i="74"/>
  <c r="I7" i="74"/>
  <c r="M7" i="74"/>
  <c r="O7" i="74"/>
  <c r="D8" i="74"/>
  <c r="J8" i="74"/>
  <c r="P8" i="74"/>
  <c r="G9" i="74"/>
  <c r="M9" i="74"/>
  <c r="D10" i="74"/>
  <c r="J10" i="74"/>
  <c r="P10" i="74"/>
  <c r="E11" i="74"/>
  <c r="K11" i="74"/>
  <c r="D12" i="74"/>
  <c r="J12" i="74"/>
  <c r="P12" i="74"/>
  <c r="J13" i="74"/>
  <c r="P13" i="74"/>
  <c r="J14" i="74"/>
  <c r="P14" i="74"/>
  <c r="J15" i="74"/>
  <c r="D7" i="74"/>
  <c r="J7" i="74"/>
  <c r="P7" i="74"/>
  <c r="O15" i="74"/>
  <c r="N15" i="73"/>
  <c r="K15" i="73"/>
  <c r="H15" i="73"/>
  <c r="E15" i="73"/>
  <c r="N14" i="73"/>
  <c r="K14" i="73"/>
  <c r="H14" i="73"/>
  <c r="E14" i="73"/>
  <c r="N13" i="73"/>
  <c r="K13" i="73"/>
  <c r="H13" i="73"/>
  <c r="E13" i="73"/>
  <c r="N12" i="73"/>
  <c r="K12" i="73"/>
  <c r="H12" i="73"/>
  <c r="E12" i="73"/>
  <c r="B12" i="73"/>
  <c r="N10" i="73"/>
  <c r="K10" i="73"/>
  <c r="H10" i="73"/>
  <c r="E10" i="73"/>
  <c r="B10" i="73"/>
  <c r="N9" i="73"/>
  <c r="K9" i="73"/>
  <c r="H9" i="73"/>
  <c r="E9" i="73"/>
  <c r="B9" i="73"/>
  <c r="N8" i="73"/>
  <c r="K8" i="73"/>
  <c r="H8" i="73"/>
  <c r="E8" i="73"/>
  <c r="B8" i="73"/>
  <c r="N7" i="73"/>
  <c r="K7" i="73"/>
  <c r="H7" i="73"/>
  <c r="E7" i="73"/>
  <c r="B7" i="73"/>
  <c r="N6" i="73"/>
  <c r="K6" i="73"/>
  <c r="H6" i="73"/>
  <c r="E6" i="73"/>
  <c r="B6" i="73"/>
  <c r="K11" i="73" l="1"/>
  <c r="M11" i="73" s="1"/>
  <c r="G9" i="73"/>
  <c r="G12" i="73"/>
  <c r="M13" i="73"/>
  <c r="M12" i="73"/>
  <c r="M15" i="73"/>
  <c r="M9" i="73"/>
  <c r="M14" i="73"/>
  <c r="E11" i="73"/>
  <c r="F11" i="73" s="1"/>
  <c r="F11" i="74"/>
  <c r="G11" i="74"/>
  <c r="L11" i="74"/>
  <c r="M11" i="74"/>
  <c r="C8" i="73"/>
  <c r="G13" i="73"/>
  <c r="G14" i="73"/>
  <c r="G15" i="73"/>
  <c r="D8" i="73"/>
  <c r="J8" i="73"/>
  <c r="P8" i="73"/>
  <c r="D10" i="73"/>
  <c r="J10" i="73"/>
  <c r="P10" i="73"/>
  <c r="F15" i="73"/>
  <c r="L15" i="73"/>
  <c r="C7" i="73"/>
  <c r="I7" i="73"/>
  <c r="O7" i="73"/>
  <c r="F8" i="73"/>
  <c r="L8" i="73"/>
  <c r="C9" i="73"/>
  <c r="I9" i="73"/>
  <c r="O9" i="73"/>
  <c r="F10" i="73"/>
  <c r="L10" i="73"/>
  <c r="D12" i="73"/>
  <c r="J12" i="73"/>
  <c r="P12" i="73"/>
  <c r="J13" i="73"/>
  <c r="P13" i="73"/>
  <c r="J14" i="73"/>
  <c r="P14" i="73"/>
  <c r="J15" i="73"/>
  <c r="P15" i="73"/>
  <c r="G11" i="73"/>
  <c r="L11" i="73"/>
  <c r="D7" i="73"/>
  <c r="F7" i="73"/>
  <c r="J7" i="73"/>
  <c r="L7" i="73"/>
  <c r="P7" i="73"/>
  <c r="G8" i="73"/>
  <c r="I8" i="73"/>
  <c r="M8" i="73"/>
  <c r="O8" i="73"/>
  <c r="D9" i="73"/>
  <c r="F9" i="73"/>
  <c r="J9" i="73"/>
  <c r="L9" i="73"/>
  <c r="P9" i="73"/>
  <c r="C10" i="73"/>
  <c r="G10" i="73"/>
  <c r="I10" i="73"/>
  <c r="M10" i="73"/>
  <c r="O10" i="73"/>
  <c r="B11" i="73"/>
  <c r="H11" i="73"/>
  <c r="N11" i="73"/>
  <c r="C12" i="73"/>
  <c r="I12" i="73"/>
  <c r="O12" i="73"/>
  <c r="I13" i="73"/>
  <c r="O13" i="73"/>
  <c r="I14" i="73"/>
  <c r="O14" i="73"/>
  <c r="I15" i="73"/>
  <c r="O15" i="73"/>
  <c r="G7" i="73"/>
  <c r="M7" i="73"/>
  <c r="F12" i="73"/>
  <c r="L12" i="73"/>
  <c r="F13" i="73"/>
  <c r="L13" i="73"/>
  <c r="F14" i="73"/>
  <c r="L14" i="73"/>
  <c r="O11" i="73" l="1"/>
  <c r="P11" i="73"/>
  <c r="C11" i="73"/>
  <c r="D11" i="73"/>
  <c r="I11" i="73"/>
  <c r="J11" i="73"/>
  <c r="N15" i="72" l="1"/>
  <c r="K15" i="72"/>
  <c r="H15" i="72"/>
  <c r="E15" i="72"/>
  <c r="N14" i="72"/>
  <c r="K14" i="72"/>
  <c r="H14" i="72"/>
  <c r="E14" i="72"/>
  <c r="N13" i="72"/>
  <c r="K13" i="72"/>
  <c r="H13" i="72"/>
  <c r="E13" i="72"/>
  <c r="N12" i="72"/>
  <c r="K12" i="72"/>
  <c r="H12" i="72"/>
  <c r="E12" i="72"/>
  <c r="B12" i="72"/>
  <c r="N10" i="72"/>
  <c r="K10" i="72"/>
  <c r="H10" i="72"/>
  <c r="E10" i="72"/>
  <c r="B10" i="72"/>
  <c r="N9" i="72"/>
  <c r="K9" i="72"/>
  <c r="H9" i="72"/>
  <c r="E9" i="72"/>
  <c r="B9" i="72"/>
  <c r="N8" i="72"/>
  <c r="K8" i="72"/>
  <c r="H8" i="72"/>
  <c r="E8" i="72"/>
  <c r="B8" i="72"/>
  <c r="N7" i="72"/>
  <c r="K7" i="72"/>
  <c r="H7" i="72"/>
  <c r="E7" i="72"/>
  <c r="E11" i="72" s="1"/>
  <c r="B7" i="72"/>
  <c r="N6" i="72"/>
  <c r="K6" i="72"/>
  <c r="H6" i="72"/>
  <c r="E6" i="72"/>
  <c r="B6" i="72"/>
  <c r="C8" i="72" s="1"/>
  <c r="K11" i="72" l="1"/>
  <c r="L15" i="72"/>
  <c r="F15" i="72"/>
  <c r="P8" i="72"/>
  <c r="P10" i="72"/>
  <c r="O7" i="72"/>
  <c r="O9" i="72"/>
  <c r="P12" i="72"/>
  <c r="P13" i="72"/>
  <c r="P14" i="72"/>
  <c r="P15" i="72"/>
  <c r="M9" i="72"/>
  <c r="M12" i="72"/>
  <c r="M13" i="72"/>
  <c r="M14" i="72"/>
  <c r="M15" i="72"/>
  <c r="L8" i="72"/>
  <c r="L10" i="72"/>
  <c r="J8" i="72"/>
  <c r="J10" i="72"/>
  <c r="I7" i="72"/>
  <c r="I9" i="72"/>
  <c r="J12" i="72"/>
  <c r="J13" i="72"/>
  <c r="J14" i="72"/>
  <c r="J15" i="72"/>
  <c r="G9" i="72"/>
  <c r="G12" i="72"/>
  <c r="G13" i="72"/>
  <c r="G14" i="72"/>
  <c r="G15" i="72"/>
  <c r="F8" i="72"/>
  <c r="F10" i="72"/>
  <c r="D8" i="72"/>
  <c r="D10" i="72"/>
  <c r="C7" i="72"/>
  <c r="C9" i="72"/>
  <c r="D12" i="72"/>
  <c r="G11" i="72"/>
  <c r="F11" i="72"/>
  <c r="M11" i="72"/>
  <c r="L11" i="72"/>
  <c r="D7" i="72"/>
  <c r="F7" i="72"/>
  <c r="J7" i="72"/>
  <c r="L7" i="72"/>
  <c r="P7" i="72"/>
  <c r="G8" i="72"/>
  <c r="I8" i="72"/>
  <c r="M8" i="72"/>
  <c r="O8" i="72"/>
  <c r="D9" i="72"/>
  <c r="F9" i="72"/>
  <c r="J9" i="72"/>
  <c r="L9" i="72"/>
  <c r="P9" i="72"/>
  <c r="C10" i="72"/>
  <c r="G10" i="72"/>
  <c r="I10" i="72"/>
  <c r="M10" i="72"/>
  <c r="O10" i="72"/>
  <c r="B11" i="72"/>
  <c r="H11" i="72"/>
  <c r="N11" i="72"/>
  <c r="C12" i="72"/>
  <c r="I12" i="72"/>
  <c r="O12" i="72"/>
  <c r="I13" i="72"/>
  <c r="O13" i="72"/>
  <c r="I14" i="72"/>
  <c r="O14" i="72"/>
  <c r="I15" i="72"/>
  <c r="O15" i="72"/>
  <c r="G7" i="72"/>
  <c r="M7" i="72"/>
  <c r="F12" i="72"/>
  <c r="L12" i="72"/>
  <c r="F13" i="72"/>
  <c r="L13" i="72"/>
  <c r="F14" i="72"/>
  <c r="L14" i="72"/>
  <c r="N15" i="71"/>
  <c r="K15" i="71"/>
  <c r="H15" i="71"/>
  <c r="E15" i="71"/>
  <c r="N14" i="71"/>
  <c r="K14" i="71"/>
  <c r="H14" i="71"/>
  <c r="E14" i="71"/>
  <c r="N13" i="71"/>
  <c r="K13" i="71"/>
  <c r="H13" i="71"/>
  <c r="E13" i="71"/>
  <c r="N12" i="71"/>
  <c r="K12" i="71"/>
  <c r="H12" i="71"/>
  <c r="E12" i="71"/>
  <c r="B12" i="71"/>
  <c r="N10" i="71"/>
  <c r="K10" i="71"/>
  <c r="H10" i="71"/>
  <c r="E10" i="71"/>
  <c r="B10" i="71"/>
  <c r="N9" i="71"/>
  <c r="K9" i="71"/>
  <c r="H9" i="71"/>
  <c r="E9" i="71"/>
  <c r="B9" i="71"/>
  <c r="N8" i="71"/>
  <c r="K8" i="71"/>
  <c r="H8" i="71"/>
  <c r="E8" i="71"/>
  <c r="B8" i="71"/>
  <c r="N7" i="71"/>
  <c r="K7" i="71"/>
  <c r="H7" i="71"/>
  <c r="E7" i="71"/>
  <c r="B7" i="71"/>
  <c r="N6" i="71"/>
  <c r="K6" i="71"/>
  <c r="H6" i="71"/>
  <c r="E6" i="71"/>
  <c r="B6" i="71"/>
  <c r="O11" i="72" l="1"/>
  <c r="P11" i="72"/>
  <c r="C11" i="72"/>
  <c r="D11" i="72"/>
  <c r="I11" i="72"/>
  <c r="J11" i="72"/>
  <c r="C9" i="71"/>
  <c r="I9" i="71"/>
  <c r="O9" i="71"/>
  <c r="F15" i="71"/>
  <c r="L14" i="71"/>
  <c r="B11" i="71"/>
  <c r="D11" i="71" s="1"/>
  <c r="H11" i="71"/>
  <c r="I11" i="71" s="1"/>
  <c r="N11" i="71"/>
  <c r="P11" i="71" s="1"/>
  <c r="P9" i="71"/>
  <c r="O12" i="71"/>
  <c r="O13" i="71"/>
  <c r="O14" i="71"/>
  <c r="P15" i="71"/>
  <c r="O8" i="71"/>
  <c r="O10" i="71"/>
  <c r="L7" i="71"/>
  <c r="L8" i="71"/>
  <c r="M10" i="71"/>
  <c r="M12" i="71"/>
  <c r="L13" i="71"/>
  <c r="M14" i="71"/>
  <c r="L15" i="71"/>
  <c r="M8" i="71"/>
  <c r="L9" i="71"/>
  <c r="L10" i="71"/>
  <c r="L12" i="71"/>
  <c r="M13" i="71"/>
  <c r="M15" i="71"/>
  <c r="I8" i="71"/>
  <c r="J9" i="71"/>
  <c r="I13" i="71"/>
  <c r="I15" i="71"/>
  <c r="I10" i="71"/>
  <c r="I12" i="71"/>
  <c r="I14" i="71"/>
  <c r="F7" i="71"/>
  <c r="F8" i="71"/>
  <c r="F9" i="71"/>
  <c r="F10" i="71"/>
  <c r="G12" i="71"/>
  <c r="G13" i="71"/>
  <c r="G14" i="71"/>
  <c r="G15" i="71"/>
  <c r="G8" i="71"/>
  <c r="G10" i="71"/>
  <c r="F12" i="71"/>
  <c r="F13" i="71"/>
  <c r="F14" i="71"/>
  <c r="C8" i="71"/>
  <c r="C10" i="71"/>
  <c r="D9" i="71"/>
  <c r="C12" i="71"/>
  <c r="C7" i="71"/>
  <c r="G7" i="71"/>
  <c r="I7" i="71"/>
  <c r="M7" i="71"/>
  <c r="O7" i="71"/>
  <c r="D8" i="71"/>
  <c r="J8" i="71"/>
  <c r="P8" i="71"/>
  <c r="G9" i="71"/>
  <c r="M9" i="71"/>
  <c r="D10" i="71"/>
  <c r="J10" i="71"/>
  <c r="P10" i="71"/>
  <c r="E11" i="71"/>
  <c r="K11" i="71"/>
  <c r="D12" i="71"/>
  <c r="J12" i="71"/>
  <c r="P12" i="71"/>
  <c r="J13" i="71"/>
  <c r="P13" i="71"/>
  <c r="J14" i="71"/>
  <c r="P14" i="71"/>
  <c r="J15" i="71"/>
  <c r="D7" i="71"/>
  <c r="J7" i="71"/>
  <c r="P7" i="71"/>
  <c r="O15" i="71"/>
  <c r="N15" i="70"/>
  <c r="K15" i="70"/>
  <c r="H15" i="70"/>
  <c r="E15" i="70"/>
  <c r="N14" i="70"/>
  <c r="K14" i="70"/>
  <c r="H14" i="70"/>
  <c r="E14" i="70"/>
  <c r="N13" i="70"/>
  <c r="K13" i="70"/>
  <c r="H13" i="70"/>
  <c r="E13" i="70"/>
  <c r="N12" i="70"/>
  <c r="K12" i="70"/>
  <c r="H12" i="70"/>
  <c r="E12" i="70"/>
  <c r="B12" i="70"/>
  <c r="N10" i="70"/>
  <c r="K10" i="70"/>
  <c r="H10" i="70"/>
  <c r="E10" i="70"/>
  <c r="B10" i="70"/>
  <c r="N9" i="70"/>
  <c r="K9" i="70"/>
  <c r="H9" i="70"/>
  <c r="E9" i="70"/>
  <c r="B9" i="70"/>
  <c r="N8" i="70"/>
  <c r="K8" i="70"/>
  <c r="H8" i="70"/>
  <c r="E8" i="70"/>
  <c r="B8" i="70"/>
  <c r="N7" i="70"/>
  <c r="K7" i="70"/>
  <c r="H7" i="70"/>
  <c r="E7" i="70"/>
  <c r="B7" i="70"/>
  <c r="N6" i="70"/>
  <c r="K6" i="70"/>
  <c r="H6" i="70"/>
  <c r="E6" i="70"/>
  <c r="B6" i="70"/>
  <c r="O10" i="70" l="1"/>
  <c r="K11" i="70"/>
  <c r="M11" i="70" s="1"/>
  <c r="C10" i="70"/>
  <c r="E11" i="70"/>
  <c r="O11" i="71"/>
  <c r="J11" i="71"/>
  <c r="C11" i="71"/>
  <c r="F11" i="71"/>
  <c r="G11" i="71"/>
  <c r="L11" i="71"/>
  <c r="M11" i="71"/>
  <c r="O8" i="70"/>
  <c r="O13" i="70"/>
  <c r="O14" i="70"/>
  <c r="I10" i="70"/>
  <c r="C8" i="70"/>
  <c r="F9" i="70"/>
  <c r="L9" i="70"/>
  <c r="I15" i="70"/>
  <c r="C7" i="70"/>
  <c r="I7" i="70"/>
  <c r="O7" i="70"/>
  <c r="J8" i="70"/>
  <c r="L8" i="70"/>
  <c r="G9" i="70"/>
  <c r="M9" i="70"/>
  <c r="D10" i="70"/>
  <c r="F10" i="70"/>
  <c r="P10" i="70"/>
  <c r="D12" i="70"/>
  <c r="J12" i="70"/>
  <c r="P12" i="70"/>
  <c r="J13" i="70"/>
  <c r="L13" i="70"/>
  <c r="J14" i="70"/>
  <c r="L14" i="70"/>
  <c r="J15" i="70"/>
  <c r="L15" i="70"/>
  <c r="D8" i="70"/>
  <c r="F8" i="70"/>
  <c r="I8" i="70"/>
  <c r="P8" i="70"/>
  <c r="C9" i="70"/>
  <c r="I9" i="70"/>
  <c r="O9" i="70"/>
  <c r="J10" i="70"/>
  <c r="L10" i="70"/>
  <c r="F12" i="70"/>
  <c r="L12" i="70"/>
  <c r="F13" i="70"/>
  <c r="I13" i="70"/>
  <c r="P13" i="70"/>
  <c r="F14" i="70"/>
  <c r="I14" i="70"/>
  <c r="P14" i="70"/>
  <c r="F15" i="70"/>
  <c r="P15" i="70"/>
  <c r="C12" i="70"/>
  <c r="O12" i="70"/>
  <c r="I12" i="70"/>
  <c r="G11" i="70"/>
  <c r="F11" i="70"/>
  <c r="L11" i="70"/>
  <c r="D7" i="70"/>
  <c r="F7" i="70"/>
  <c r="J7" i="70"/>
  <c r="L7" i="70"/>
  <c r="P7" i="70"/>
  <c r="G8" i="70"/>
  <c r="M8" i="70"/>
  <c r="D9" i="70"/>
  <c r="J9" i="70"/>
  <c r="P9" i="70"/>
  <c r="G10" i="70"/>
  <c r="M10" i="70"/>
  <c r="B11" i="70"/>
  <c r="H11" i="70"/>
  <c r="N11" i="70"/>
  <c r="G12" i="70"/>
  <c r="M12" i="70"/>
  <c r="G13" i="70"/>
  <c r="M13" i="70"/>
  <c r="G14" i="70"/>
  <c r="M14" i="70"/>
  <c r="G15" i="70"/>
  <c r="M15" i="70"/>
  <c r="O15" i="70"/>
  <c r="G7" i="70"/>
  <c r="M7" i="70"/>
  <c r="I11" i="70" l="1"/>
  <c r="J11" i="70"/>
  <c r="O11" i="70"/>
  <c r="P11" i="70"/>
  <c r="C11" i="70"/>
  <c r="D11" i="70"/>
  <c r="N15" i="69"/>
  <c r="K15" i="69"/>
  <c r="H15" i="69"/>
  <c r="E15" i="69"/>
  <c r="N14" i="69"/>
  <c r="K14" i="69"/>
  <c r="H14" i="69"/>
  <c r="E14" i="69"/>
  <c r="N13" i="69"/>
  <c r="K13" i="69"/>
  <c r="H13" i="69"/>
  <c r="E13" i="69"/>
  <c r="N12" i="69"/>
  <c r="K12" i="69"/>
  <c r="H12" i="69"/>
  <c r="E12" i="69"/>
  <c r="B12" i="69"/>
  <c r="N10" i="69"/>
  <c r="K10" i="69"/>
  <c r="H10" i="69"/>
  <c r="E10" i="69"/>
  <c r="B10" i="69"/>
  <c r="N9" i="69"/>
  <c r="K9" i="69"/>
  <c r="H9" i="69"/>
  <c r="E9" i="69"/>
  <c r="B9" i="69"/>
  <c r="N8" i="69"/>
  <c r="K8" i="69"/>
  <c r="H8" i="69"/>
  <c r="E8" i="69"/>
  <c r="B8" i="69"/>
  <c r="N7" i="69"/>
  <c r="K7" i="69"/>
  <c r="H7" i="69"/>
  <c r="E7" i="69"/>
  <c r="E11" i="69" s="1"/>
  <c r="B7" i="69"/>
  <c r="N6" i="69"/>
  <c r="K6" i="69"/>
  <c r="H6" i="69"/>
  <c r="E6" i="69"/>
  <c r="B6" i="69"/>
  <c r="O14" i="69" l="1"/>
  <c r="O10" i="69"/>
  <c r="K11" i="69"/>
  <c r="O13" i="69"/>
  <c r="O8" i="69"/>
  <c r="I15" i="69"/>
  <c r="C8" i="69"/>
  <c r="I8" i="69"/>
  <c r="I12" i="69"/>
  <c r="C10" i="69"/>
  <c r="F9" i="69"/>
  <c r="L9" i="69"/>
  <c r="D8" i="69"/>
  <c r="F8" i="69"/>
  <c r="P8" i="69"/>
  <c r="C9" i="69"/>
  <c r="I9" i="69"/>
  <c r="O9" i="69"/>
  <c r="J10" i="69"/>
  <c r="L10" i="69"/>
  <c r="F12" i="69"/>
  <c r="P12" i="69"/>
  <c r="J13" i="69"/>
  <c r="L13" i="69"/>
  <c r="J14" i="69"/>
  <c r="L14" i="69"/>
  <c r="J15" i="69"/>
  <c r="L15" i="69"/>
  <c r="C7" i="69"/>
  <c r="I7" i="69"/>
  <c r="O7" i="69"/>
  <c r="J8" i="69"/>
  <c r="L8" i="69"/>
  <c r="G9" i="69"/>
  <c r="M9" i="69"/>
  <c r="D10" i="69"/>
  <c r="F10" i="69"/>
  <c r="I10" i="69"/>
  <c r="P10" i="69"/>
  <c r="D12" i="69"/>
  <c r="J12" i="69"/>
  <c r="L12" i="69"/>
  <c r="F13" i="69"/>
  <c r="I13" i="69"/>
  <c r="P13" i="69"/>
  <c r="F14" i="69"/>
  <c r="I14" i="69"/>
  <c r="P14" i="69"/>
  <c r="F15" i="69"/>
  <c r="P15" i="69"/>
  <c r="C12" i="69"/>
  <c r="O12" i="69"/>
  <c r="G11" i="69"/>
  <c r="F11" i="69"/>
  <c r="M11" i="69"/>
  <c r="L11" i="69"/>
  <c r="O15" i="69"/>
  <c r="D7" i="69"/>
  <c r="F7" i="69"/>
  <c r="J7" i="69"/>
  <c r="L7" i="69"/>
  <c r="P7" i="69"/>
  <c r="G8" i="69"/>
  <c r="M8" i="69"/>
  <c r="D9" i="69"/>
  <c r="J9" i="69"/>
  <c r="P9" i="69"/>
  <c r="G10" i="69"/>
  <c r="M10" i="69"/>
  <c r="B11" i="69"/>
  <c r="H11" i="69"/>
  <c r="N11" i="69"/>
  <c r="G12" i="69"/>
  <c r="M12" i="69"/>
  <c r="G13" i="69"/>
  <c r="M13" i="69"/>
  <c r="G14" i="69"/>
  <c r="M14" i="69"/>
  <c r="G15" i="69"/>
  <c r="M15" i="69"/>
  <c r="G7" i="69"/>
  <c r="M7" i="69"/>
  <c r="N15" i="68"/>
  <c r="K15" i="68"/>
  <c r="H15" i="68"/>
  <c r="E15" i="68"/>
  <c r="N14" i="68"/>
  <c r="K14" i="68"/>
  <c r="H14" i="68"/>
  <c r="E14" i="68"/>
  <c r="N13" i="68"/>
  <c r="K13" i="68"/>
  <c r="H13" i="68"/>
  <c r="E13" i="68"/>
  <c r="N12" i="68"/>
  <c r="K12" i="68"/>
  <c r="H12" i="68"/>
  <c r="E12" i="68"/>
  <c r="B12" i="68"/>
  <c r="N10" i="68"/>
  <c r="K10" i="68"/>
  <c r="H10" i="68"/>
  <c r="E10" i="68"/>
  <c r="B10" i="68"/>
  <c r="N9" i="68"/>
  <c r="K9" i="68"/>
  <c r="H9" i="68"/>
  <c r="E9" i="68"/>
  <c r="B9" i="68"/>
  <c r="N8" i="68"/>
  <c r="K8" i="68"/>
  <c r="H8" i="68"/>
  <c r="E8" i="68"/>
  <c r="B8" i="68"/>
  <c r="N7" i="68"/>
  <c r="K7" i="68"/>
  <c r="H7" i="68"/>
  <c r="E7" i="68"/>
  <c r="B7" i="68"/>
  <c r="N6" i="68"/>
  <c r="K6" i="68"/>
  <c r="H6" i="68"/>
  <c r="E6" i="68"/>
  <c r="B6" i="68"/>
  <c r="J7" i="68" l="1"/>
  <c r="F15" i="68"/>
  <c r="F14" i="68"/>
  <c r="F8" i="68"/>
  <c r="F13" i="68"/>
  <c r="O11" i="69"/>
  <c r="P11" i="69"/>
  <c r="C11" i="69"/>
  <c r="D11" i="69"/>
  <c r="I11" i="69"/>
  <c r="J11" i="69"/>
  <c r="L13" i="68"/>
  <c r="L14" i="68"/>
  <c r="M9" i="68"/>
  <c r="M10" i="68"/>
  <c r="L12" i="68"/>
  <c r="L15" i="68"/>
  <c r="M8" i="68"/>
  <c r="I7" i="68"/>
  <c r="I13" i="68"/>
  <c r="J10" i="68"/>
  <c r="I8" i="68"/>
  <c r="D9" i="68"/>
  <c r="P10" i="68"/>
  <c r="N11" i="68"/>
  <c r="O11" i="68" s="1"/>
  <c r="G14" i="68"/>
  <c r="O10" i="68"/>
  <c r="I15" i="68"/>
  <c r="F9" i="68"/>
  <c r="P12" i="68"/>
  <c r="J13" i="68"/>
  <c r="P14" i="68"/>
  <c r="J15" i="68"/>
  <c r="K11" i="68"/>
  <c r="M11" i="68" s="1"/>
  <c r="C7" i="68"/>
  <c r="D8" i="68"/>
  <c r="J8" i="68"/>
  <c r="D12" i="68"/>
  <c r="G7" i="68"/>
  <c r="G9" i="68"/>
  <c r="C10" i="68"/>
  <c r="L10" i="68"/>
  <c r="F12" i="68"/>
  <c r="I14" i="68"/>
  <c r="H11" i="68"/>
  <c r="I11" i="68" s="1"/>
  <c r="M7" i="68"/>
  <c r="P8" i="68"/>
  <c r="J9" i="68"/>
  <c r="F10" i="68"/>
  <c r="I12" i="68"/>
  <c r="P13" i="68"/>
  <c r="J14" i="68"/>
  <c r="P15" i="68"/>
  <c r="J12" i="68"/>
  <c r="C9" i="68"/>
  <c r="O9" i="68"/>
  <c r="D10" i="68"/>
  <c r="E11" i="68"/>
  <c r="F7" i="68"/>
  <c r="C8" i="68"/>
  <c r="O8" i="68"/>
  <c r="P9" i="68"/>
  <c r="I10" i="68"/>
  <c r="B11" i="68"/>
  <c r="C12" i="68"/>
  <c r="O12" i="68"/>
  <c r="G13" i="68"/>
  <c r="O13" i="68"/>
  <c r="O14" i="68"/>
  <c r="G15" i="68"/>
  <c r="O15" i="68"/>
  <c r="O7" i="68"/>
  <c r="L8" i="68"/>
  <c r="I9" i="68"/>
  <c r="D7" i="68"/>
  <c r="L7" i="68"/>
  <c r="P7" i="68"/>
  <c r="G10" i="68"/>
  <c r="M12" i="68"/>
  <c r="M13" i="68"/>
  <c r="M14" i="68"/>
  <c r="M15" i="68"/>
  <c r="G8" i="68"/>
  <c r="L9" i="68"/>
  <c r="G12" i="68"/>
  <c r="N15" i="67"/>
  <c r="K15" i="67"/>
  <c r="H15" i="67"/>
  <c r="E15" i="67"/>
  <c r="N14" i="67"/>
  <c r="K14" i="67"/>
  <c r="H14" i="67"/>
  <c r="E14" i="67"/>
  <c r="N13" i="67"/>
  <c r="K13" i="67"/>
  <c r="H13" i="67"/>
  <c r="E13" i="67"/>
  <c r="N12" i="67"/>
  <c r="K12" i="67"/>
  <c r="H12" i="67"/>
  <c r="E12" i="67"/>
  <c r="B12" i="67"/>
  <c r="N10" i="67"/>
  <c r="K10" i="67"/>
  <c r="H10" i="67"/>
  <c r="E10" i="67"/>
  <c r="B10" i="67"/>
  <c r="N9" i="67"/>
  <c r="K9" i="67"/>
  <c r="H9" i="67"/>
  <c r="E9" i="67"/>
  <c r="B9" i="67"/>
  <c r="N8" i="67"/>
  <c r="K8" i="67"/>
  <c r="H8" i="67"/>
  <c r="E8" i="67"/>
  <c r="B8" i="67"/>
  <c r="N7" i="67"/>
  <c r="K7" i="67"/>
  <c r="H7" i="67"/>
  <c r="E7" i="67"/>
  <c r="B7" i="67"/>
  <c r="N6" i="67"/>
  <c r="K6" i="67"/>
  <c r="H6" i="67"/>
  <c r="E6" i="67"/>
  <c r="B6" i="67"/>
  <c r="F8" i="67" l="1"/>
  <c r="O10" i="67"/>
  <c r="G8" i="67"/>
  <c r="P8" i="67"/>
  <c r="D8" i="67"/>
  <c r="G9" i="67"/>
  <c r="P11" i="68"/>
  <c r="L11" i="68"/>
  <c r="J11" i="68"/>
  <c r="C11" i="68"/>
  <c r="D11" i="68"/>
  <c r="G11" i="68"/>
  <c r="F11" i="68"/>
  <c r="L10" i="67"/>
  <c r="L8" i="67"/>
  <c r="J8" i="67"/>
  <c r="C10" i="67"/>
  <c r="C7" i="67"/>
  <c r="H11" i="67"/>
  <c r="I11" i="67" s="1"/>
  <c r="J7" i="67"/>
  <c r="J15" i="67"/>
  <c r="G13" i="67"/>
  <c r="G15" i="67"/>
  <c r="G7" i="67"/>
  <c r="M10" i="67"/>
  <c r="F9" i="67"/>
  <c r="G12" i="67"/>
  <c r="G14" i="67"/>
  <c r="K11" i="67"/>
  <c r="L11" i="67" s="1"/>
  <c r="M7" i="67"/>
  <c r="I9" i="67"/>
  <c r="F10" i="67"/>
  <c r="L12" i="67"/>
  <c r="L13" i="67"/>
  <c r="L14" i="67"/>
  <c r="L15" i="67"/>
  <c r="D10" i="67"/>
  <c r="P10" i="67"/>
  <c r="I7" i="67"/>
  <c r="O7" i="67"/>
  <c r="I8" i="67"/>
  <c r="M9" i="67"/>
  <c r="J10" i="67"/>
  <c r="D12" i="67"/>
  <c r="P12" i="67"/>
  <c r="P13" i="67"/>
  <c r="P14" i="67"/>
  <c r="P15" i="67"/>
  <c r="J11" i="67"/>
  <c r="O9" i="67"/>
  <c r="D7" i="67"/>
  <c r="L7" i="67"/>
  <c r="P7" i="67"/>
  <c r="M8" i="67"/>
  <c r="J9" i="67"/>
  <c r="G10" i="67"/>
  <c r="I12" i="67"/>
  <c r="M12" i="67"/>
  <c r="I13" i="67"/>
  <c r="M13" i="67"/>
  <c r="I14" i="67"/>
  <c r="M14" i="67"/>
  <c r="I15" i="67"/>
  <c r="M15" i="67"/>
  <c r="E11" i="67"/>
  <c r="F12" i="67"/>
  <c r="J12" i="67"/>
  <c r="F13" i="67"/>
  <c r="J13" i="67"/>
  <c r="F14" i="67"/>
  <c r="J14" i="67"/>
  <c r="F15" i="67"/>
  <c r="C9" i="67"/>
  <c r="F7" i="67"/>
  <c r="C8" i="67"/>
  <c r="O8" i="67"/>
  <c r="D9" i="67"/>
  <c r="L9" i="67"/>
  <c r="P9" i="67"/>
  <c r="I10" i="67"/>
  <c r="B11" i="67"/>
  <c r="N11" i="67"/>
  <c r="C12" i="67"/>
  <c r="O12" i="67"/>
  <c r="O13" i="67"/>
  <c r="O14" i="67"/>
  <c r="O15" i="67"/>
  <c r="N15" i="66"/>
  <c r="K15" i="66"/>
  <c r="H15" i="66"/>
  <c r="E15" i="66"/>
  <c r="N14" i="66"/>
  <c r="K14" i="66"/>
  <c r="H14" i="66"/>
  <c r="E14" i="66"/>
  <c r="N13" i="66"/>
  <c r="K13" i="66"/>
  <c r="H13" i="66"/>
  <c r="E13" i="66"/>
  <c r="N12" i="66"/>
  <c r="K12" i="66"/>
  <c r="I12" i="66"/>
  <c r="H12" i="66"/>
  <c r="E12" i="66"/>
  <c r="B12" i="66"/>
  <c r="N10" i="66"/>
  <c r="K10" i="66"/>
  <c r="H10" i="66"/>
  <c r="E10" i="66"/>
  <c r="B10" i="66"/>
  <c r="N9" i="66"/>
  <c r="K9" i="66"/>
  <c r="H9" i="66"/>
  <c r="J9" i="66" s="1"/>
  <c r="E9" i="66"/>
  <c r="B9" i="66"/>
  <c r="N8" i="66"/>
  <c r="K8" i="66"/>
  <c r="H8" i="66"/>
  <c r="J8" i="66" s="1"/>
  <c r="E8" i="66"/>
  <c r="B8" i="66"/>
  <c r="N7" i="66"/>
  <c r="K7" i="66"/>
  <c r="H7" i="66"/>
  <c r="J7" i="66" s="1"/>
  <c r="E7" i="66"/>
  <c r="B7" i="66"/>
  <c r="N6" i="66"/>
  <c r="K6" i="66"/>
  <c r="H6" i="66"/>
  <c r="E6" i="66"/>
  <c r="B6" i="66"/>
  <c r="C12" i="66" s="1"/>
  <c r="I14" i="66" l="1"/>
  <c r="I13" i="66"/>
  <c r="M11" i="67"/>
  <c r="G11" i="67"/>
  <c r="F11" i="67"/>
  <c r="C11" i="67"/>
  <c r="D11" i="67"/>
  <c r="O11" i="67"/>
  <c r="P11" i="67"/>
  <c r="O15" i="66"/>
  <c r="G9" i="66"/>
  <c r="P7" i="66"/>
  <c r="P12" i="66"/>
  <c r="I15" i="66"/>
  <c r="D9" i="66"/>
  <c r="C10" i="66"/>
  <c r="C7" i="66"/>
  <c r="G7" i="66"/>
  <c r="I8" i="66"/>
  <c r="M15" i="66"/>
  <c r="M10" i="66"/>
  <c r="G12" i="66"/>
  <c r="L13" i="66"/>
  <c r="D8" i="66"/>
  <c r="M9" i="66"/>
  <c r="F10" i="66"/>
  <c r="G13" i="66"/>
  <c r="P13" i="66"/>
  <c r="L14" i="66"/>
  <c r="K11" i="66"/>
  <c r="L11" i="66" s="1"/>
  <c r="G8" i="66"/>
  <c r="L8" i="66"/>
  <c r="F9" i="66"/>
  <c r="P9" i="66"/>
  <c r="G10" i="66"/>
  <c r="O10" i="66"/>
  <c r="G14" i="66"/>
  <c r="P14" i="66"/>
  <c r="L15" i="66"/>
  <c r="J15" i="66"/>
  <c r="D7" i="66"/>
  <c r="O7" i="66"/>
  <c r="P8" i="66"/>
  <c r="I9" i="66"/>
  <c r="J10" i="66"/>
  <c r="D12" i="66"/>
  <c r="L12" i="66"/>
  <c r="G15" i="66"/>
  <c r="P15" i="66"/>
  <c r="M8" i="66"/>
  <c r="H11" i="66"/>
  <c r="I7" i="66"/>
  <c r="F8" i="66"/>
  <c r="C9" i="66"/>
  <c r="O9" i="66"/>
  <c r="D10" i="66"/>
  <c r="L10" i="66"/>
  <c r="P10" i="66"/>
  <c r="E11" i="66"/>
  <c r="F12" i="66"/>
  <c r="J12" i="66"/>
  <c r="F13" i="66"/>
  <c r="J13" i="66"/>
  <c r="F14" i="66"/>
  <c r="J14" i="66"/>
  <c r="F15" i="66"/>
  <c r="M13" i="66"/>
  <c r="M7" i="66"/>
  <c r="F7" i="66"/>
  <c r="C8" i="66"/>
  <c r="O8" i="66"/>
  <c r="L9" i="66"/>
  <c r="I10" i="66"/>
  <c r="B11" i="66"/>
  <c r="N11" i="66"/>
  <c r="O12" i="66"/>
  <c r="O13" i="66"/>
  <c r="O14" i="66"/>
  <c r="L7" i="66"/>
  <c r="M12" i="66"/>
  <c r="M14" i="66"/>
  <c r="N15" i="65"/>
  <c r="K15" i="65"/>
  <c r="H15" i="65"/>
  <c r="E15" i="65"/>
  <c r="N14" i="65"/>
  <c r="K14" i="65"/>
  <c r="H14" i="65"/>
  <c r="E14" i="65"/>
  <c r="N13" i="65"/>
  <c r="O13" i="65" s="1"/>
  <c r="K13" i="65"/>
  <c r="H13" i="65"/>
  <c r="E13" i="65"/>
  <c r="N12" i="65"/>
  <c r="K12" i="65"/>
  <c r="H12" i="65"/>
  <c r="E12" i="65"/>
  <c r="B12" i="65"/>
  <c r="N10" i="65"/>
  <c r="K10" i="65"/>
  <c r="H10" i="65"/>
  <c r="E10" i="65"/>
  <c r="B10" i="65"/>
  <c r="N9" i="65"/>
  <c r="K9" i="65"/>
  <c r="H9" i="65"/>
  <c r="E9" i="65"/>
  <c r="B9" i="65"/>
  <c r="N8" i="65"/>
  <c r="K8" i="65"/>
  <c r="H8" i="65"/>
  <c r="E8" i="65"/>
  <c r="B8" i="65"/>
  <c r="N7" i="65"/>
  <c r="K7" i="65"/>
  <c r="H7" i="65"/>
  <c r="E7" i="65"/>
  <c r="B7" i="65"/>
  <c r="N6" i="65"/>
  <c r="O14" i="65" s="1"/>
  <c r="K6" i="65"/>
  <c r="H6" i="65"/>
  <c r="E6" i="65"/>
  <c r="B6" i="65"/>
  <c r="P8" i="65" l="1"/>
  <c r="B11" i="65"/>
  <c r="L10" i="65"/>
  <c r="D9" i="65"/>
  <c r="L9" i="65"/>
  <c r="N11" i="65"/>
  <c r="O11" i="65" s="1"/>
  <c r="L8" i="65"/>
  <c r="M11" i="66"/>
  <c r="G11" i="66"/>
  <c r="F11" i="66"/>
  <c r="C11" i="66"/>
  <c r="D11" i="66"/>
  <c r="J11" i="66"/>
  <c r="I11" i="66"/>
  <c r="O11" i="66"/>
  <c r="P11" i="66"/>
  <c r="M10" i="65"/>
  <c r="K11" i="65"/>
  <c r="L11" i="65" s="1"/>
  <c r="M9" i="65"/>
  <c r="G7" i="65"/>
  <c r="J10" i="65"/>
  <c r="E11" i="65"/>
  <c r="F11" i="65" s="1"/>
  <c r="F8" i="65"/>
  <c r="O8" i="65"/>
  <c r="G9" i="65"/>
  <c r="F10" i="65"/>
  <c r="J12" i="65"/>
  <c r="J13" i="65"/>
  <c r="F14" i="65"/>
  <c r="I7" i="65"/>
  <c r="J8" i="65"/>
  <c r="J9" i="65"/>
  <c r="O9" i="65"/>
  <c r="P10" i="65"/>
  <c r="L12" i="65"/>
  <c r="L13" i="65"/>
  <c r="J14" i="65"/>
  <c r="F15" i="65"/>
  <c r="P15" i="65"/>
  <c r="J7" i="65"/>
  <c r="C8" i="65"/>
  <c r="C9" i="65"/>
  <c r="P9" i="65"/>
  <c r="I10" i="65"/>
  <c r="C12" i="65"/>
  <c r="O12" i="65"/>
  <c r="L14" i="65"/>
  <c r="J15" i="65"/>
  <c r="D8" i="65"/>
  <c r="D10" i="65"/>
  <c r="F12" i="65"/>
  <c r="F13" i="65"/>
  <c r="L15" i="65"/>
  <c r="D12" i="65"/>
  <c r="C11" i="65"/>
  <c r="D11" i="65"/>
  <c r="G8" i="65"/>
  <c r="C7" i="65"/>
  <c r="O7" i="65"/>
  <c r="I9" i="65"/>
  <c r="D7" i="65"/>
  <c r="L7" i="65"/>
  <c r="M8" i="65"/>
  <c r="F9" i="65"/>
  <c r="C10" i="65"/>
  <c r="G10" i="65"/>
  <c r="O10" i="65"/>
  <c r="H11" i="65"/>
  <c r="I12" i="65"/>
  <c r="M12" i="65"/>
  <c r="I13" i="65"/>
  <c r="M13" i="65"/>
  <c r="I14" i="65"/>
  <c r="M14" i="65"/>
  <c r="I15" i="65"/>
  <c r="M15" i="65"/>
  <c r="P7" i="65"/>
  <c r="I8" i="65"/>
  <c r="M7" i="65"/>
  <c r="G12" i="65"/>
  <c r="G13" i="65"/>
  <c r="G14" i="65"/>
  <c r="G15" i="65"/>
  <c r="O15" i="65"/>
  <c r="F7" i="65"/>
  <c r="P12" i="65"/>
  <c r="P13" i="65"/>
  <c r="P14" i="65"/>
  <c r="N15" i="64"/>
  <c r="K15" i="64"/>
  <c r="H15" i="64"/>
  <c r="E15" i="64"/>
  <c r="N14" i="64"/>
  <c r="K14" i="64"/>
  <c r="M14" i="64" s="1"/>
  <c r="H14" i="64"/>
  <c r="E14" i="64"/>
  <c r="N13" i="64"/>
  <c r="K13" i="64"/>
  <c r="H13" i="64"/>
  <c r="E13" i="64"/>
  <c r="F13" i="64" s="1"/>
  <c r="N12" i="64"/>
  <c r="K12" i="64"/>
  <c r="H12" i="64"/>
  <c r="E12" i="64"/>
  <c r="B12" i="64"/>
  <c r="N10" i="64"/>
  <c r="P10" i="64" s="1"/>
  <c r="K10" i="64"/>
  <c r="H10" i="64"/>
  <c r="E10" i="64"/>
  <c r="B10" i="64"/>
  <c r="N9" i="64"/>
  <c r="O9" i="64" s="1"/>
  <c r="K9" i="64"/>
  <c r="M9" i="64" s="1"/>
  <c r="H9" i="64"/>
  <c r="E9" i="64"/>
  <c r="B9" i="64"/>
  <c r="N8" i="64"/>
  <c r="K8" i="64"/>
  <c r="L8" i="64" s="1"/>
  <c r="H8" i="64"/>
  <c r="J8" i="64" s="1"/>
  <c r="E8" i="64"/>
  <c r="B8" i="64"/>
  <c r="N7" i="64"/>
  <c r="K7" i="64"/>
  <c r="H7" i="64"/>
  <c r="I7" i="64" s="1"/>
  <c r="E7" i="64"/>
  <c r="B7" i="64"/>
  <c r="N6" i="64"/>
  <c r="K6" i="64"/>
  <c r="H6" i="64"/>
  <c r="I10" i="64" s="1"/>
  <c r="E6" i="64"/>
  <c r="F15" i="64" s="1"/>
  <c r="B6" i="64"/>
  <c r="C8" i="64" s="1"/>
  <c r="E11" i="64" l="1"/>
  <c r="G11" i="64" s="1"/>
  <c r="O8" i="64"/>
  <c r="M11" i="65"/>
  <c r="P11" i="65"/>
  <c r="D12" i="64"/>
  <c r="J13" i="64"/>
  <c r="P14" i="64"/>
  <c r="K11" i="64"/>
  <c r="M11" i="64" s="1"/>
  <c r="P8" i="64"/>
  <c r="D10" i="64"/>
  <c r="F12" i="64"/>
  <c r="M13" i="64"/>
  <c r="G15" i="64"/>
  <c r="O7" i="64"/>
  <c r="C9" i="64"/>
  <c r="F10" i="64"/>
  <c r="J12" i="64"/>
  <c r="P13" i="64"/>
  <c r="J15" i="64"/>
  <c r="D8" i="64"/>
  <c r="G9" i="64"/>
  <c r="J10" i="64"/>
  <c r="L12" i="64"/>
  <c r="F14" i="64"/>
  <c r="M15" i="64"/>
  <c r="C7" i="64"/>
  <c r="F8" i="64"/>
  <c r="I9" i="64"/>
  <c r="L10" i="64"/>
  <c r="P12" i="64"/>
  <c r="J14" i="64"/>
  <c r="P15" i="64"/>
  <c r="G11" i="65"/>
  <c r="J11" i="65"/>
  <c r="I11" i="65"/>
  <c r="L15" i="64"/>
  <c r="L11" i="64"/>
  <c r="D7" i="64"/>
  <c r="F7" i="64"/>
  <c r="J7" i="64"/>
  <c r="L7" i="64"/>
  <c r="P7" i="64"/>
  <c r="G8" i="64"/>
  <c r="I8" i="64"/>
  <c r="M8" i="64"/>
  <c r="D9" i="64"/>
  <c r="F9" i="64"/>
  <c r="J9" i="64"/>
  <c r="L9" i="64"/>
  <c r="P9" i="64"/>
  <c r="C10" i="64"/>
  <c r="G10" i="64"/>
  <c r="M10" i="64"/>
  <c r="O10" i="64"/>
  <c r="B11" i="64"/>
  <c r="H11" i="64"/>
  <c r="N11" i="64"/>
  <c r="C12" i="64"/>
  <c r="G12" i="64"/>
  <c r="I12" i="64"/>
  <c r="M12" i="64"/>
  <c r="O12" i="64"/>
  <c r="G13" i="64"/>
  <c r="I13" i="64"/>
  <c r="O13" i="64"/>
  <c r="G14" i="64"/>
  <c r="I14" i="64"/>
  <c r="O14" i="64"/>
  <c r="I15" i="64"/>
  <c r="O15" i="64"/>
  <c r="G7" i="64"/>
  <c r="M7" i="64"/>
  <c r="L13" i="64"/>
  <c r="L14" i="64"/>
  <c r="N15" i="63"/>
  <c r="K15" i="63"/>
  <c r="H15" i="63"/>
  <c r="E15" i="63"/>
  <c r="N14" i="63"/>
  <c r="K14" i="63"/>
  <c r="H14" i="63"/>
  <c r="E14" i="63"/>
  <c r="N13" i="63"/>
  <c r="K13" i="63"/>
  <c r="H13" i="63"/>
  <c r="E13" i="63"/>
  <c r="N12" i="63"/>
  <c r="K12" i="63"/>
  <c r="H12" i="63"/>
  <c r="E12" i="63"/>
  <c r="B12" i="63"/>
  <c r="N10" i="63"/>
  <c r="K10" i="63"/>
  <c r="H10" i="63"/>
  <c r="E10" i="63"/>
  <c r="B10" i="63"/>
  <c r="N9" i="63"/>
  <c r="K9" i="63"/>
  <c r="H9" i="63"/>
  <c r="E9" i="63"/>
  <c r="B9" i="63"/>
  <c r="N8" i="63"/>
  <c r="K8" i="63"/>
  <c r="H8" i="63"/>
  <c r="E8" i="63"/>
  <c r="B8" i="63"/>
  <c r="N7" i="63"/>
  <c r="K7" i="63"/>
  <c r="H7" i="63"/>
  <c r="E7" i="63"/>
  <c r="B7" i="63"/>
  <c r="N6" i="63"/>
  <c r="K6" i="63"/>
  <c r="H6" i="63"/>
  <c r="E6" i="63"/>
  <c r="B6" i="63"/>
  <c r="H11" i="63" l="1"/>
  <c r="F11" i="64"/>
  <c r="N11" i="63"/>
  <c r="B11" i="63"/>
  <c r="C11" i="63" s="1"/>
  <c r="O11" i="64"/>
  <c r="P11" i="64"/>
  <c r="C11" i="64"/>
  <c r="D11" i="64"/>
  <c r="I11" i="64"/>
  <c r="J11" i="64"/>
  <c r="L14" i="63"/>
  <c r="F8" i="63"/>
  <c r="L15" i="63"/>
  <c r="F10" i="63"/>
  <c r="O9" i="63"/>
  <c r="I9" i="63"/>
  <c r="C9" i="63"/>
  <c r="F7" i="63"/>
  <c r="L7" i="63"/>
  <c r="C8" i="63"/>
  <c r="M8" i="63"/>
  <c r="O8" i="63"/>
  <c r="F9" i="63"/>
  <c r="L9" i="63"/>
  <c r="C10" i="63"/>
  <c r="M10" i="63"/>
  <c r="O10" i="63"/>
  <c r="G12" i="63"/>
  <c r="M12" i="63"/>
  <c r="G13" i="63"/>
  <c r="I13" i="63"/>
  <c r="L13" i="63"/>
  <c r="G14" i="63"/>
  <c r="I14" i="63"/>
  <c r="G15" i="63"/>
  <c r="I15" i="63"/>
  <c r="G8" i="63"/>
  <c r="I8" i="63"/>
  <c r="L8" i="63"/>
  <c r="D9" i="63"/>
  <c r="J9" i="63"/>
  <c r="P9" i="63"/>
  <c r="G10" i="63"/>
  <c r="I10" i="63"/>
  <c r="L10" i="63"/>
  <c r="C12" i="63"/>
  <c r="I12" i="63"/>
  <c r="O12" i="63"/>
  <c r="F13" i="63"/>
  <c r="M13" i="63"/>
  <c r="O13" i="63"/>
  <c r="F14" i="63"/>
  <c r="M14" i="63"/>
  <c r="O14" i="63"/>
  <c r="F15" i="63"/>
  <c r="M15" i="63"/>
  <c r="O15" i="63"/>
  <c r="L12" i="63"/>
  <c r="F12" i="63"/>
  <c r="D11" i="63"/>
  <c r="J11" i="63"/>
  <c r="I11" i="63"/>
  <c r="P11" i="63"/>
  <c r="O11" i="63"/>
  <c r="C7" i="63"/>
  <c r="G7" i="63"/>
  <c r="I7" i="63"/>
  <c r="M7" i="63"/>
  <c r="O7" i="63"/>
  <c r="D8" i="63"/>
  <c r="J8" i="63"/>
  <c r="P8" i="63"/>
  <c r="G9" i="63"/>
  <c r="M9" i="63"/>
  <c r="D10" i="63"/>
  <c r="J10" i="63"/>
  <c r="P10" i="63"/>
  <c r="E11" i="63"/>
  <c r="K11" i="63"/>
  <c r="D12" i="63"/>
  <c r="J12" i="63"/>
  <c r="P12" i="63"/>
  <c r="J13" i="63"/>
  <c r="P13" i="63"/>
  <c r="J14" i="63"/>
  <c r="P14" i="63"/>
  <c r="J15" i="63"/>
  <c r="P15" i="63"/>
  <c r="D7" i="63"/>
  <c r="J7" i="63"/>
  <c r="P7" i="63"/>
  <c r="N15" i="62"/>
  <c r="K15" i="62"/>
  <c r="H15" i="62"/>
  <c r="E15" i="62"/>
  <c r="N14" i="62"/>
  <c r="K14" i="62"/>
  <c r="H14" i="62"/>
  <c r="E14" i="62"/>
  <c r="N13" i="62"/>
  <c r="K13" i="62"/>
  <c r="H13" i="62"/>
  <c r="E13" i="62"/>
  <c r="N12" i="62"/>
  <c r="K12" i="62"/>
  <c r="H12" i="62"/>
  <c r="E12" i="62"/>
  <c r="B12" i="62"/>
  <c r="N10" i="62"/>
  <c r="K10" i="62"/>
  <c r="H10" i="62"/>
  <c r="E10" i="62"/>
  <c r="B10" i="62"/>
  <c r="N9" i="62"/>
  <c r="K9" i="62"/>
  <c r="H9" i="62"/>
  <c r="E9" i="62"/>
  <c r="B9" i="62"/>
  <c r="N8" i="62"/>
  <c r="K8" i="62"/>
  <c r="H8" i="62"/>
  <c r="E8" i="62"/>
  <c r="B8" i="62"/>
  <c r="N7" i="62"/>
  <c r="K7" i="62"/>
  <c r="H7" i="62"/>
  <c r="E7" i="62"/>
  <c r="B7" i="62"/>
  <c r="N6" i="62"/>
  <c r="K6" i="62"/>
  <c r="H6" i="62"/>
  <c r="E6" i="62"/>
  <c r="B6" i="62"/>
  <c r="N11" i="62" l="1"/>
  <c r="H11" i="62"/>
  <c r="L14" i="62"/>
  <c r="B11" i="62"/>
  <c r="F11" i="63"/>
  <c r="G11" i="63"/>
  <c r="L11" i="63"/>
  <c r="M11" i="63"/>
  <c r="L15" i="62"/>
  <c r="L8" i="62"/>
  <c r="L10" i="62"/>
  <c r="C9" i="62"/>
  <c r="I9" i="62"/>
  <c r="O9" i="62"/>
  <c r="G8" i="62"/>
  <c r="I8" i="62"/>
  <c r="D9" i="62"/>
  <c r="J9" i="62"/>
  <c r="P9" i="62"/>
  <c r="G10" i="62"/>
  <c r="I10" i="62"/>
  <c r="C12" i="62"/>
  <c r="I12" i="62"/>
  <c r="L12" i="62"/>
  <c r="G13" i="62"/>
  <c r="I13" i="62"/>
  <c r="L13" i="62"/>
  <c r="G14" i="62"/>
  <c r="I14" i="62"/>
  <c r="G15" i="62"/>
  <c r="I15" i="62"/>
  <c r="F7" i="62"/>
  <c r="L7" i="62"/>
  <c r="C8" i="62"/>
  <c r="F8" i="62"/>
  <c r="M8" i="62"/>
  <c r="O8" i="62"/>
  <c r="F9" i="62"/>
  <c r="L9" i="62"/>
  <c r="C10" i="62"/>
  <c r="F10" i="62"/>
  <c r="M10" i="62"/>
  <c r="O10" i="62"/>
  <c r="G12" i="62"/>
  <c r="M12" i="62"/>
  <c r="O12" i="62"/>
  <c r="F13" i="62"/>
  <c r="M13" i="62"/>
  <c r="O13" i="62"/>
  <c r="F14" i="62"/>
  <c r="M14" i="62"/>
  <c r="O14" i="62"/>
  <c r="F15" i="62"/>
  <c r="M15" i="62"/>
  <c r="P15" i="62"/>
  <c r="F12" i="62"/>
  <c r="J11" i="62"/>
  <c r="I11" i="62"/>
  <c r="D11" i="62"/>
  <c r="C11" i="62"/>
  <c r="P11" i="62"/>
  <c r="O11" i="62"/>
  <c r="C7" i="62"/>
  <c r="G7" i="62"/>
  <c r="I7" i="62"/>
  <c r="M7" i="62"/>
  <c r="O7" i="62"/>
  <c r="D8" i="62"/>
  <c r="J8" i="62"/>
  <c r="P8" i="62"/>
  <c r="G9" i="62"/>
  <c r="M9" i="62"/>
  <c r="D10" i="62"/>
  <c r="J10" i="62"/>
  <c r="P10" i="62"/>
  <c r="E11" i="62"/>
  <c r="K11" i="62"/>
  <c r="D12" i="62"/>
  <c r="J12" i="62"/>
  <c r="P12" i="62"/>
  <c r="J13" i="62"/>
  <c r="P13" i="62"/>
  <c r="J14" i="62"/>
  <c r="P14" i="62"/>
  <c r="J15" i="62"/>
  <c r="D7" i="62"/>
  <c r="J7" i="62"/>
  <c r="P7" i="62"/>
  <c r="O15" i="62"/>
  <c r="N15" i="61"/>
  <c r="K15" i="61"/>
  <c r="H15" i="61"/>
  <c r="E15" i="61"/>
  <c r="N14" i="61"/>
  <c r="K14" i="61"/>
  <c r="H14" i="61"/>
  <c r="E14" i="61"/>
  <c r="N13" i="61"/>
  <c r="K13" i="61"/>
  <c r="H13" i="61"/>
  <c r="E13" i="61"/>
  <c r="N12" i="61"/>
  <c r="K12" i="61"/>
  <c r="H12" i="61"/>
  <c r="E12" i="61"/>
  <c r="B12" i="61"/>
  <c r="N10" i="61"/>
  <c r="O10" i="61" s="1"/>
  <c r="K10" i="61"/>
  <c r="H10" i="61"/>
  <c r="E10" i="61"/>
  <c r="B10" i="61"/>
  <c r="N9" i="61"/>
  <c r="K9" i="61"/>
  <c r="H9" i="61"/>
  <c r="E9" i="61"/>
  <c r="B9" i="61"/>
  <c r="N8" i="61"/>
  <c r="K8" i="61"/>
  <c r="H8" i="61"/>
  <c r="E8" i="61"/>
  <c r="B8" i="61"/>
  <c r="N7" i="61"/>
  <c r="K7" i="61"/>
  <c r="H7" i="61"/>
  <c r="E7" i="61"/>
  <c r="B7" i="61"/>
  <c r="N6" i="61"/>
  <c r="K6" i="61"/>
  <c r="H6" i="61"/>
  <c r="E6" i="61"/>
  <c r="B6" i="61"/>
  <c r="E11" i="61" l="1"/>
  <c r="F11" i="62"/>
  <c r="G11" i="62"/>
  <c r="L11" i="62"/>
  <c r="M11" i="62"/>
  <c r="C10" i="61"/>
  <c r="C12" i="61"/>
  <c r="F9" i="61"/>
  <c r="L9" i="61"/>
  <c r="K11" i="61"/>
  <c r="L11" i="61" s="1"/>
  <c r="I15" i="61"/>
  <c r="D8" i="61"/>
  <c r="F8" i="61"/>
  <c r="I8" i="61"/>
  <c r="P8" i="61"/>
  <c r="C9" i="61"/>
  <c r="I9" i="61"/>
  <c r="O9" i="61"/>
  <c r="J10" i="61"/>
  <c r="L10" i="61"/>
  <c r="J12" i="61"/>
  <c r="P12" i="61"/>
  <c r="F13" i="61"/>
  <c r="I13" i="61"/>
  <c r="P13" i="61"/>
  <c r="F14" i="61"/>
  <c r="I14" i="61"/>
  <c r="P14" i="61"/>
  <c r="F15" i="61"/>
  <c r="P15" i="61"/>
  <c r="C7" i="61"/>
  <c r="I7" i="61"/>
  <c r="O7" i="61"/>
  <c r="C8" i="61"/>
  <c r="J8" i="61"/>
  <c r="L8" i="61"/>
  <c r="O8" i="61"/>
  <c r="G9" i="61"/>
  <c r="M9" i="61"/>
  <c r="D10" i="61"/>
  <c r="F10" i="61"/>
  <c r="I10" i="61"/>
  <c r="P10" i="61"/>
  <c r="D12" i="61"/>
  <c r="F12" i="61"/>
  <c r="L12" i="61"/>
  <c r="O12" i="61"/>
  <c r="J13" i="61"/>
  <c r="L13" i="61"/>
  <c r="O13" i="61"/>
  <c r="J14" i="61"/>
  <c r="L14" i="61"/>
  <c r="O14" i="61"/>
  <c r="J15" i="61"/>
  <c r="L15" i="61"/>
  <c r="O15" i="61"/>
  <c r="I12" i="61"/>
  <c r="M11" i="61"/>
  <c r="G11" i="61"/>
  <c r="F11" i="61"/>
  <c r="D7" i="61"/>
  <c r="F7" i="61"/>
  <c r="J7" i="61"/>
  <c r="L7" i="61"/>
  <c r="P7" i="61"/>
  <c r="G8" i="61"/>
  <c r="M8" i="61"/>
  <c r="D9" i="61"/>
  <c r="J9" i="61"/>
  <c r="P9" i="61"/>
  <c r="G10" i="61"/>
  <c r="M10" i="61"/>
  <c r="B11" i="61"/>
  <c r="H11" i="61"/>
  <c r="N11" i="61"/>
  <c r="G12" i="61"/>
  <c r="M12" i="61"/>
  <c r="G13" i="61"/>
  <c r="M13" i="61"/>
  <c r="G14" i="61"/>
  <c r="M14" i="61"/>
  <c r="G15" i="61"/>
  <c r="M15" i="61"/>
  <c r="G7" i="61"/>
  <c r="M7" i="61"/>
  <c r="N15" i="60"/>
  <c r="K15" i="60"/>
  <c r="H15" i="60"/>
  <c r="E15" i="60"/>
  <c r="N14" i="60"/>
  <c r="K14" i="60"/>
  <c r="H14" i="60"/>
  <c r="E14" i="60"/>
  <c r="N13" i="60"/>
  <c r="K13" i="60"/>
  <c r="H13" i="60"/>
  <c r="E13" i="60"/>
  <c r="N12" i="60"/>
  <c r="K12" i="60"/>
  <c r="H12" i="60"/>
  <c r="E12" i="60"/>
  <c r="B12" i="60"/>
  <c r="N10" i="60"/>
  <c r="K10" i="60"/>
  <c r="H10" i="60"/>
  <c r="E10" i="60"/>
  <c r="B10" i="60"/>
  <c r="N9" i="60"/>
  <c r="K9" i="60"/>
  <c r="H9" i="60"/>
  <c r="E9" i="60"/>
  <c r="B9" i="60"/>
  <c r="N8" i="60"/>
  <c r="K8" i="60"/>
  <c r="M8" i="60" s="1"/>
  <c r="H8" i="60"/>
  <c r="E8" i="60"/>
  <c r="B8" i="60"/>
  <c r="N7" i="60"/>
  <c r="K7" i="60"/>
  <c r="L7" i="60" s="1"/>
  <c r="H7" i="60"/>
  <c r="E7" i="60"/>
  <c r="B7" i="60"/>
  <c r="N6" i="60"/>
  <c r="K6" i="60"/>
  <c r="H6" i="60"/>
  <c r="E6" i="60"/>
  <c r="B6" i="60"/>
  <c r="L13" i="60" l="1"/>
  <c r="G15" i="60"/>
  <c r="F10" i="60"/>
  <c r="O9" i="60"/>
  <c r="F9" i="60"/>
  <c r="M12" i="60"/>
  <c r="G14" i="60"/>
  <c r="L15" i="60"/>
  <c r="F8" i="60"/>
  <c r="M10" i="60"/>
  <c r="G12" i="60"/>
  <c r="F7" i="60"/>
  <c r="L9" i="60"/>
  <c r="G13" i="60"/>
  <c r="L14" i="60"/>
  <c r="O11" i="61"/>
  <c r="P11" i="61"/>
  <c r="C11" i="61"/>
  <c r="D11" i="61"/>
  <c r="I11" i="61"/>
  <c r="J11" i="61"/>
  <c r="H11" i="60"/>
  <c r="J11" i="60" s="1"/>
  <c r="I9" i="60"/>
  <c r="C9" i="60"/>
  <c r="C8" i="60"/>
  <c r="O8" i="60"/>
  <c r="C10" i="60"/>
  <c r="O10" i="60"/>
  <c r="I13" i="60"/>
  <c r="I14" i="60"/>
  <c r="I15" i="60"/>
  <c r="B11" i="60"/>
  <c r="D11" i="60" s="1"/>
  <c r="N11" i="60"/>
  <c r="P11" i="60" s="1"/>
  <c r="G8" i="60"/>
  <c r="I8" i="60"/>
  <c r="L8" i="60"/>
  <c r="D9" i="60"/>
  <c r="J9" i="60"/>
  <c r="P9" i="60"/>
  <c r="G10" i="60"/>
  <c r="I10" i="60"/>
  <c r="L10" i="60"/>
  <c r="C12" i="60"/>
  <c r="I12" i="60"/>
  <c r="O12" i="60"/>
  <c r="F13" i="60"/>
  <c r="M13" i="60"/>
  <c r="O13" i="60"/>
  <c r="F14" i="60"/>
  <c r="M14" i="60"/>
  <c r="O14" i="60"/>
  <c r="F15" i="60"/>
  <c r="M15" i="60"/>
  <c r="P15" i="60"/>
  <c r="L12" i="60"/>
  <c r="F12" i="60"/>
  <c r="I11" i="60"/>
  <c r="O11" i="60"/>
  <c r="C7" i="60"/>
  <c r="G7" i="60"/>
  <c r="I7" i="60"/>
  <c r="M7" i="60"/>
  <c r="O7" i="60"/>
  <c r="D8" i="60"/>
  <c r="J8" i="60"/>
  <c r="P8" i="60"/>
  <c r="G9" i="60"/>
  <c r="M9" i="60"/>
  <c r="D10" i="60"/>
  <c r="J10" i="60"/>
  <c r="P10" i="60"/>
  <c r="E11" i="60"/>
  <c r="K11" i="60"/>
  <c r="D12" i="60"/>
  <c r="J12" i="60"/>
  <c r="P12" i="60"/>
  <c r="J13" i="60"/>
  <c r="P13" i="60"/>
  <c r="J14" i="60"/>
  <c r="P14" i="60"/>
  <c r="J15" i="60"/>
  <c r="D7" i="60"/>
  <c r="J7" i="60"/>
  <c r="P7" i="60"/>
  <c r="O15" i="60"/>
  <c r="N15" i="59"/>
  <c r="K15" i="59"/>
  <c r="H15" i="59"/>
  <c r="E15" i="59"/>
  <c r="N14" i="59"/>
  <c r="K14" i="59"/>
  <c r="H14" i="59"/>
  <c r="E14" i="59"/>
  <c r="N13" i="59"/>
  <c r="K13" i="59"/>
  <c r="H13" i="59"/>
  <c r="E13" i="59"/>
  <c r="N12" i="59"/>
  <c r="K12" i="59"/>
  <c r="H12" i="59"/>
  <c r="E12" i="59"/>
  <c r="B12" i="59"/>
  <c r="N10" i="59"/>
  <c r="K10" i="59"/>
  <c r="H10" i="59"/>
  <c r="E10" i="59"/>
  <c r="B10" i="59"/>
  <c r="N9" i="59"/>
  <c r="K9" i="59"/>
  <c r="H9" i="59"/>
  <c r="E9" i="59"/>
  <c r="B9" i="59"/>
  <c r="C9" i="59" s="1"/>
  <c r="N8" i="59"/>
  <c r="K8" i="59"/>
  <c r="H8" i="59"/>
  <c r="E8" i="59"/>
  <c r="B8" i="59"/>
  <c r="N7" i="59"/>
  <c r="O7" i="59" s="1"/>
  <c r="K7" i="59"/>
  <c r="H7" i="59"/>
  <c r="E7" i="59"/>
  <c r="B7" i="59"/>
  <c r="C7" i="59" s="1"/>
  <c r="N6" i="59"/>
  <c r="K6" i="59"/>
  <c r="H6" i="59"/>
  <c r="I10" i="59" s="1"/>
  <c r="E6" i="59"/>
  <c r="B6" i="59"/>
  <c r="P13" i="59" l="1"/>
  <c r="J15" i="59"/>
  <c r="J12" i="59"/>
  <c r="P12" i="59"/>
  <c r="J14" i="59"/>
  <c r="P15" i="59"/>
  <c r="I9" i="59"/>
  <c r="I7" i="59"/>
  <c r="O9" i="59"/>
  <c r="D12" i="59"/>
  <c r="J13" i="59"/>
  <c r="P14" i="59"/>
  <c r="C11" i="60"/>
  <c r="F11" i="60"/>
  <c r="G11" i="60"/>
  <c r="L11" i="60"/>
  <c r="M11" i="60"/>
  <c r="L15" i="59"/>
  <c r="F15" i="59"/>
  <c r="C10" i="59"/>
  <c r="O8" i="59"/>
  <c r="L8" i="59"/>
  <c r="F10" i="59"/>
  <c r="E11" i="59"/>
  <c r="F11" i="59" s="1"/>
  <c r="K11" i="59"/>
  <c r="M11" i="59" s="1"/>
  <c r="D8" i="59"/>
  <c r="J8" i="59"/>
  <c r="P8" i="59"/>
  <c r="G9" i="59"/>
  <c r="M9" i="59"/>
  <c r="D10" i="59"/>
  <c r="J10" i="59"/>
  <c r="P10" i="59"/>
  <c r="G12" i="59"/>
  <c r="M12" i="59"/>
  <c r="G13" i="59"/>
  <c r="M13" i="59"/>
  <c r="G14" i="59"/>
  <c r="M14" i="59"/>
  <c r="G15" i="59"/>
  <c r="M15" i="59"/>
  <c r="F8" i="59"/>
  <c r="L10" i="59"/>
  <c r="D7" i="59"/>
  <c r="F7" i="59"/>
  <c r="J7" i="59"/>
  <c r="L7" i="59"/>
  <c r="P7" i="59"/>
  <c r="C8" i="59"/>
  <c r="G8" i="59"/>
  <c r="I8" i="59"/>
  <c r="M8" i="59"/>
  <c r="D9" i="59"/>
  <c r="F9" i="59"/>
  <c r="J9" i="59"/>
  <c r="L9" i="59"/>
  <c r="P9" i="59"/>
  <c r="G10" i="59"/>
  <c r="M10" i="59"/>
  <c r="O10" i="59"/>
  <c r="B11" i="59"/>
  <c r="H11" i="59"/>
  <c r="N11" i="59"/>
  <c r="C12" i="59"/>
  <c r="I12" i="59"/>
  <c r="O12" i="59"/>
  <c r="I13" i="59"/>
  <c r="O13" i="59"/>
  <c r="I14" i="59"/>
  <c r="O14" i="59"/>
  <c r="I15" i="59"/>
  <c r="O15" i="59"/>
  <c r="G7" i="59"/>
  <c r="M7" i="59"/>
  <c r="F12" i="59"/>
  <c r="L12" i="59"/>
  <c r="F13" i="59"/>
  <c r="L13" i="59"/>
  <c r="F14" i="59"/>
  <c r="L14" i="59"/>
  <c r="G11" i="59" l="1"/>
  <c r="L11" i="59"/>
  <c r="O11" i="59"/>
  <c r="P11" i="59"/>
  <c r="C11" i="59"/>
  <c r="D11" i="59"/>
  <c r="I11" i="59"/>
  <c r="J11" i="59"/>
  <c r="N15" i="58"/>
  <c r="K15" i="58"/>
  <c r="H15" i="58"/>
  <c r="E15" i="58"/>
  <c r="N14" i="58"/>
  <c r="K14" i="58"/>
  <c r="H14" i="58"/>
  <c r="E14" i="58"/>
  <c r="N13" i="58"/>
  <c r="K13" i="58"/>
  <c r="H13" i="58"/>
  <c r="E13" i="58"/>
  <c r="N12" i="58"/>
  <c r="K12" i="58"/>
  <c r="H12" i="58"/>
  <c r="E12" i="58"/>
  <c r="B12" i="58"/>
  <c r="N10" i="58"/>
  <c r="K10" i="58"/>
  <c r="H10" i="58"/>
  <c r="E10" i="58"/>
  <c r="B10" i="58"/>
  <c r="N9" i="58"/>
  <c r="K9" i="58"/>
  <c r="H9" i="58"/>
  <c r="E9" i="58"/>
  <c r="B9" i="58"/>
  <c r="N8" i="58"/>
  <c r="K8" i="58"/>
  <c r="H8" i="58"/>
  <c r="E8" i="58"/>
  <c r="B8" i="58"/>
  <c r="N7" i="58"/>
  <c r="K7" i="58"/>
  <c r="H7" i="58"/>
  <c r="E7" i="58"/>
  <c r="B7" i="58"/>
  <c r="N6" i="58"/>
  <c r="O9" i="58" s="1"/>
  <c r="K6" i="58"/>
  <c r="H6" i="58"/>
  <c r="E6" i="58"/>
  <c r="B6" i="58"/>
  <c r="N11" i="58" l="1"/>
  <c r="B11" i="58"/>
  <c r="E11" i="58"/>
  <c r="P11" i="58"/>
  <c r="O11" i="58"/>
  <c r="H11" i="58"/>
  <c r="I9" i="58"/>
  <c r="K11" i="58"/>
  <c r="L15" i="58"/>
  <c r="F15" i="58"/>
  <c r="C7" i="58"/>
  <c r="F7" i="58"/>
  <c r="L7" i="58"/>
  <c r="C8" i="58"/>
  <c r="I8" i="58"/>
  <c r="O8" i="58"/>
  <c r="F9" i="58"/>
  <c r="L9" i="58"/>
  <c r="C10" i="58"/>
  <c r="I10" i="58"/>
  <c r="O10" i="58"/>
  <c r="F12" i="58"/>
  <c r="M12" i="58"/>
  <c r="G13" i="58"/>
  <c r="M13" i="58"/>
  <c r="G14" i="58"/>
  <c r="M14" i="58"/>
  <c r="G15" i="58"/>
  <c r="M15" i="58"/>
  <c r="D7" i="58"/>
  <c r="J7" i="58"/>
  <c r="P7" i="58"/>
  <c r="G8" i="58"/>
  <c r="M8" i="58"/>
  <c r="D9" i="58"/>
  <c r="J9" i="58"/>
  <c r="P9" i="58"/>
  <c r="G10" i="58"/>
  <c r="M10" i="58"/>
  <c r="D12" i="58"/>
  <c r="J12" i="58"/>
  <c r="P12" i="58"/>
  <c r="J13" i="58"/>
  <c r="P13" i="58"/>
  <c r="J14" i="58"/>
  <c r="P14" i="58"/>
  <c r="J15" i="58"/>
  <c r="P15" i="58"/>
  <c r="G7" i="58"/>
  <c r="I7" i="58"/>
  <c r="M7" i="58"/>
  <c r="O7" i="58"/>
  <c r="D8" i="58"/>
  <c r="F8" i="58"/>
  <c r="J8" i="58"/>
  <c r="L8" i="58"/>
  <c r="P8" i="58"/>
  <c r="C9" i="58"/>
  <c r="G9" i="58"/>
  <c r="M9" i="58"/>
  <c r="D10" i="58"/>
  <c r="F10" i="58"/>
  <c r="J10" i="58"/>
  <c r="L10" i="58"/>
  <c r="P10" i="58"/>
  <c r="C12" i="58"/>
  <c r="G12" i="58"/>
  <c r="I12" i="58"/>
  <c r="O12" i="58"/>
  <c r="I13" i="58"/>
  <c r="O13" i="58"/>
  <c r="I14" i="58"/>
  <c r="O14" i="58"/>
  <c r="I15" i="58"/>
  <c r="O15" i="58"/>
  <c r="L12" i="58"/>
  <c r="F13" i="58"/>
  <c r="L13" i="58"/>
  <c r="F14" i="58"/>
  <c r="L14" i="58"/>
  <c r="N14" i="57"/>
  <c r="K14" i="57"/>
  <c r="H14" i="57"/>
  <c r="E14" i="57"/>
  <c r="N13" i="57"/>
  <c r="K13" i="57"/>
  <c r="H13" i="57"/>
  <c r="E13" i="57"/>
  <c r="N12" i="57"/>
  <c r="K12" i="57"/>
  <c r="H12" i="57"/>
  <c r="E12" i="57"/>
  <c r="N11" i="57"/>
  <c r="K11" i="57"/>
  <c r="H11" i="57"/>
  <c r="E11" i="57"/>
  <c r="B11" i="57"/>
  <c r="N10" i="57"/>
  <c r="K10" i="57"/>
  <c r="H10" i="57"/>
  <c r="E10" i="57"/>
  <c r="B10" i="57"/>
  <c r="N9" i="57"/>
  <c r="K9" i="57"/>
  <c r="H9" i="57"/>
  <c r="E9" i="57"/>
  <c r="B9" i="57"/>
  <c r="N8" i="57"/>
  <c r="K8" i="57"/>
  <c r="H8" i="57"/>
  <c r="E8" i="57"/>
  <c r="B8" i="57"/>
  <c r="N7" i="57"/>
  <c r="K7" i="57"/>
  <c r="H7" i="57"/>
  <c r="E7" i="57"/>
  <c r="B7" i="57"/>
  <c r="N6" i="57"/>
  <c r="K6" i="57"/>
  <c r="L14" i="57" s="1"/>
  <c r="H6" i="57"/>
  <c r="I9" i="57" s="1"/>
  <c r="E6" i="57"/>
  <c r="B6" i="57"/>
  <c r="F14" i="57" l="1"/>
  <c r="J11" i="58"/>
  <c r="I11" i="58"/>
  <c r="O9" i="57"/>
  <c r="G11" i="58"/>
  <c r="F11" i="58"/>
  <c r="M11" i="58"/>
  <c r="L11" i="58"/>
  <c r="D11" i="58"/>
  <c r="C11" i="58"/>
  <c r="C9" i="57"/>
  <c r="F7" i="57"/>
  <c r="L7" i="57"/>
  <c r="C8" i="57"/>
  <c r="I8" i="57"/>
  <c r="O8" i="57"/>
  <c r="F9" i="57"/>
  <c r="L9" i="57"/>
  <c r="C10" i="57"/>
  <c r="I10" i="57"/>
  <c r="O10" i="57"/>
  <c r="F11" i="57"/>
  <c r="L11" i="57"/>
  <c r="F12" i="57"/>
  <c r="L12" i="57"/>
  <c r="F13" i="57"/>
  <c r="L13" i="57"/>
  <c r="G14" i="57"/>
  <c r="M14" i="57"/>
  <c r="D7" i="57"/>
  <c r="J7" i="57"/>
  <c r="P7" i="57"/>
  <c r="G8" i="57"/>
  <c r="M8" i="57"/>
  <c r="D9" i="57"/>
  <c r="J9" i="57"/>
  <c r="P9" i="57"/>
  <c r="G10" i="57"/>
  <c r="M10" i="57"/>
  <c r="D11" i="57"/>
  <c r="J11" i="57"/>
  <c r="P11" i="57"/>
  <c r="J12" i="57"/>
  <c r="P12" i="57"/>
  <c r="J13" i="57"/>
  <c r="P13" i="57"/>
  <c r="J14" i="57"/>
  <c r="P14" i="57"/>
  <c r="C7" i="57"/>
  <c r="G7" i="57"/>
  <c r="I7" i="57"/>
  <c r="M7" i="57"/>
  <c r="O7" i="57"/>
  <c r="D8" i="57"/>
  <c r="F8" i="57"/>
  <c r="J8" i="57"/>
  <c r="L8" i="57"/>
  <c r="P8" i="57"/>
  <c r="G9" i="57"/>
  <c r="M9" i="57"/>
  <c r="D10" i="57"/>
  <c r="F10" i="57"/>
  <c r="J10" i="57"/>
  <c r="L10" i="57"/>
  <c r="P10" i="57"/>
  <c r="C11" i="57"/>
  <c r="G11" i="57"/>
  <c r="I11" i="57"/>
  <c r="M11" i="57"/>
  <c r="O11" i="57"/>
  <c r="G12" i="57"/>
  <c r="I12" i="57"/>
  <c r="M12" i="57"/>
  <c r="O12" i="57"/>
  <c r="G13" i="57"/>
  <c r="I13" i="57"/>
  <c r="M13" i="57"/>
  <c r="O13" i="57"/>
  <c r="I14" i="57"/>
  <c r="O14" i="57"/>
  <c r="N14" i="56"/>
  <c r="K14" i="56"/>
  <c r="H14" i="56"/>
  <c r="E14" i="56"/>
  <c r="N13" i="56"/>
  <c r="K13" i="56"/>
  <c r="H13" i="56"/>
  <c r="E13" i="56"/>
  <c r="N12" i="56"/>
  <c r="K12" i="56"/>
  <c r="H12" i="56"/>
  <c r="E12" i="56"/>
  <c r="N11" i="56"/>
  <c r="K11" i="56"/>
  <c r="H11" i="56"/>
  <c r="E11" i="56"/>
  <c r="B11" i="56"/>
  <c r="N10" i="56"/>
  <c r="K10" i="56"/>
  <c r="H10" i="56"/>
  <c r="E10" i="56"/>
  <c r="B10" i="56"/>
  <c r="N9" i="56"/>
  <c r="K9" i="56"/>
  <c r="H9" i="56"/>
  <c r="E9" i="56"/>
  <c r="B9" i="56"/>
  <c r="N8" i="56"/>
  <c r="K8" i="56"/>
  <c r="H8" i="56"/>
  <c r="E8" i="56"/>
  <c r="B8" i="56"/>
  <c r="N7" i="56"/>
  <c r="K7" i="56"/>
  <c r="H7" i="56"/>
  <c r="E7" i="56"/>
  <c r="B7" i="56"/>
  <c r="N6" i="56"/>
  <c r="K6" i="56"/>
  <c r="H6" i="56"/>
  <c r="E6" i="56"/>
  <c r="B6" i="56"/>
  <c r="O13" i="56" l="1"/>
  <c r="I14" i="56"/>
  <c r="F8" i="56"/>
  <c r="F10" i="56"/>
  <c r="F7" i="56"/>
  <c r="L7" i="56"/>
  <c r="C8" i="56"/>
  <c r="M8" i="56"/>
  <c r="O8" i="56"/>
  <c r="F9" i="56"/>
  <c r="L9" i="56"/>
  <c r="C10" i="56"/>
  <c r="M10" i="56"/>
  <c r="O10" i="56"/>
  <c r="F11" i="56"/>
  <c r="L11" i="56"/>
  <c r="F12" i="56"/>
  <c r="L12" i="56"/>
  <c r="F13" i="56"/>
  <c r="L13" i="56"/>
  <c r="F14" i="56"/>
  <c r="L14" i="56"/>
  <c r="D7" i="56"/>
  <c r="J7" i="56"/>
  <c r="P7" i="56"/>
  <c r="G8" i="56"/>
  <c r="I8" i="56"/>
  <c r="L8" i="56"/>
  <c r="D9" i="56"/>
  <c r="J9" i="56"/>
  <c r="P9" i="56"/>
  <c r="G10" i="56"/>
  <c r="I10" i="56"/>
  <c r="L10" i="56"/>
  <c r="D11" i="56"/>
  <c r="J11" i="56"/>
  <c r="P11" i="56"/>
  <c r="J12" i="56"/>
  <c r="P12" i="56"/>
  <c r="J13" i="56"/>
  <c r="P13" i="56"/>
  <c r="J14" i="56"/>
  <c r="P14" i="56"/>
  <c r="C11" i="56"/>
  <c r="M14" i="56"/>
  <c r="O14" i="56"/>
  <c r="C7" i="56"/>
  <c r="G7" i="56"/>
  <c r="I7" i="56"/>
  <c r="M7" i="56"/>
  <c r="O7" i="56"/>
  <c r="D8" i="56"/>
  <c r="J8" i="56"/>
  <c r="P8" i="56"/>
  <c r="C9" i="56"/>
  <c r="G9" i="56"/>
  <c r="I9" i="56"/>
  <c r="M9" i="56"/>
  <c r="O9" i="56"/>
  <c r="D10" i="56"/>
  <c r="J10" i="56"/>
  <c r="P10" i="56"/>
  <c r="G11" i="56"/>
  <c r="I11" i="56"/>
  <c r="M11" i="56"/>
  <c r="O11" i="56"/>
  <c r="G12" i="56"/>
  <c r="I12" i="56"/>
  <c r="M12" i="56"/>
  <c r="O12" i="56"/>
  <c r="G13" i="56"/>
  <c r="I13" i="56"/>
  <c r="M13" i="56"/>
  <c r="G14" i="56"/>
  <c r="N14" i="55"/>
  <c r="K14" i="55"/>
  <c r="H14" i="55"/>
  <c r="E14" i="55"/>
  <c r="N13" i="55"/>
  <c r="K13" i="55"/>
  <c r="H13" i="55"/>
  <c r="E13" i="55"/>
  <c r="N12" i="55"/>
  <c r="K12" i="55"/>
  <c r="H12" i="55"/>
  <c r="E12" i="55"/>
  <c r="N11" i="55"/>
  <c r="K11" i="55"/>
  <c r="H11" i="55"/>
  <c r="E11" i="55"/>
  <c r="B11" i="55"/>
  <c r="N10" i="55"/>
  <c r="K10" i="55"/>
  <c r="H10" i="55"/>
  <c r="E10" i="55"/>
  <c r="B10" i="55"/>
  <c r="N9" i="55"/>
  <c r="K9" i="55"/>
  <c r="H9" i="55"/>
  <c r="E9" i="55"/>
  <c r="B9" i="55"/>
  <c r="N8" i="55"/>
  <c r="K8" i="55"/>
  <c r="H8" i="55"/>
  <c r="E8" i="55"/>
  <c r="B8" i="55"/>
  <c r="N7" i="55"/>
  <c r="K7" i="55"/>
  <c r="H7" i="55"/>
  <c r="E7" i="55"/>
  <c r="B7" i="55"/>
  <c r="N6" i="55"/>
  <c r="O13" i="55" s="1"/>
  <c r="K6" i="55"/>
  <c r="H6" i="55"/>
  <c r="I14" i="55" s="1"/>
  <c r="E6" i="55"/>
  <c r="B6" i="55"/>
  <c r="L8" i="55" l="1"/>
  <c r="L10" i="55"/>
  <c r="D7" i="55"/>
  <c r="J7" i="55"/>
  <c r="P7" i="55"/>
  <c r="G8" i="55"/>
  <c r="I8" i="55"/>
  <c r="D9" i="55"/>
  <c r="J9" i="55"/>
  <c r="P9" i="55"/>
  <c r="G10" i="55"/>
  <c r="I10" i="55"/>
  <c r="D11" i="55"/>
  <c r="J11" i="55"/>
  <c r="P11" i="55"/>
  <c r="J12" i="55"/>
  <c r="P12" i="55"/>
  <c r="J13" i="55"/>
  <c r="P13" i="55"/>
  <c r="J14" i="55"/>
  <c r="P14" i="55"/>
  <c r="F7" i="55"/>
  <c r="L7" i="55"/>
  <c r="C8" i="55"/>
  <c r="F8" i="55"/>
  <c r="M8" i="55"/>
  <c r="O8" i="55"/>
  <c r="F9" i="55"/>
  <c r="L9" i="55"/>
  <c r="C10" i="55"/>
  <c r="F10" i="55"/>
  <c r="M10" i="55"/>
  <c r="O10" i="55"/>
  <c r="F11" i="55"/>
  <c r="L11" i="55"/>
  <c r="F12" i="55"/>
  <c r="L12" i="55"/>
  <c r="F13" i="55"/>
  <c r="L13" i="55"/>
  <c r="F14" i="55"/>
  <c r="L14" i="55"/>
  <c r="O14" i="55"/>
  <c r="C11" i="55"/>
  <c r="C7" i="55"/>
  <c r="G7" i="55"/>
  <c r="I7" i="55"/>
  <c r="M7" i="55"/>
  <c r="O7" i="55"/>
  <c r="D8" i="55"/>
  <c r="J8" i="55"/>
  <c r="P8" i="55"/>
  <c r="C9" i="55"/>
  <c r="G9" i="55"/>
  <c r="I9" i="55"/>
  <c r="M9" i="55"/>
  <c r="O9" i="55"/>
  <c r="D10" i="55"/>
  <c r="J10" i="55"/>
  <c r="P10" i="55"/>
  <c r="G11" i="55"/>
  <c r="I11" i="55"/>
  <c r="M11" i="55"/>
  <c r="O11" i="55"/>
  <c r="G12" i="55"/>
  <c r="I12" i="55"/>
  <c r="M12" i="55"/>
  <c r="O12" i="55"/>
  <c r="G13" i="55"/>
  <c r="I13" i="55"/>
  <c r="M13" i="55"/>
  <c r="G14" i="55"/>
  <c r="M14" i="55"/>
  <c r="N14" i="54"/>
  <c r="K14" i="54"/>
  <c r="H14" i="54"/>
  <c r="E14" i="54"/>
  <c r="N13" i="54"/>
  <c r="K13" i="54"/>
  <c r="L13" i="54" s="1"/>
  <c r="H13" i="54"/>
  <c r="E13" i="54"/>
  <c r="N12" i="54"/>
  <c r="K12" i="54"/>
  <c r="H12" i="54"/>
  <c r="E12" i="54"/>
  <c r="F12" i="54" s="1"/>
  <c r="N11" i="54"/>
  <c r="K11" i="54"/>
  <c r="H11" i="54"/>
  <c r="E11" i="54"/>
  <c r="B11" i="54"/>
  <c r="N10" i="54"/>
  <c r="K10" i="54"/>
  <c r="H10" i="54"/>
  <c r="E10" i="54"/>
  <c r="B10" i="54"/>
  <c r="N9" i="54"/>
  <c r="K9" i="54"/>
  <c r="H9" i="54"/>
  <c r="E9" i="54"/>
  <c r="B9" i="54"/>
  <c r="N8" i="54"/>
  <c r="K8" i="54"/>
  <c r="H8" i="54"/>
  <c r="E8" i="54"/>
  <c r="B8" i="54"/>
  <c r="N7" i="54"/>
  <c r="K7" i="54"/>
  <c r="H7" i="54"/>
  <c r="E7" i="54"/>
  <c r="B7" i="54"/>
  <c r="N6" i="54"/>
  <c r="O14" i="54" s="1"/>
  <c r="K6" i="54"/>
  <c r="H6" i="54"/>
  <c r="I14" i="54" s="1"/>
  <c r="E6" i="54"/>
  <c r="B6" i="54"/>
  <c r="C11" i="54" s="1"/>
  <c r="C10" i="54" l="1"/>
  <c r="D9" i="54"/>
  <c r="G10" i="54"/>
  <c r="C8" i="54"/>
  <c r="D7" i="54"/>
  <c r="G8" i="54"/>
  <c r="D11" i="54"/>
  <c r="J12" i="54"/>
  <c r="P13" i="54"/>
  <c r="O10" i="54"/>
  <c r="F7" i="54"/>
  <c r="F8" i="54"/>
  <c r="F9" i="54"/>
  <c r="F10" i="54"/>
  <c r="F11" i="54"/>
  <c r="L12" i="54"/>
  <c r="F14" i="54"/>
  <c r="O8" i="54"/>
  <c r="J7" i="54"/>
  <c r="I8" i="54"/>
  <c r="J9" i="54"/>
  <c r="I10" i="54"/>
  <c r="J11" i="54"/>
  <c r="P12" i="54"/>
  <c r="J14" i="54"/>
  <c r="L7" i="54"/>
  <c r="M8" i="54"/>
  <c r="L9" i="54"/>
  <c r="M10" i="54"/>
  <c r="L11" i="54"/>
  <c r="F13" i="54"/>
  <c r="L14" i="54"/>
  <c r="P7" i="54"/>
  <c r="L8" i="54"/>
  <c r="P9" i="54"/>
  <c r="L10" i="54"/>
  <c r="P11" i="54"/>
  <c r="J13" i="54"/>
  <c r="P14" i="54"/>
  <c r="C7" i="54"/>
  <c r="G7" i="54"/>
  <c r="I7" i="54"/>
  <c r="M7" i="54"/>
  <c r="O7" i="54"/>
  <c r="D8" i="54"/>
  <c r="J8" i="54"/>
  <c r="P8" i="54"/>
  <c r="C9" i="54"/>
  <c r="G9" i="54"/>
  <c r="I9" i="54"/>
  <c r="M9" i="54"/>
  <c r="O9" i="54"/>
  <c r="D10" i="54"/>
  <c r="J10" i="54"/>
  <c r="P10" i="54"/>
  <c r="G11" i="54"/>
  <c r="I11" i="54"/>
  <c r="M11" i="54"/>
  <c r="O11" i="54"/>
  <c r="G12" i="54"/>
  <c r="I12" i="54"/>
  <c r="M12" i="54"/>
  <c r="O12" i="54"/>
  <c r="G13" i="54"/>
  <c r="I13" i="54"/>
  <c r="M13" i="54"/>
  <c r="O13" i="54"/>
  <c r="G14" i="54"/>
  <c r="M14" i="54"/>
  <c r="N14" i="53"/>
  <c r="K14" i="53"/>
  <c r="H14" i="53"/>
  <c r="E14" i="53"/>
  <c r="N13" i="53"/>
  <c r="K13" i="53"/>
  <c r="H13" i="53"/>
  <c r="E13" i="53"/>
  <c r="N12" i="53"/>
  <c r="K12" i="53"/>
  <c r="H12" i="53"/>
  <c r="E12" i="53"/>
  <c r="N11" i="53"/>
  <c r="K11" i="53"/>
  <c r="H11" i="53"/>
  <c r="E11" i="53"/>
  <c r="B11" i="53"/>
  <c r="N10" i="53"/>
  <c r="K10" i="53"/>
  <c r="H10" i="53"/>
  <c r="E10" i="53"/>
  <c r="B10" i="53"/>
  <c r="N9" i="53"/>
  <c r="K9" i="53"/>
  <c r="H9" i="53"/>
  <c r="E9" i="53"/>
  <c r="B9" i="53"/>
  <c r="N8" i="53"/>
  <c r="K8" i="53"/>
  <c r="H8" i="53"/>
  <c r="E8" i="53"/>
  <c r="B8" i="53"/>
  <c r="N7" i="53"/>
  <c r="K7" i="53"/>
  <c r="H7" i="53"/>
  <c r="E7" i="53"/>
  <c r="B7" i="53"/>
  <c r="N6" i="53"/>
  <c r="K6" i="53"/>
  <c r="H6" i="53"/>
  <c r="E6" i="53"/>
  <c r="B6" i="53"/>
  <c r="O13" i="53" l="1"/>
  <c r="I14" i="53"/>
  <c r="C11" i="53"/>
  <c r="F8" i="53"/>
  <c r="F10" i="53"/>
  <c r="F7" i="53"/>
  <c r="L7" i="53"/>
  <c r="C8" i="53"/>
  <c r="M8" i="53"/>
  <c r="O8" i="53"/>
  <c r="F9" i="53"/>
  <c r="L9" i="53"/>
  <c r="C10" i="53"/>
  <c r="M10" i="53"/>
  <c r="O10" i="53"/>
  <c r="F11" i="53"/>
  <c r="L11" i="53"/>
  <c r="F12" i="53"/>
  <c r="L12" i="53"/>
  <c r="F13" i="53"/>
  <c r="L13" i="53"/>
  <c r="F14" i="53"/>
  <c r="L14" i="53"/>
  <c r="D7" i="53"/>
  <c r="J7" i="53"/>
  <c r="P7" i="53"/>
  <c r="G8" i="53"/>
  <c r="I8" i="53"/>
  <c r="L8" i="53"/>
  <c r="D9" i="53"/>
  <c r="J9" i="53"/>
  <c r="P9" i="53"/>
  <c r="G10" i="53"/>
  <c r="I10" i="53"/>
  <c r="L10" i="53"/>
  <c r="D11" i="53"/>
  <c r="J11" i="53"/>
  <c r="P11" i="53"/>
  <c r="J12" i="53"/>
  <c r="P12" i="53"/>
  <c r="J13" i="53"/>
  <c r="P13" i="53"/>
  <c r="J14" i="53"/>
  <c r="P14" i="53"/>
  <c r="O14" i="53"/>
  <c r="C7" i="53"/>
  <c r="G7" i="53"/>
  <c r="I7" i="53"/>
  <c r="M7" i="53"/>
  <c r="O7" i="53"/>
  <c r="D8" i="53"/>
  <c r="J8" i="53"/>
  <c r="P8" i="53"/>
  <c r="C9" i="53"/>
  <c r="G9" i="53"/>
  <c r="I9" i="53"/>
  <c r="M9" i="53"/>
  <c r="O9" i="53"/>
  <c r="D10" i="53"/>
  <c r="J10" i="53"/>
  <c r="P10" i="53"/>
  <c r="G11" i="53"/>
  <c r="I11" i="53"/>
  <c r="M11" i="53"/>
  <c r="O11" i="53"/>
  <c r="G12" i="53"/>
  <c r="I12" i="53"/>
  <c r="M12" i="53"/>
  <c r="O12" i="53"/>
  <c r="G13" i="53"/>
  <c r="I13" i="53"/>
  <c r="M13" i="53"/>
  <c r="G14" i="53"/>
  <c r="M14" i="53"/>
  <c r="N14" i="52"/>
  <c r="K14" i="52"/>
  <c r="H14" i="52"/>
  <c r="E14" i="52"/>
  <c r="N13" i="52"/>
  <c r="K13" i="52"/>
  <c r="H13" i="52"/>
  <c r="E13" i="52"/>
  <c r="N12" i="52"/>
  <c r="K12" i="52"/>
  <c r="H12" i="52"/>
  <c r="E12" i="52"/>
  <c r="N11" i="52"/>
  <c r="K11" i="52"/>
  <c r="H11" i="52"/>
  <c r="E11" i="52"/>
  <c r="B11" i="52"/>
  <c r="N10" i="52"/>
  <c r="K10" i="52"/>
  <c r="H10" i="52"/>
  <c r="E10" i="52"/>
  <c r="B10" i="52"/>
  <c r="N9" i="52"/>
  <c r="K9" i="52"/>
  <c r="H9" i="52"/>
  <c r="E9" i="52"/>
  <c r="B9" i="52"/>
  <c r="N8" i="52"/>
  <c r="K8" i="52"/>
  <c r="H8" i="52"/>
  <c r="E8" i="52"/>
  <c r="B8" i="52"/>
  <c r="N7" i="52"/>
  <c r="K7" i="52"/>
  <c r="H7" i="52"/>
  <c r="E7" i="52"/>
  <c r="B7" i="52"/>
  <c r="N6" i="52"/>
  <c r="K6" i="52"/>
  <c r="L14" i="52" s="1"/>
  <c r="H6" i="52"/>
  <c r="I10" i="52" s="1"/>
  <c r="E6" i="52"/>
  <c r="B6" i="52"/>
  <c r="F14" i="52" l="1"/>
  <c r="O8" i="52"/>
  <c r="P10" i="52"/>
  <c r="O7" i="52"/>
  <c r="O11" i="52"/>
  <c r="O12" i="52"/>
  <c r="I7" i="52"/>
  <c r="J8" i="52"/>
  <c r="I11" i="52"/>
  <c r="I12" i="52"/>
  <c r="C8" i="52"/>
  <c r="D10" i="52"/>
  <c r="C11" i="52"/>
  <c r="C7" i="52"/>
  <c r="L8" i="52"/>
  <c r="G9" i="52"/>
  <c r="G7" i="52"/>
  <c r="M7" i="52"/>
  <c r="D8" i="52"/>
  <c r="F8" i="52"/>
  <c r="I8" i="52"/>
  <c r="P8" i="52"/>
  <c r="C9" i="52"/>
  <c r="I9" i="52"/>
  <c r="O9" i="52"/>
  <c r="C10" i="52"/>
  <c r="J10" i="52"/>
  <c r="L10" i="52"/>
  <c r="O10" i="52"/>
  <c r="G11" i="52"/>
  <c r="M11" i="52"/>
  <c r="G12" i="52"/>
  <c r="M12" i="52"/>
  <c r="G13" i="52"/>
  <c r="M13" i="52"/>
  <c r="G14" i="52"/>
  <c r="M14" i="52"/>
  <c r="M9" i="52"/>
  <c r="F10" i="52"/>
  <c r="I13" i="52"/>
  <c r="O13" i="52"/>
  <c r="I14" i="52"/>
  <c r="P14" i="52"/>
  <c r="D7" i="52"/>
  <c r="F7" i="52"/>
  <c r="J7" i="52"/>
  <c r="L7" i="52"/>
  <c r="P7" i="52"/>
  <c r="G8" i="52"/>
  <c r="M8" i="52"/>
  <c r="D9" i="52"/>
  <c r="F9" i="52"/>
  <c r="J9" i="52"/>
  <c r="L9" i="52"/>
  <c r="P9" i="52"/>
  <c r="G10" i="52"/>
  <c r="M10" i="52"/>
  <c r="D11" i="52"/>
  <c r="F11" i="52"/>
  <c r="J11" i="52"/>
  <c r="L11" i="52"/>
  <c r="P11" i="52"/>
  <c r="F12" i="52"/>
  <c r="J12" i="52"/>
  <c r="L12" i="52"/>
  <c r="P12" i="52"/>
  <c r="F13" i="52"/>
  <c r="J13" i="52"/>
  <c r="L13" i="52"/>
  <c r="P13" i="52"/>
  <c r="J14" i="52"/>
  <c r="O14" i="52"/>
  <c r="N14" i="51"/>
  <c r="K14" i="51"/>
  <c r="H14" i="51"/>
  <c r="E14" i="51"/>
  <c r="N13" i="51"/>
  <c r="K13" i="51"/>
  <c r="H13" i="51"/>
  <c r="E13" i="51"/>
  <c r="N12" i="51"/>
  <c r="K12" i="51"/>
  <c r="H12" i="51"/>
  <c r="E12" i="51"/>
  <c r="N11" i="51"/>
  <c r="K11" i="51"/>
  <c r="H11" i="51"/>
  <c r="E11" i="51"/>
  <c r="B11" i="51"/>
  <c r="N10" i="51"/>
  <c r="K10" i="51"/>
  <c r="H10" i="51"/>
  <c r="E10" i="51"/>
  <c r="B10" i="51"/>
  <c r="N9" i="51"/>
  <c r="K9" i="51"/>
  <c r="H9" i="51"/>
  <c r="E9" i="51"/>
  <c r="B9" i="51"/>
  <c r="N8" i="51"/>
  <c r="K8" i="51"/>
  <c r="H8" i="51"/>
  <c r="E8" i="51"/>
  <c r="B8" i="51"/>
  <c r="N7" i="51"/>
  <c r="K7" i="51"/>
  <c r="H7" i="51"/>
  <c r="E7" i="51"/>
  <c r="B7" i="51"/>
  <c r="N6" i="51"/>
  <c r="K6" i="51"/>
  <c r="H6" i="51"/>
  <c r="E6" i="51"/>
  <c r="B6" i="51"/>
  <c r="O14" i="51" l="1"/>
  <c r="I14" i="51"/>
  <c r="C11" i="51"/>
  <c r="F8" i="51"/>
  <c r="F10" i="51"/>
  <c r="F7" i="51"/>
  <c r="L7" i="51"/>
  <c r="C8" i="51"/>
  <c r="M8" i="51"/>
  <c r="O8" i="51"/>
  <c r="F9" i="51"/>
  <c r="L9" i="51"/>
  <c r="C10" i="51"/>
  <c r="M10" i="51"/>
  <c r="O10" i="51"/>
  <c r="F11" i="51"/>
  <c r="L11" i="51"/>
  <c r="F12" i="51"/>
  <c r="L12" i="51"/>
  <c r="F13" i="51"/>
  <c r="L13" i="51"/>
  <c r="F14" i="51"/>
  <c r="L14" i="51"/>
  <c r="D7" i="51"/>
  <c r="J7" i="51"/>
  <c r="P7" i="51"/>
  <c r="G8" i="51"/>
  <c r="I8" i="51"/>
  <c r="L8" i="51"/>
  <c r="D9" i="51"/>
  <c r="J9" i="51"/>
  <c r="P9" i="51"/>
  <c r="G10" i="51"/>
  <c r="I10" i="51"/>
  <c r="L10" i="51"/>
  <c r="D11" i="51"/>
  <c r="J11" i="51"/>
  <c r="P11" i="51"/>
  <c r="J12" i="51"/>
  <c r="P12" i="51"/>
  <c r="J13" i="51"/>
  <c r="P13" i="51"/>
  <c r="J14" i="51"/>
  <c r="P14" i="51"/>
  <c r="C7" i="51"/>
  <c r="G7" i="51"/>
  <c r="I7" i="51"/>
  <c r="M7" i="51"/>
  <c r="O7" i="51"/>
  <c r="D8" i="51"/>
  <c r="J8" i="51"/>
  <c r="P8" i="51"/>
  <c r="C9" i="51"/>
  <c r="G9" i="51"/>
  <c r="I9" i="51"/>
  <c r="M9" i="51"/>
  <c r="O9" i="51"/>
  <c r="D10" i="51"/>
  <c r="J10" i="51"/>
  <c r="P10" i="51"/>
  <c r="G11" i="51"/>
  <c r="I11" i="51"/>
  <c r="M11" i="51"/>
  <c r="O11" i="51"/>
  <c r="G12" i="51"/>
  <c r="I12" i="51"/>
  <c r="M12" i="51"/>
  <c r="O12" i="51"/>
  <c r="G13" i="51"/>
  <c r="I13" i="51"/>
  <c r="M13" i="51"/>
  <c r="O13" i="51"/>
  <c r="G14" i="51"/>
  <c r="M14" i="51"/>
  <c r="N14" i="50"/>
  <c r="K14" i="50"/>
  <c r="H14" i="50"/>
  <c r="E14" i="50"/>
  <c r="F14" i="50" s="1"/>
  <c r="N13" i="50"/>
  <c r="K13" i="50"/>
  <c r="H13" i="50"/>
  <c r="E13" i="50"/>
  <c r="N12" i="50"/>
  <c r="K12" i="50"/>
  <c r="L12" i="50" s="1"/>
  <c r="H12" i="50"/>
  <c r="E12" i="50"/>
  <c r="N11" i="50"/>
  <c r="K11" i="50"/>
  <c r="H11" i="50"/>
  <c r="E11" i="50"/>
  <c r="F11" i="50" s="1"/>
  <c r="B11" i="50"/>
  <c r="N10" i="50"/>
  <c r="K10" i="50"/>
  <c r="H10" i="50"/>
  <c r="E10" i="50"/>
  <c r="B10" i="50"/>
  <c r="C10" i="50" s="1"/>
  <c r="N9" i="50"/>
  <c r="K9" i="50"/>
  <c r="H9" i="50"/>
  <c r="E9" i="50"/>
  <c r="B9" i="50"/>
  <c r="D9" i="50" s="1"/>
  <c r="N8" i="50"/>
  <c r="O8" i="50" s="1"/>
  <c r="K8" i="50"/>
  <c r="H8" i="50"/>
  <c r="E8" i="50"/>
  <c r="B8" i="50"/>
  <c r="C8" i="50" s="1"/>
  <c r="N7" i="50"/>
  <c r="P7" i="50" s="1"/>
  <c r="K7" i="50"/>
  <c r="L7" i="50" s="1"/>
  <c r="H7" i="50"/>
  <c r="E7" i="50"/>
  <c r="B7" i="50"/>
  <c r="D7" i="50" s="1"/>
  <c r="N6" i="50"/>
  <c r="O13" i="50" s="1"/>
  <c r="K6" i="50"/>
  <c r="L10" i="50" s="1"/>
  <c r="H6" i="50"/>
  <c r="E6" i="50"/>
  <c r="B6" i="50"/>
  <c r="F7" i="50" l="1"/>
  <c r="G10" i="50"/>
  <c r="F9" i="50"/>
  <c r="G8" i="50"/>
  <c r="J11" i="50"/>
  <c r="P12" i="50"/>
  <c r="J14" i="50"/>
  <c r="I10" i="50"/>
  <c r="L11" i="50"/>
  <c r="F13" i="50"/>
  <c r="L14" i="50"/>
  <c r="J9" i="50"/>
  <c r="M10" i="50"/>
  <c r="P11" i="50"/>
  <c r="J13" i="50"/>
  <c r="P14" i="50"/>
  <c r="I8" i="50"/>
  <c r="L9" i="50"/>
  <c r="O10" i="50"/>
  <c r="F12" i="50"/>
  <c r="L13" i="50"/>
  <c r="F10" i="50"/>
  <c r="J7" i="50"/>
  <c r="M8" i="50"/>
  <c r="P9" i="50"/>
  <c r="D11" i="50"/>
  <c r="J12" i="50"/>
  <c r="P13" i="50"/>
  <c r="I14" i="50"/>
  <c r="C11" i="50"/>
  <c r="C7" i="50"/>
  <c r="G7" i="50"/>
  <c r="I7" i="50"/>
  <c r="M7" i="50"/>
  <c r="O7" i="50"/>
  <c r="D8" i="50"/>
  <c r="F8" i="50"/>
  <c r="J8" i="50"/>
  <c r="L8" i="50"/>
  <c r="P8" i="50"/>
  <c r="C9" i="50"/>
  <c r="G9" i="50"/>
  <c r="I9" i="50"/>
  <c r="M9" i="50"/>
  <c r="O9" i="50"/>
  <c r="D10" i="50"/>
  <c r="J10" i="50"/>
  <c r="P10" i="50"/>
  <c r="G11" i="50"/>
  <c r="I11" i="50"/>
  <c r="M11" i="50"/>
  <c r="O11" i="50"/>
  <c r="G12" i="50"/>
  <c r="I12" i="50"/>
  <c r="M12" i="50"/>
  <c r="O12" i="50"/>
  <c r="G13" i="50"/>
  <c r="I13" i="50"/>
  <c r="M13" i="50"/>
  <c r="G14" i="50"/>
  <c r="M14" i="50"/>
  <c r="O14" i="50"/>
  <c r="N14" i="49"/>
  <c r="K14" i="49"/>
  <c r="H14" i="49"/>
  <c r="E14" i="49"/>
  <c r="N13" i="49"/>
  <c r="K13" i="49"/>
  <c r="H13" i="49"/>
  <c r="E13" i="49"/>
  <c r="N12" i="49"/>
  <c r="K12" i="49"/>
  <c r="H12" i="49"/>
  <c r="E12" i="49"/>
  <c r="N11" i="49"/>
  <c r="K11" i="49"/>
  <c r="H11" i="49"/>
  <c r="E11" i="49"/>
  <c r="B11" i="49"/>
  <c r="N10" i="49"/>
  <c r="K10" i="49"/>
  <c r="H10" i="49"/>
  <c r="E10" i="49"/>
  <c r="B10" i="49"/>
  <c r="N9" i="49"/>
  <c r="K9" i="49"/>
  <c r="H9" i="49"/>
  <c r="E9" i="49"/>
  <c r="B9" i="49"/>
  <c r="N8" i="49"/>
  <c r="K8" i="49"/>
  <c r="H8" i="49"/>
  <c r="E8" i="49"/>
  <c r="B8" i="49"/>
  <c r="N7" i="49"/>
  <c r="K7" i="49"/>
  <c r="H7" i="49"/>
  <c r="E7" i="49"/>
  <c r="B7" i="49"/>
  <c r="N6" i="49"/>
  <c r="O10" i="49" s="1"/>
  <c r="K6" i="49"/>
  <c r="H6" i="49"/>
  <c r="E6" i="49"/>
  <c r="B6" i="49"/>
  <c r="M7" i="49" l="1"/>
  <c r="G9" i="49"/>
  <c r="M11" i="49"/>
  <c r="G7" i="49"/>
  <c r="M9" i="49"/>
  <c r="I10" i="49"/>
  <c r="M12" i="49"/>
  <c r="C10" i="49"/>
  <c r="M13" i="49"/>
  <c r="M14" i="49"/>
  <c r="G11" i="49"/>
  <c r="G12" i="49"/>
  <c r="G13" i="49"/>
  <c r="G14" i="49"/>
  <c r="D8" i="49"/>
  <c r="J8" i="49"/>
  <c r="P8" i="49"/>
  <c r="D10" i="49"/>
  <c r="J10" i="49"/>
  <c r="P10" i="49"/>
  <c r="F14" i="49"/>
  <c r="L14" i="49"/>
  <c r="D7" i="49"/>
  <c r="J7" i="49"/>
  <c r="P7" i="49"/>
  <c r="G8" i="49"/>
  <c r="M8" i="49"/>
  <c r="D9" i="49"/>
  <c r="J9" i="49"/>
  <c r="P9" i="49"/>
  <c r="G10" i="49"/>
  <c r="M10" i="49"/>
  <c r="D11" i="49"/>
  <c r="J11" i="49"/>
  <c r="P11" i="49"/>
  <c r="J12" i="49"/>
  <c r="P12" i="49"/>
  <c r="J13" i="49"/>
  <c r="P13" i="49"/>
  <c r="J14" i="49"/>
  <c r="P14" i="49"/>
  <c r="C7" i="49"/>
  <c r="I7" i="49"/>
  <c r="O7" i="49"/>
  <c r="F8" i="49"/>
  <c r="L8" i="49"/>
  <c r="C9" i="49"/>
  <c r="I9" i="49"/>
  <c r="O9" i="49"/>
  <c r="F10" i="49"/>
  <c r="L10" i="49"/>
  <c r="C11" i="49"/>
  <c r="I11" i="49"/>
  <c r="O11" i="49"/>
  <c r="I12" i="49"/>
  <c r="O12" i="49"/>
  <c r="I13" i="49"/>
  <c r="O13" i="49"/>
  <c r="I14" i="49"/>
  <c r="O14" i="49"/>
  <c r="F7" i="49"/>
  <c r="L7" i="49"/>
  <c r="C8" i="49"/>
  <c r="I8" i="49"/>
  <c r="O8" i="49"/>
  <c r="F9" i="49"/>
  <c r="L9" i="49"/>
  <c r="F11" i="49"/>
  <c r="L11" i="49"/>
  <c r="F12" i="49"/>
  <c r="L12" i="49"/>
  <c r="F13" i="49"/>
  <c r="L13" i="49"/>
  <c r="N14" i="48"/>
  <c r="K14" i="48"/>
  <c r="H14" i="48"/>
  <c r="E14" i="48"/>
  <c r="N13" i="48"/>
  <c r="K13" i="48"/>
  <c r="H13" i="48"/>
  <c r="E13" i="48"/>
  <c r="N12" i="48"/>
  <c r="K12" i="48"/>
  <c r="H12" i="48"/>
  <c r="E12" i="48"/>
  <c r="N11" i="48"/>
  <c r="K11" i="48"/>
  <c r="H11" i="48"/>
  <c r="E11" i="48"/>
  <c r="B11" i="48"/>
  <c r="N10" i="48"/>
  <c r="K10" i="48"/>
  <c r="H10" i="48"/>
  <c r="E10" i="48"/>
  <c r="B10" i="48"/>
  <c r="N9" i="48"/>
  <c r="K9" i="48"/>
  <c r="H9" i="48"/>
  <c r="E9" i="48"/>
  <c r="B9" i="48"/>
  <c r="N8" i="48"/>
  <c r="K8" i="48"/>
  <c r="H8" i="48"/>
  <c r="E8" i="48"/>
  <c r="B8" i="48"/>
  <c r="N7" i="48"/>
  <c r="K7" i="48"/>
  <c r="H7" i="48"/>
  <c r="E7" i="48"/>
  <c r="B7" i="48"/>
  <c r="N6" i="48"/>
  <c r="O10" i="48" s="1"/>
  <c r="K6" i="48"/>
  <c r="H6" i="48"/>
  <c r="I9" i="48" s="1"/>
  <c r="E6" i="48"/>
  <c r="B6" i="48"/>
  <c r="N14" i="47"/>
  <c r="K14" i="47"/>
  <c r="H14" i="47"/>
  <c r="E14" i="47"/>
  <c r="N13" i="47"/>
  <c r="K13" i="47"/>
  <c r="H13" i="47"/>
  <c r="E13" i="47"/>
  <c r="N12" i="47"/>
  <c r="K12" i="47"/>
  <c r="H12" i="47"/>
  <c r="E12" i="47"/>
  <c r="N11" i="47"/>
  <c r="K11" i="47"/>
  <c r="H11" i="47"/>
  <c r="E11" i="47"/>
  <c r="B11" i="47"/>
  <c r="N10" i="47"/>
  <c r="K10" i="47"/>
  <c r="H10" i="47"/>
  <c r="E10" i="47"/>
  <c r="B10" i="47"/>
  <c r="N9" i="47"/>
  <c r="K9" i="47"/>
  <c r="H9" i="47"/>
  <c r="E9" i="47"/>
  <c r="B9" i="47"/>
  <c r="N8" i="47"/>
  <c r="K8" i="47"/>
  <c r="H8" i="47"/>
  <c r="E8" i="47"/>
  <c r="B8" i="47"/>
  <c r="N7" i="47"/>
  <c r="P7" i="47" s="1"/>
  <c r="K7" i="47"/>
  <c r="H7" i="47"/>
  <c r="E7" i="47"/>
  <c r="B7" i="47"/>
  <c r="N6" i="47"/>
  <c r="O14" i="47" s="1"/>
  <c r="K6" i="47"/>
  <c r="L10" i="47" s="1"/>
  <c r="H6" i="47"/>
  <c r="I14" i="47" s="1"/>
  <c r="E6" i="47"/>
  <c r="F8" i="47" s="1"/>
  <c r="B6" i="47"/>
  <c r="N14" i="46"/>
  <c r="K14" i="46"/>
  <c r="H14" i="46"/>
  <c r="E14" i="46"/>
  <c r="N13" i="46"/>
  <c r="K13" i="46"/>
  <c r="H13" i="46"/>
  <c r="E13" i="46"/>
  <c r="N12" i="46"/>
  <c r="K12" i="46"/>
  <c r="H12" i="46"/>
  <c r="E12" i="46"/>
  <c r="N11" i="46"/>
  <c r="K11" i="46"/>
  <c r="H11" i="46"/>
  <c r="E11" i="46"/>
  <c r="B11" i="46"/>
  <c r="N10" i="46"/>
  <c r="K10" i="46"/>
  <c r="H10" i="46"/>
  <c r="F10" i="46"/>
  <c r="E10" i="46"/>
  <c r="B10" i="46"/>
  <c r="N9" i="46"/>
  <c r="K9" i="46"/>
  <c r="H9" i="46"/>
  <c r="E9" i="46"/>
  <c r="B9" i="46"/>
  <c r="N8" i="46"/>
  <c r="K8" i="46"/>
  <c r="H8" i="46"/>
  <c r="E8" i="46"/>
  <c r="B8" i="46"/>
  <c r="N7" i="46"/>
  <c r="K7" i="46"/>
  <c r="H7" i="46"/>
  <c r="E7" i="46"/>
  <c r="B7" i="46"/>
  <c r="N6" i="46"/>
  <c r="O14" i="46" s="1"/>
  <c r="K6" i="46"/>
  <c r="L10" i="46" s="1"/>
  <c r="H6" i="46"/>
  <c r="E6" i="46"/>
  <c r="B6" i="46"/>
  <c r="C11" i="46" s="1"/>
  <c r="N14" i="45"/>
  <c r="K14" i="45"/>
  <c r="H14" i="45"/>
  <c r="E14" i="45"/>
  <c r="N13" i="45"/>
  <c r="K13" i="45"/>
  <c r="H13" i="45"/>
  <c r="E13" i="45"/>
  <c r="N12" i="45"/>
  <c r="K12" i="45"/>
  <c r="H12" i="45"/>
  <c r="E12" i="45"/>
  <c r="N11" i="45"/>
  <c r="K11" i="45"/>
  <c r="H11" i="45"/>
  <c r="E11" i="45"/>
  <c r="B11" i="45"/>
  <c r="N10" i="45"/>
  <c r="K10" i="45"/>
  <c r="H10" i="45"/>
  <c r="E10" i="45"/>
  <c r="B10" i="45"/>
  <c r="N9" i="45"/>
  <c r="K9" i="45"/>
  <c r="H9" i="45"/>
  <c r="E9" i="45"/>
  <c r="B9" i="45"/>
  <c r="N8" i="45"/>
  <c r="K8" i="45"/>
  <c r="H8" i="45"/>
  <c r="E8" i="45"/>
  <c r="B8" i="45"/>
  <c r="N7" i="45"/>
  <c r="K7" i="45"/>
  <c r="H7" i="45"/>
  <c r="E7" i="45"/>
  <c r="B7" i="45"/>
  <c r="N6" i="45"/>
  <c r="K6" i="45"/>
  <c r="H6" i="45"/>
  <c r="I14" i="45" s="1"/>
  <c r="E6" i="45"/>
  <c r="B6" i="45"/>
  <c r="N14" i="44"/>
  <c r="K14" i="44"/>
  <c r="H14" i="44"/>
  <c r="E14" i="44"/>
  <c r="N13" i="44"/>
  <c r="K13" i="44"/>
  <c r="H13" i="44"/>
  <c r="E13" i="44"/>
  <c r="N12" i="44"/>
  <c r="K12" i="44"/>
  <c r="H12" i="44"/>
  <c r="E12" i="44"/>
  <c r="N11" i="44"/>
  <c r="K11" i="44"/>
  <c r="H11" i="44"/>
  <c r="E11" i="44"/>
  <c r="B11" i="44"/>
  <c r="N10" i="44"/>
  <c r="K10" i="44"/>
  <c r="H10" i="44"/>
  <c r="E10" i="44"/>
  <c r="B10" i="44"/>
  <c r="N9" i="44"/>
  <c r="K9" i="44"/>
  <c r="H9" i="44"/>
  <c r="E9" i="44"/>
  <c r="B9" i="44"/>
  <c r="N8" i="44"/>
  <c r="K8" i="44"/>
  <c r="H8" i="44"/>
  <c r="E8" i="44"/>
  <c r="B8" i="44"/>
  <c r="N7" i="44"/>
  <c r="K7" i="44"/>
  <c r="H7" i="44"/>
  <c r="I7" i="44" s="1"/>
  <c r="E7" i="44"/>
  <c r="B7" i="44"/>
  <c r="N6" i="44"/>
  <c r="K6" i="44"/>
  <c r="H6" i="44"/>
  <c r="E6" i="44"/>
  <c r="B6" i="44"/>
  <c r="N14" i="43"/>
  <c r="K14" i="43"/>
  <c r="H14" i="43"/>
  <c r="E14" i="43"/>
  <c r="N13" i="43"/>
  <c r="K13" i="43"/>
  <c r="H13" i="43"/>
  <c r="E13" i="43"/>
  <c r="N12" i="43"/>
  <c r="K12" i="43"/>
  <c r="H12" i="43"/>
  <c r="E12" i="43"/>
  <c r="N11" i="43"/>
  <c r="K11" i="43"/>
  <c r="H11" i="43"/>
  <c r="E11" i="43"/>
  <c r="B11" i="43"/>
  <c r="N10" i="43"/>
  <c r="K10" i="43"/>
  <c r="H10" i="43"/>
  <c r="E10" i="43"/>
  <c r="B10" i="43"/>
  <c r="N9" i="43"/>
  <c r="K9" i="43"/>
  <c r="H9" i="43"/>
  <c r="E9" i="43"/>
  <c r="B9" i="43"/>
  <c r="N8" i="43"/>
  <c r="K8" i="43"/>
  <c r="H8" i="43"/>
  <c r="E8" i="43"/>
  <c r="B8" i="43"/>
  <c r="N7" i="43"/>
  <c r="K7" i="43"/>
  <c r="H7" i="43"/>
  <c r="E7" i="43"/>
  <c r="B7" i="43"/>
  <c r="N6" i="43"/>
  <c r="O8" i="43" s="1"/>
  <c r="K6" i="43"/>
  <c r="H6" i="43"/>
  <c r="I10" i="43" s="1"/>
  <c r="E6" i="43"/>
  <c r="B6" i="43"/>
  <c r="N14" i="42"/>
  <c r="K14" i="42"/>
  <c r="H14" i="42"/>
  <c r="E14" i="42"/>
  <c r="N13" i="42"/>
  <c r="K13" i="42"/>
  <c r="H13" i="42"/>
  <c r="E13" i="42"/>
  <c r="N12" i="42"/>
  <c r="K12" i="42"/>
  <c r="H12" i="42"/>
  <c r="E12" i="42"/>
  <c r="N11" i="42"/>
  <c r="K11" i="42"/>
  <c r="H11" i="42"/>
  <c r="E11" i="42"/>
  <c r="B11" i="42"/>
  <c r="N10" i="42"/>
  <c r="K10" i="42"/>
  <c r="H10" i="42"/>
  <c r="E10" i="42"/>
  <c r="B10" i="42"/>
  <c r="N9" i="42"/>
  <c r="K9" i="42"/>
  <c r="H9" i="42"/>
  <c r="E9" i="42"/>
  <c r="B9" i="42"/>
  <c r="N8" i="42"/>
  <c r="K8" i="42"/>
  <c r="H8" i="42"/>
  <c r="E8" i="42"/>
  <c r="B8" i="42"/>
  <c r="N7" i="42"/>
  <c r="K7" i="42"/>
  <c r="H7" i="42"/>
  <c r="E7" i="42"/>
  <c r="B7" i="42"/>
  <c r="N6" i="42"/>
  <c r="K6" i="42"/>
  <c r="L10" i="42" s="1"/>
  <c r="H6" i="42"/>
  <c r="J14" i="42" s="1"/>
  <c r="E6" i="42"/>
  <c r="G7" i="42" s="1"/>
  <c r="B6" i="42"/>
  <c r="N14" i="41"/>
  <c r="K14" i="41"/>
  <c r="H14" i="41"/>
  <c r="E14" i="41"/>
  <c r="N13" i="41"/>
  <c r="K13" i="41"/>
  <c r="H13" i="41"/>
  <c r="E13" i="41"/>
  <c r="N12" i="41"/>
  <c r="K12" i="41"/>
  <c r="H12" i="41"/>
  <c r="E12" i="41"/>
  <c r="N11" i="41"/>
  <c r="K11" i="41"/>
  <c r="H11" i="41"/>
  <c r="E11" i="41"/>
  <c r="B11" i="41"/>
  <c r="N10" i="41"/>
  <c r="K10" i="41"/>
  <c r="H10" i="41"/>
  <c r="E10" i="41"/>
  <c r="B10" i="41"/>
  <c r="N9" i="41"/>
  <c r="K9" i="41"/>
  <c r="H9" i="41"/>
  <c r="E9" i="41"/>
  <c r="B9" i="41"/>
  <c r="N8" i="41"/>
  <c r="K8" i="41"/>
  <c r="H8" i="41"/>
  <c r="E8" i="41"/>
  <c r="B8" i="41"/>
  <c r="N7" i="41"/>
  <c r="K7" i="41"/>
  <c r="H7" i="41"/>
  <c r="E7" i="41"/>
  <c r="B7" i="41"/>
  <c r="N6" i="41"/>
  <c r="O14" i="41" s="1"/>
  <c r="K6" i="41"/>
  <c r="L10" i="41" s="1"/>
  <c r="H6" i="41"/>
  <c r="E6" i="41"/>
  <c r="B6" i="41"/>
  <c r="C11" i="41" s="1"/>
  <c r="N14" i="40"/>
  <c r="K14" i="40"/>
  <c r="H14" i="40"/>
  <c r="E14" i="40"/>
  <c r="G14" i="40" s="1"/>
  <c r="N13" i="40"/>
  <c r="K13" i="40"/>
  <c r="H13" i="40"/>
  <c r="E13" i="40"/>
  <c r="N12" i="40"/>
  <c r="K12" i="40"/>
  <c r="H12" i="40"/>
  <c r="E12" i="40"/>
  <c r="N11" i="40"/>
  <c r="K11" i="40"/>
  <c r="H11" i="40"/>
  <c r="E11" i="40"/>
  <c r="B11" i="40"/>
  <c r="N10" i="40"/>
  <c r="K10" i="40"/>
  <c r="H10" i="40"/>
  <c r="E10" i="40"/>
  <c r="B10" i="40"/>
  <c r="N9" i="40"/>
  <c r="K9" i="40"/>
  <c r="H9" i="40"/>
  <c r="E9" i="40"/>
  <c r="B9" i="40"/>
  <c r="N8" i="40"/>
  <c r="K8" i="40"/>
  <c r="H8" i="40"/>
  <c r="E8" i="40"/>
  <c r="B8" i="40"/>
  <c r="N7" i="40"/>
  <c r="K7" i="40"/>
  <c r="H7" i="40"/>
  <c r="E7" i="40"/>
  <c r="B7" i="40"/>
  <c r="N6" i="40"/>
  <c r="O14" i="40" s="1"/>
  <c r="K6" i="40"/>
  <c r="L10" i="40" s="1"/>
  <c r="H6" i="40"/>
  <c r="I14" i="40" s="1"/>
  <c r="E6" i="40"/>
  <c r="F10" i="40" s="1"/>
  <c r="B6" i="40"/>
  <c r="C11" i="40" s="1"/>
  <c r="H23" i="39"/>
  <c r="H10" i="39" s="1"/>
  <c r="N22" i="39"/>
  <c r="N23" i="39" s="1"/>
  <c r="N10" i="39" s="1"/>
  <c r="N14" i="39"/>
  <c r="K14" i="39"/>
  <c r="H14" i="39"/>
  <c r="E14" i="39"/>
  <c r="N13" i="39"/>
  <c r="K13" i="39"/>
  <c r="H13" i="39"/>
  <c r="E13" i="39"/>
  <c r="N12" i="39"/>
  <c r="K12" i="39"/>
  <c r="H12" i="39"/>
  <c r="E12" i="39"/>
  <c r="N11" i="39"/>
  <c r="K11" i="39"/>
  <c r="H11" i="39"/>
  <c r="E11" i="39"/>
  <c r="B11" i="39"/>
  <c r="K10" i="39"/>
  <c r="E10" i="39"/>
  <c r="B10" i="39"/>
  <c r="N9" i="39"/>
  <c r="K9" i="39"/>
  <c r="H9" i="39"/>
  <c r="E9" i="39"/>
  <c r="B9" i="39"/>
  <c r="N8" i="39"/>
  <c r="K8" i="39"/>
  <c r="H8" i="39"/>
  <c r="E8" i="39"/>
  <c r="B8" i="39"/>
  <c r="N7" i="39"/>
  <c r="K7" i="39"/>
  <c r="H7" i="39"/>
  <c r="E7" i="39"/>
  <c r="B7" i="39"/>
  <c r="N6" i="39"/>
  <c r="K6" i="39"/>
  <c r="H6" i="39"/>
  <c r="I8" i="39" s="1"/>
  <c r="E6" i="39"/>
  <c r="B6" i="39"/>
  <c r="H23" i="38"/>
  <c r="H10" i="38" s="1"/>
  <c r="N21" i="38"/>
  <c r="H21" i="38"/>
  <c r="N14" i="38"/>
  <c r="K14" i="38"/>
  <c r="H14" i="38"/>
  <c r="E14" i="38"/>
  <c r="N13" i="38"/>
  <c r="K13" i="38"/>
  <c r="H13" i="38"/>
  <c r="E13" i="38"/>
  <c r="N12" i="38"/>
  <c r="K12" i="38"/>
  <c r="H12" i="38"/>
  <c r="E12" i="38"/>
  <c r="N11" i="38"/>
  <c r="K11" i="38"/>
  <c r="H11" i="38"/>
  <c r="E11" i="38"/>
  <c r="B11" i="38"/>
  <c r="N10" i="38"/>
  <c r="K10" i="38"/>
  <c r="E10" i="38"/>
  <c r="B10" i="38"/>
  <c r="K9" i="38"/>
  <c r="H9" i="38"/>
  <c r="E9" i="38"/>
  <c r="B9" i="38"/>
  <c r="K8" i="38"/>
  <c r="H8" i="38"/>
  <c r="E8" i="38"/>
  <c r="B8" i="38"/>
  <c r="N7" i="38"/>
  <c r="K7" i="38"/>
  <c r="H7" i="38"/>
  <c r="E7" i="38"/>
  <c r="B7" i="38"/>
  <c r="N6" i="38"/>
  <c r="O10" i="38" s="1"/>
  <c r="K6" i="38"/>
  <c r="L9" i="38" s="1"/>
  <c r="H6" i="38"/>
  <c r="J9" i="38" s="1"/>
  <c r="E6" i="38"/>
  <c r="B6" i="38"/>
  <c r="D9" i="38" s="1"/>
  <c r="N21" i="37"/>
  <c r="N22" i="37" s="1"/>
  <c r="N9" i="37" s="1"/>
  <c r="H21" i="37"/>
  <c r="H22" i="37" s="1"/>
  <c r="H9" i="37" s="1"/>
  <c r="N14" i="37"/>
  <c r="K14" i="37"/>
  <c r="H14" i="37"/>
  <c r="E14" i="37"/>
  <c r="N13" i="37"/>
  <c r="K13" i="37"/>
  <c r="H13" i="37"/>
  <c r="E13" i="37"/>
  <c r="N12" i="37"/>
  <c r="K12" i="37"/>
  <c r="H12" i="37"/>
  <c r="E12" i="37"/>
  <c r="N11" i="37"/>
  <c r="K11" i="37"/>
  <c r="H11" i="37"/>
  <c r="E11" i="37"/>
  <c r="B11" i="37"/>
  <c r="N10" i="37"/>
  <c r="K10" i="37"/>
  <c r="E10" i="37"/>
  <c r="B10" i="37"/>
  <c r="K9" i="37"/>
  <c r="E9" i="37"/>
  <c r="B9" i="37"/>
  <c r="N8" i="37"/>
  <c r="K8" i="37"/>
  <c r="H8" i="37"/>
  <c r="E8" i="37"/>
  <c r="B8" i="37"/>
  <c r="N7" i="37"/>
  <c r="K7" i="37"/>
  <c r="M7" i="37" s="1"/>
  <c r="H7" i="37"/>
  <c r="E7" i="37"/>
  <c r="B7" i="37"/>
  <c r="N6" i="37"/>
  <c r="O14" i="37" s="1"/>
  <c r="K6" i="37"/>
  <c r="H6" i="37"/>
  <c r="E6" i="37"/>
  <c r="F8" i="37" s="1"/>
  <c r="B6" i="37"/>
  <c r="N22" i="36"/>
  <c r="N14" i="36"/>
  <c r="K14" i="36"/>
  <c r="H14" i="36"/>
  <c r="E14" i="36"/>
  <c r="N13" i="36"/>
  <c r="K13" i="36"/>
  <c r="H13" i="36"/>
  <c r="E13" i="36"/>
  <c r="N12" i="36"/>
  <c r="K12" i="36"/>
  <c r="H12" i="36"/>
  <c r="E12" i="36"/>
  <c r="N11" i="36"/>
  <c r="K11" i="36"/>
  <c r="H11" i="36"/>
  <c r="E11" i="36"/>
  <c r="B11" i="36"/>
  <c r="N10" i="36"/>
  <c r="K10" i="36"/>
  <c r="H10" i="36"/>
  <c r="E10" i="36"/>
  <c r="B10" i="36"/>
  <c r="N9" i="36"/>
  <c r="K9" i="36"/>
  <c r="H9" i="36"/>
  <c r="E9" i="36"/>
  <c r="B9" i="36"/>
  <c r="N8" i="36"/>
  <c r="K8" i="36"/>
  <c r="H8" i="36"/>
  <c r="E8" i="36"/>
  <c r="B8" i="36"/>
  <c r="N7" i="36"/>
  <c r="K7" i="36"/>
  <c r="M7" i="36" s="1"/>
  <c r="H7" i="36"/>
  <c r="E7" i="36"/>
  <c r="B7" i="36"/>
  <c r="N6" i="36"/>
  <c r="K6" i="36"/>
  <c r="H6" i="36"/>
  <c r="E6" i="36"/>
  <c r="B6" i="36"/>
  <c r="D11" i="36" s="1"/>
  <c r="N22" i="35"/>
  <c r="N9" i="35" s="1"/>
  <c r="N14" i="35"/>
  <c r="K14" i="35"/>
  <c r="H14" i="35"/>
  <c r="E14" i="35"/>
  <c r="N13" i="35"/>
  <c r="K13" i="35"/>
  <c r="H13" i="35"/>
  <c r="E13" i="35"/>
  <c r="N12" i="35"/>
  <c r="K12" i="35"/>
  <c r="H12" i="35"/>
  <c r="E12" i="35"/>
  <c r="N11" i="35"/>
  <c r="K11" i="35"/>
  <c r="H11" i="35"/>
  <c r="E11" i="35"/>
  <c r="B11" i="35"/>
  <c r="N10" i="35"/>
  <c r="K10" i="35"/>
  <c r="H10" i="35"/>
  <c r="E10" i="35"/>
  <c r="B10" i="35"/>
  <c r="K9" i="35"/>
  <c r="H9" i="35"/>
  <c r="E9" i="35"/>
  <c r="B9" i="35"/>
  <c r="N8" i="35"/>
  <c r="K8" i="35"/>
  <c r="H8" i="35"/>
  <c r="E8" i="35"/>
  <c r="B8" i="35"/>
  <c r="N7" i="35"/>
  <c r="K7" i="35"/>
  <c r="H7" i="35"/>
  <c r="E7" i="35"/>
  <c r="B7" i="35"/>
  <c r="N6" i="35"/>
  <c r="K6" i="35"/>
  <c r="L8" i="35" s="1"/>
  <c r="H6" i="35"/>
  <c r="E6" i="35"/>
  <c r="F10" i="35" s="1"/>
  <c r="B6" i="35"/>
  <c r="C11" i="35" s="1"/>
  <c r="N22" i="34"/>
  <c r="N14" i="34"/>
  <c r="K14" i="34"/>
  <c r="H14" i="34"/>
  <c r="E14" i="34"/>
  <c r="N13" i="34"/>
  <c r="K13" i="34"/>
  <c r="H13" i="34"/>
  <c r="E13" i="34"/>
  <c r="N12" i="34"/>
  <c r="K12" i="34"/>
  <c r="H12" i="34"/>
  <c r="E12" i="34"/>
  <c r="N11" i="34"/>
  <c r="K11" i="34"/>
  <c r="H11" i="34"/>
  <c r="E11" i="34"/>
  <c r="B11" i="34"/>
  <c r="N10" i="34"/>
  <c r="K10" i="34"/>
  <c r="H10" i="34"/>
  <c r="E10" i="34"/>
  <c r="G10" i="34" s="1"/>
  <c r="B10" i="34"/>
  <c r="N9" i="34"/>
  <c r="K9" i="34"/>
  <c r="H9" i="34"/>
  <c r="E9" i="34"/>
  <c r="B9" i="34"/>
  <c r="N8" i="34"/>
  <c r="K8" i="34"/>
  <c r="H8" i="34"/>
  <c r="E8" i="34"/>
  <c r="B8" i="34"/>
  <c r="N7" i="34"/>
  <c r="K7" i="34"/>
  <c r="H7" i="34"/>
  <c r="E7" i="34"/>
  <c r="B7" i="34"/>
  <c r="N6" i="34"/>
  <c r="P12" i="34" s="1"/>
  <c r="K6" i="34"/>
  <c r="L9" i="34" s="1"/>
  <c r="H6" i="34"/>
  <c r="J11" i="34" s="1"/>
  <c r="E6" i="34"/>
  <c r="B6" i="34"/>
  <c r="N22" i="33"/>
  <c r="N9" i="33" s="1"/>
  <c r="N14" i="33"/>
  <c r="K14" i="33"/>
  <c r="H14" i="33"/>
  <c r="E14" i="33"/>
  <c r="N13" i="33"/>
  <c r="K13" i="33"/>
  <c r="H13" i="33"/>
  <c r="E13" i="33"/>
  <c r="G13" i="33" s="1"/>
  <c r="N12" i="33"/>
  <c r="K12" i="33"/>
  <c r="H12" i="33"/>
  <c r="E12" i="33"/>
  <c r="N11" i="33"/>
  <c r="K11" i="33"/>
  <c r="H11" i="33"/>
  <c r="E11" i="33"/>
  <c r="B11" i="33"/>
  <c r="N10" i="33"/>
  <c r="K10" i="33"/>
  <c r="H10" i="33"/>
  <c r="E10" i="33"/>
  <c r="B10" i="33"/>
  <c r="K9" i="33"/>
  <c r="H9" i="33"/>
  <c r="E9" i="33"/>
  <c r="B9" i="33"/>
  <c r="N8" i="33"/>
  <c r="K8" i="33"/>
  <c r="H8" i="33"/>
  <c r="E8" i="33"/>
  <c r="B8" i="33"/>
  <c r="N7" i="33"/>
  <c r="P7" i="33" s="1"/>
  <c r="K7" i="33"/>
  <c r="H7" i="33"/>
  <c r="E7" i="33"/>
  <c r="B7" i="33"/>
  <c r="N6" i="33"/>
  <c r="O9" i="33" s="1"/>
  <c r="K6" i="33"/>
  <c r="M11" i="33" s="1"/>
  <c r="H6" i="33"/>
  <c r="I9" i="33" s="1"/>
  <c r="E6" i="33"/>
  <c r="B6" i="33"/>
  <c r="C9" i="33" s="1"/>
  <c r="N22" i="32"/>
  <c r="N14" i="32"/>
  <c r="K14" i="32"/>
  <c r="H14" i="32"/>
  <c r="E14" i="32"/>
  <c r="N13" i="32"/>
  <c r="K13" i="32"/>
  <c r="H13" i="32"/>
  <c r="E13" i="32"/>
  <c r="N12" i="32"/>
  <c r="K12" i="32"/>
  <c r="H12" i="32"/>
  <c r="E12" i="32"/>
  <c r="N11" i="32"/>
  <c r="K11" i="32"/>
  <c r="H11" i="32"/>
  <c r="E11" i="32"/>
  <c r="B11" i="32"/>
  <c r="N10" i="32"/>
  <c r="K10" i="32"/>
  <c r="H10" i="32"/>
  <c r="E10" i="32"/>
  <c r="B10" i="32"/>
  <c r="N9" i="32"/>
  <c r="K9" i="32"/>
  <c r="H9" i="32"/>
  <c r="E9" i="32"/>
  <c r="B9" i="32"/>
  <c r="N8" i="32"/>
  <c r="K8" i="32"/>
  <c r="H8" i="32"/>
  <c r="E8" i="32"/>
  <c r="B8" i="32"/>
  <c r="N7" i="32"/>
  <c r="K7" i="32"/>
  <c r="H7" i="32"/>
  <c r="E7" i="32"/>
  <c r="B7" i="32"/>
  <c r="N6" i="32"/>
  <c r="K6" i="32"/>
  <c r="H6" i="32"/>
  <c r="I8" i="32" s="1"/>
  <c r="E6" i="32"/>
  <c r="B6" i="32"/>
  <c r="H23" i="31"/>
  <c r="N22" i="31"/>
  <c r="N9" i="31" s="1"/>
  <c r="H21" i="31"/>
  <c r="N14" i="31"/>
  <c r="K14" i="31"/>
  <c r="H14" i="31"/>
  <c r="E14" i="31"/>
  <c r="N13" i="31"/>
  <c r="K13" i="31"/>
  <c r="H13" i="31"/>
  <c r="E13" i="31"/>
  <c r="N12" i="31"/>
  <c r="K12" i="31"/>
  <c r="H12" i="31"/>
  <c r="E12" i="31"/>
  <c r="N11" i="31"/>
  <c r="K11" i="31"/>
  <c r="H11" i="31"/>
  <c r="E11" i="31"/>
  <c r="B11" i="31"/>
  <c r="N10" i="31"/>
  <c r="K10" i="31"/>
  <c r="H10" i="31"/>
  <c r="E10" i="31"/>
  <c r="B10" i="31"/>
  <c r="K9" i="31"/>
  <c r="H9" i="31"/>
  <c r="E9" i="31"/>
  <c r="B9" i="31"/>
  <c r="N8" i="31"/>
  <c r="K8" i="31"/>
  <c r="H8" i="31"/>
  <c r="E8" i="31"/>
  <c r="B8" i="31"/>
  <c r="N7" i="31"/>
  <c r="K7" i="31"/>
  <c r="H7" i="31"/>
  <c r="E7" i="31"/>
  <c r="B7" i="31"/>
  <c r="N6" i="31"/>
  <c r="K6" i="31"/>
  <c r="L10" i="31" s="1"/>
  <c r="H6" i="31"/>
  <c r="I14" i="31" s="1"/>
  <c r="E6" i="31"/>
  <c r="B6" i="31"/>
  <c r="N22" i="30"/>
  <c r="N9" i="30" s="1"/>
  <c r="N14" i="30"/>
  <c r="K14" i="30"/>
  <c r="H14" i="30"/>
  <c r="E14" i="30"/>
  <c r="N13" i="30"/>
  <c r="K13" i="30"/>
  <c r="H13" i="30"/>
  <c r="E13" i="30"/>
  <c r="N12" i="30"/>
  <c r="K12" i="30"/>
  <c r="H12" i="30"/>
  <c r="E12" i="30"/>
  <c r="N11" i="30"/>
  <c r="K11" i="30"/>
  <c r="H11" i="30"/>
  <c r="E11" i="30"/>
  <c r="B11" i="30"/>
  <c r="N10" i="30"/>
  <c r="K10" i="30"/>
  <c r="H10" i="30"/>
  <c r="E10" i="30"/>
  <c r="B10" i="30"/>
  <c r="K9" i="30"/>
  <c r="H9" i="30"/>
  <c r="E9" i="30"/>
  <c r="B9" i="30"/>
  <c r="N8" i="30"/>
  <c r="K8" i="30"/>
  <c r="H8" i="30"/>
  <c r="E8" i="30"/>
  <c r="B8" i="30"/>
  <c r="N7" i="30"/>
  <c r="K7" i="30"/>
  <c r="M7" i="30" s="1"/>
  <c r="H7" i="30"/>
  <c r="E7" i="30"/>
  <c r="B7" i="30"/>
  <c r="N6" i="30"/>
  <c r="K6" i="30"/>
  <c r="H6" i="30"/>
  <c r="I8" i="30" s="1"/>
  <c r="E6" i="30"/>
  <c r="B6" i="30"/>
  <c r="C10" i="30" s="1"/>
  <c r="N22" i="29"/>
  <c r="N9" i="29" s="1"/>
  <c r="N14" i="29"/>
  <c r="K14" i="29"/>
  <c r="H14" i="29"/>
  <c r="E14" i="29"/>
  <c r="N13" i="29"/>
  <c r="K13" i="29"/>
  <c r="H13" i="29"/>
  <c r="E13" i="29"/>
  <c r="N12" i="29"/>
  <c r="K12" i="29"/>
  <c r="H12" i="29"/>
  <c r="E12" i="29"/>
  <c r="N11" i="29"/>
  <c r="K11" i="29"/>
  <c r="H11" i="29"/>
  <c r="E11" i="29"/>
  <c r="B11" i="29"/>
  <c r="N10" i="29"/>
  <c r="K10" i="29"/>
  <c r="H10" i="29"/>
  <c r="E10" i="29"/>
  <c r="B10" i="29"/>
  <c r="K9" i="29"/>
  <c r="H9" i="29"/>
  <c r="E9" i="29"/>
  <c r="B9" i="29"/>
  <c r="N8" i="29"/>
  <c r="K8" i="29"/>
  <c r="H8" i="29"/>
  <c r="E8" i="29"/>
  <c r="B8" i="29"/>
  <c r="N7" i="29"/>
  <c r="K7" i="29"/>
  <c r="H7" i="29"/>
  <c r="E7" i="29"/>
  <c r="B7" i="29"/>
  <c r="N6" i="29"/>
  <c r="K6" i="29"/>
  <c r="H6" i="29"/>
  <c r="E6" i="29"/>
  <c r="B6" i="29"/>
  <c r="N22" i="28"/>
  <c r="N14" i="28"/>
  <c r="K14" i="28"/>
  <c r="H14" i="28"/>
  <c r="E14" i="28"/>
  <c r="N13" i="28"/>
  <c r="K13" i="28"/>
  <c r="H13" i="28"/>
  <c r="E13" i="28"/>
  <c r="N12" i="28"/>
  <c r="K12" i="28"/>
  <c r="H12" i="28"/>
  <c r="E12" i="28"/>
  <c r="N11" i="28"/>
  <c r="K11" i="28"/>
  <c r="H11" i="28"/>
  <c r="E11" i="28"/>
  <c r="B11" i="28"/>
  <c r="N10" i="28"/>
  <c r="K10" i="28"/>
  <c r="H10" i="28"/>
  <c r="E10" i="28"/>
  <c r="B10" i="28"/>
  <c r="N9" i="28"/>
  <c r="K9" i="28"/>
  <c r="H9" i="28"/>
  <c r="E9" i="28"/>
  <c r="B9" i="28"/>
  <c r="N8" i="28"/>
  <c r="K8" i="28"/>
  <c r="H8" i="28"/>
  <c r="E8" i="28"/>
  <c r="B8" i="28"/>
  <c r="N7" i="28"/>
  <c r="K7" i="28"/>
  <c r="H7" i="28"/>
  <c r="E7" i="28"/>
  <c r="B7" i="28"/>
  <c r="N6" i="28"/>
  <c r="P14" i="28" s="1"/>
  <c r="K6" i="28"/>
  <c r="L14" i="28" s="1"/>
  <c r="H6" i="28"/>
  <c r="J14" i="28" s="1"/>
  <c r="E6" i="28"/>
  <c r="B6" i="28"/>
  <c r="N22" i="27"/>
  <c r="N9" i="27" s="1"/>
  <c r="N14" i="27"/>
  <c r="K14" i="27"/>
  <c r="H14" i="27"/>
  <c r="E14" i="27"/>
  <c r="N13" i="27"/>
  <c r="K13" i="27"/>
  <c r="H13" i="27"/>
  <c r="E13" i="27"/>
  <c r="N12" i="27"/>
  <c r="K12" i="27"/>
  <c r="H12" i="27"/>
  <c r="E12" i="27"/>
  <c r="N11" i="27"/>
  <c r="K11" i="27"/>
  <c r="H11" i="27"/>
  <c r="E11" i="27"/>
  <c r="B11" i="27"/>
  <c r="N10" i="27"/>
  <c r="K10" i="27"/>
  <c r="H10" i="27"/>
  <c r="E10" i="27"/>
  <c r="B10" i="27"/>
  <c r="K9" i="27"/>
  <c r="H9" i="27"/>
  <c r="E9" i="27"/>
  <c r="B9" i="27"/>
  <c r="N8" i="27"/>
  <c r="K8" i="27"/>
  <c r="H8" i="27"/>
  <c r="E8" i="27"/>
  <c r="B8" i="27"/>
  <c r="N7" i="27"/>
  <c r="K7" i="27"/>
  <c r="H7" i="27"/>
  <c r="E7" i="27"/>
  <c r="B7" i="27"/>
  <c r="N6" i="27"/>
  <c r="O7" i="27" s="1"/>
  <c r="K6" i="27"/>
  <c r="M12" i="27" s="1"/>
  <c r="H6" i="27"/>
  <c r="I9" i="27" s="1"/>
  <c r="E6" i="27"/>
  <c r="B6" i="27"/>
  <c r="H23" i="26"/>
  <c r="H10" i="26" s="1"/>
  <c r="N22" i="26"/>
  <c r="N9" i="26" s="1"/>
  <c r="N14" i="26"/>
  <c r="K14" i="26"/>
  <c r="H14" i="26"/>
  <c r="E14" i="26"/>
  <c r="N13" i="26"/>
  <c r="K13" i="26"/>
  <c r="H13" i="26"/>
  <c r="E13" i="26"/>
  <c r="N12" i="26"/>
  <c r="K12" i="26"/>
  <c r="H12" i="26"/>
  <c r="E12" i="26"/>
  <c r="N11" i="26"/>
  <c r="K11" i="26"/>
  <c r="H11" i="26"/>
  <c r="E11" i="26"/>
  <c r="B11" i="26"/>
  <c r="N10" i="26"/>
  <c r="K10" i="26"/>
  <c r="E10" i="26"/>
  <c r="B10" i="26"/>
  <c r="K9" i="26"/>
  <c r="H9" i="26"/>
  <c r="E9" i="26"/>
  <c r="B9" i="26"/>
  <c r="N8" i="26"/>
  <c r="K8" i="26"/>
  <c r="H8" i="26"/>
  <c r="E8" i="26"/>
  <c r="B8" i="26"/>
  <c r="N7" i="26"/>
  <c r="K7" i="26"/>
  <c r="H7" i="26"/>
  <c r="E7" i="26"/>
  <c r="B7" i="26"/>
  <c r="N6" i="26"/>
  <c r="O7" i="26" s="1"/>
  <c r="K6" i="26"/>
  <c r="M13" i="26" s="1"/>
  <c r="H6" i="26"/>
  <c r="I14" i="26" s="1"/>
  <c r="E6" i="26"/>
  <c r="F8" i="26" s="1"/>
  <c r="B6" i="26"/>
  <c r="C9" i="26" s="1"/>
  <c r="N22" i="25"/>
  <c r="N14" i="25"/>
  <c r="K14" i="25"/>
  <c r="H14" i="25"/>
  <c r="E14" i="25"/>
  <c r="N13" i="25"/>
  <c r="K13" i="25"/>
  <c r="H13" i="25"/>
  <c r="E13" i="25"/>
  <c r="N12" i="25"/>
  <c r="K12" i="25"/>
  <c r="H12" i="25"/>
  <c r="E12" i="25"/>
  <c r="N11" i="25"/>
  <c r="K11" i="25"/>
  <c r="H11" i="25"/>
  <c r="E11" i="25"/>
  <c r="B11" i="25"/>
  <c r="N10" i="25"/>
  <c r="K10" i="25"/>
  <c r="H10" i="25"/>
  <c r="E10" i="25"/>
  <c r="B10" i="25"/>
  <c r="N9" i="25"/>
  <c r="K9" i="25"/>
  <c r="H9" i="25"/>
  <c r="E9" i="25"/>
  <c r="B9" i="25"/>
  <c r="N8" i="25"/>
  <c r="K8" i="25"/>
  <c r="H8" i="25"/>
  <c r="E8" i="25"/>
  <c r="B8" i="25"/>
  <c r="N7" i="25"/>
  <c r="K7" i="25"/>
  <c r="H7" i="25"/>
  <c r="E7" i="25"/>
  <c r="B7" i="25"/>
  <c r="N6" i="25"/>
  <c r="O8" i="25" s="1"/>
  <c r="K6" i="25"/>
  <c r="H6" i="25"/>
  <c r="I8" i="25" s="1"/>
  <c r="E6" i="25"/>
  <c r="B6" i="25"/>
  <c r="C8" i="25" s="1"/>
  <c r="N22" i="24"/>
  <c r="N9" i="24" s="1"/>
  <c r="N14" i="24"/>
  <c r="K14" i="24"/>
  <c r="H14" i="24"/>
  <c r="E14" i="24"/>
  <c r="N13" i="24"/>
  <c r="K13" i="24"/>
  <c r="H13" i="24"/>
  <c r="E13" i="24"/>
  <c r="N12" i="24"/>
  <c r="K12" i="24"/>
  <c r="H12" i="24"/>
  <c r="E12" i="24"/>
  <c r="N11" i="24"/>
  <c r="K11" i="24"/>
  <c r="H11" i="24"/>
  <c r="E11" i="24"/>
  <c r="B11" i="24"/>
  <c r="N10" i="24"/>
  <c r="K10" i="24"/>
  <c r="H10" i="24"/>
  <c r="E10" i="24"/>
  <c r="B10" i="24"/>
  <c r="K9" i="24"/>
  <c r="H9" i="24"/>
  <c r="E9" i="24"/>
  <c r="B9" i="24"/>
  <c r="N8" i="24"/>
  <c r="K8" i="24"/>
  <c r="H8" i="24"/>
  <c r="E8" i="24"/>
  <c r="B8" i="24"/>
  <c r="N7" i="24"/>
  <c r="K7" i="24"/>
  <c r="M7" i="24" s="1"/>
  <c r="H7" i="24"/>
  <c r="E7" i="24"/>
  <c r="B7" i="24"/>
  <c r="N6" i="24"/>
  <c r="K6" i="24"/>
  <c r="L10" i="24" s="1"/>
  <c r="H6" i="24"/>
  <c r="E6" i="24"/>
  <c r="G7" i="24" s="1"/>
  <c r="B6" i="24"/>
  <c r="C11" i="24" s="1"/>
  <c r="N22" i="23"/>
  <c r="N14" i="23"/>
  <c r="K14" i="23"/>
  <c r="H14" i="23"/>
  <c r="E14" i="23"/>
  <c r="N13" i="23"/>
  <c r="K13" i="23"/>
  <c r="H13" i="23"/>
  <c r="E13" i="23"/>
  <c r="N12" i="23"/>
  <c r="K12" i="23"/>
  <c r="H12" i="23"/>
  <c r="E12" i="23"/>
  <c r="N11" i="23"/>
  <c r="K11" i="23"/>
  <c r="H11" i="23"/>
  <c r="E11" i="23"/>
  <c r="B11" i="23"/>
  <c r="N10" i="23"/>
  <c r="K10" i="23"/>
  <c r="H10" i="23"/>
  <c r="E10" i="23"/>
  <c r="B10" i="23"/>
  <c r="N9" i="23"/>
  <c r="K9" i="23"/>
  <c r="H9" i="23"/>
  <c r="E9" i="23"/>
  <c r="B9" i="23"/>
  <c r="N8" i="23"/>
  <c r="K8" i="23"/>
  <c r="H8" i="23"/>
  <c r="E8" i="23"/>
  <c r="B8" i="23"/>
  <c r="N7" i="23"/>
  <c r="K7" i="23"/>
  <c r="H7" i="23"/>
  <c r="E7" i="23"/>
  <c r="B7" i="23"/>
  <c r="N6" i="23"/>
  <c r="K6" i="23"/>
  <c r="H6" i="23"/>
  <c r="J13" i="23" s="1"/>
  <c r="E6" i="23"/>
  <c r="F11" i="23" s="1"/>
  <c r="B6" i="23"/>
  <c r="C10" i="23" s="1"/>
  <c r="N22" i="22"/>
  <c r="N9" i="22" s="1"/>
  <c r="N14" i="22"/>
  <c r="K14" i="22"/>
  <c r="H14" i="22"/>
  <c r="I14" i="22" s="1"/>
  <c r="E14" i="22"/>
  <c r="N13" i="22"/>
  <c r="K13" i="22"/>
  <c r="H13" i="22"/>
  <c r="E13" i="22"/>
  <c r="N12" i="22"/>
  <c r="K12" i="22"/>
  <c r="H12" i="22"/>
  <c r="E12" i="22"/>
  <c r="N11" i="22"/>
  <c r="K11" i="22"/>
  <c r="H11" i="22"/>
  <c r="E11" i="22"/>
  <c r="B11" i="22"/>
  <c r="N10" i="22"/>
  <c r="K10" i="22"/>
  <c r="H10" i="22"/>
  <c r="E10" i="22"/>
  <c r="B10" i="22"/>
  <c r="K9" i="22"/>
  <c r="H9" i="22"/>
  <c r="E9" i="22"/>
  <c r="B9" i="22"/>
  <c r="N8" i="22"/>
  <c r="K8" i="22"/>
  <c r="H8" i="22"/>
  <c r="E8" i="22"/>
  <c r="B8" i="22"/>
  <c r="N7" i="22"/>
  <c r="K7" i="22"/>
  <c r="H7" i="22"/>
  <c r="J7" i="22" s="1"/>
  <c r="E7" i="22"/>
  <c r="B7" i="22"/>
  <c r="N6" i="22"/>
  <c r="O7" i="22" s="1"/>
  <c r="K6" i="22"/>
  <c r="M13" i="22" s="1"/>
  <c r="H6" i="22"/>
  <c r="I11" i="22" s="1"/>
  <c r="E6" i="22"/>
  <c r="F8" i="22" s="1"/>
  <c r="B6" i="22"/>
  <c r="C9" i="22" s="1"/>
  <c r="N22" i="21"/>
  <c r="N14" i="21"/>
  <c r="K14" i="21"/>
  <c r="H14" i="21"/>
  <c r="E14" i="21"/>
  <c r="N13" i="21"/>
  <c r="K13" i="21"/>
  <c r="H13" i="21"/>
  <c r="E13" i="21"/>
  <c r="N12" i="21"/>
  <c r="K12" i="21"/>
  <c r="H12" i="21"/>
  <c r="E12" i="21"/>
  <c r="N11" i="21"/>
  <c r="K11" i="21"/>
  <c r="H11" i="21"/>
  <c r="E11" i="21"/>
  <c r="B11" i="21"/>
  <c r="N10" i="21"/>
  <c r="K10" i="21"/>
  <c r="H10" i="21"/>
  <c r="E10" i="21"/>
  <c r="B10" i="21"/>
  <c r="N9" i="21"/>
  <c r="K9" i="21"/>
  <c r="H9" i="21"/>
  <c r="E9" i="21"/>
  <c r="B9" i="21"/>
  <c r="N8" i="21"/>
  <c r="K8" i="21"/>
  <c r="H8" i="21"/>
  <c r="E8" i="21"/>
  <c r="B8" i="21"/>
  <c r="C8" i="21" s="1"/>
  <c r="N7" i="21"/>
  <c r="K7" i="21"/>
  <c r="H7" i="21"/>
  <c r="E7" i="21"/>
  <c r="B7" i="21"/>
  <c r="C7" i="21" s="1"/>
  <c r="N6" i="21"/>
  <c r="O8" i="21" s="1"/>
  <c r="K6" i="21"/>
  <c r="L14" i="21" s="1"/>
  <c r="H6" i="21"/>
  <c r="I8" i="21" s="1"/>
  <c r="E6" i="21"/>
  <c r="B6" i="21"/>
  <c r="N22" i="20"/>
  <c r="N9" i="20" s="1"/>
  <c r="N14" i="20"/>
  <c r="K14" i="20"/>
  <c r="H14" i="20"/>
  <c r="E14" i="20"/>
  <c r="N13" i="20"/>
  <c r="K13" i="20"/>
  <c r="H13" i="20"/>
  <c r="E13" i="20"/>
  <c r="N12" i="20"/>
  <c r="K12" i="20"/>
  <c r="H12" i="20"/>
  <c r="E12" i="20"/>
  <c r="N11" i="20"/>
  <c r="K11" i="20"/>
  <c r="H11" i="20"/>
  <c r="E11" i="20"/>
  <c r="B11" i="20"/>
  <c r="N10" i="20"/>
  <c r="K10" i="20"/>
  <c r="H10" i="20"/>
  <c r="E10" i="20"/>
  <c r="B10" i="20"/>
  <c r="K9" i="20"/>
  <c r="H9" i="20"/>
  <c r="E9" i="20"/>
  <c r="B9" i="20"/>
  <c r="N8" i="20"/>
  <c r="K8" i="20"/>
  <c r="H8" i="20"/>
  <c r="E8" i="20"/>
  <c r="B8" i="20"/>
  <c r="N7" i="20"/>
  <c r="K7" i="20"/>
  <c r="H7" i="20"/>
  <c r="E7" i="20"/>
  <c r="B7" i="20"/>
  <c r="N6" i="20"/>
  <c r="K6" i="20"/>
  <c r="M7" i="20" s="1"/>
  <c r="H6" i="20"/>
  <c r="E6" i="20"/>
  <c r="F10" i="20" s="1"/>
  <c r="B6" i="20"/>
  <c r="C11" i="20" s="1"/>
  <c r="N22" i="19"/>
  <c r="N9" i="19" s="1"/>
  <c r="N14" i="19"/>
  <c r="K14" i="19"/>
  <c r="H14" i="19"/>
  <c r="E14" i="19"/>
  <c r="N13" i="19"/>
  <c r="K13" i="19"/>
  <c r="H13" i="19"/>
  <c r="E13" i="19"/>
  <c r="N12" i="19"/>
  <c r="K12" i="19"/>
  <c r="H12" i="19"/>
  <c r="E12" i="19"/>
  <c r="N11" i="19"/>
  <c r="K11" i="19"/>
  <c r="H11" i="19"/>
  <c r="E11" i="19"/>
  <c r="B11" i="19"/>
  <c r="N10" i="19"/>
  <c r="K10" i="19"/>
  <c r="H10" i="19"/>
  <c r="E10" i="19"/>
  <c r="B10" i="19"/>
  <c r="K9" i="19"/>
  <c r="H9" i="19"/>
  <c r="E9" i="19"/>
  <c r="B9" i="19"/>
  <c r="N8" i="19"/>
  <c r="K8" i="19"/>
  <c r="H8" i="19"/>
  <c r="E8" i="19"/>
  <c r="B8" i="19"/>
  <c r="N7" i="19"/>
  <c r="K7" i="19"/>
  <c r="H7" i="19"/>
  <c r="E7" i="19"/>
  <c r="B7" i="19"/>
  <c r="N6" i="19"/>
  <c r="P14" i="19" s="1"/>
  <c r="K6" i="19"/>
  <c r="L12" i="19" s="1"/>
  <c r="H6" i="19"/>
  <c r="J13" i="19" s="1"/>
  <c r="E6" i="19"/>
  <c r="B6" i="19"/>
  <c r="N22" i="18"/>
  <c r="N9" i="18" s="1"/>
  <c r="N14" i="18"/>
  <c r="K14" i="18"/>
  <c r="H14" i="18"/>
  <c r="E14" i="18"/>
  <c r="N13" i="18"/>
  <c r="K13" i="18"/>
  <c r="H13" i="18"/>
  <c r="E13" i="18"/>
  <c r="N12" i="18"/>
  <c r="K12" i="18"/>
  <c r="H12" i="18"/>
  <c r="E12" i="18"/>
  <c r="N11" i="18"/>
  <c r="K11" i="18"/>
  <c r="H11" i="18"/>
  <c r="E11" i="18"/>
  <c r="B11" i="18"/>
  <c r="N10" i="18"/>
  <c r="K10" i="18"/>
  <c r="H10" i="18"/>
  <c r="E10" i="18"/>
  <c r="B10" i="18"/>
  <c r="K9" i="18"/>
  <c r="H9" i="18"/>
  <c r="E9" i="18"/>
  <c r="B9" i="18"/>
  <c r="N8" i="18"/>
  <c r="K8" i="18"/>
  <c r="H8" i="18"/>
  <c r="E8" i="18"/>
  <c r="B8" i="18"/>
  <c r="N7" i="18"/>
  <c r="K7" i="18"/>
  <c r="H7" i="18"/>
  <c r="E7" i="18"/>
  <c r="B7" i="18"/>
  <c r="N6" i="18"/>
  <c r="O9" i="18" s="1"/>
  <c r="K6" i="18"/>
  <c r="H6" i="18"/>
  <c r="I9" i="18" s="1"/>
  <c r="E6" i="18"/>
  <c r="B6" i="18"/>
  <c r="C9" i="18" s="1"/>
  <c r="N22" i="17"/>
  <c r="N14" i="17"/>
  <c r="K14" i="17"/>
  <c r="H14" i="17"/>
  <c r="E14" i="17"/>
  <c r="N13" i="17"/>
  <c r="K13" i="17"/>
  <c r="H13" i="17"/>
  <c r="E13" i="17"/>
  <c r="N12" i="17"/>
  <c r="K12" i="17"/>
  <c r="H12" i="17"/>
  <c r="E12" i="17"/>
  <c r="N11" i="17"/>
  <c r="K11" i="17"/>
  <c r="H11" i="17"/>
  <c r="E11" i="17"/>
  <c r="B11" i="17"/>
  <c r="N10" i="17"/>
  <c r="K10" i="17"/>
  <c r="H10" i="17"/>
  <c r="E10" i="17"/>
  <c r="B10" i="17"/>
  <c r="N9" i="17"/>
  <c r="K9" i="17"/>
  <c r="H9" i="17"/>
  <c r="E9" i="17"/>
  <c r="B9" i="17"/>
  <c r="N8" i="17"/>
  <c r="K8" i="17"/>
  <c r="H8" i="17"/>
  <c r="E8" i="17"/>
  <c r="B8" i="17"/>
  <c r="N7" i="17"/>
  <c r="K7" i="17"/>
  <c r="H7" i="17"/>
  <c r="E7" i="17"/>
  <c r="B7" i="17"/>
  <c r="N6" i="17"/>
  <c r="K6" i="17"/>
  <c r="L14" i="17" s="1"/>
  <c r="H6" i="17"/>
  <c r="E6" i="17"/>
  <c r="F14" i="17" s="1"/>
  <c r="B6" i="17"/>
  <c r="N22" i="16"/>
  <c r="N9" i="16" s="1"/>
  <c r="N14" i="16"/>
  <c r="K14" i="16"/>
  <c r="H14" i="16"/>
  <c r="E14" i="16"/>
  <c r="N13" i="16"/>
  <c r="K13" i="16"/>
  <c r="H13" i="16"/>
  <c r="E13" i="16"/>
  <c r="N12" i="16"/>
  <c r="K12" i="16"/>
  <c r="H12" i="16"/>
  <c r="E12" i="16"/>
  <c r="N11" i="16"/>
  <c r="K11" i="16"/>
  <c r="H11" i="16"/>
  <c r="E11" i="16"/>
  <c r="B11" i="16"/>
  <c r="N10" i="16"/>
  <c r="K10" i="16"/>
  <c r="H10" i="16"/>
  <c r="E10" i="16"/>
  <c r="B10" i="16"/>
  <c r="K9" i="16"/>
  <c r="H9" i="16"/>
  <c r="E9" i="16"/>
  <c r="B9" i="16"/>
  <c r="N8" i="16"/>
  <c r="K8" i="16"/>
  <c r="H8" i="16"/>
  <c r="E8" i="16"/>
  <c r="B8" i="16"/>
  <c r="N7" i="16"/>
  <c r="K7" i="16"/>
  <c r="H7" i="16"/>
  <c r="E7" i="16"/>
  <c r="B7" i="16"/>
  <c r="N6" i="16"/>
  <c r="K6" i="16"/>
  <c r="L8" i="16" s="1"/>
  <c r="H6" i="16"/>
  <c r="I14" i="16" s="1"/>
  <c r="E6" i="16"/>
  <c r="F10" i="16" s="1"/>
  <c r="B6" i="16"/>
  <c r="C11" i="16" s="1"/>
  <c r="N22" i="15"/>
  <c r="N9" i="15" s="1"/>
  <c r="N14" i="15"/>
  <c r="K14" i="15"/>
  <c r="H14" i="15"/>
  <c r="E14" i="15"/>
  <c r="N13" i="15"/>
  <c r="K13" i="15"/>
  <c r="H13" i="15"/>
  <c r="E13" i="15"/>
  <c r="N12" i="15"/>
  <c r="K12" i="15"/>
  <c r="H12" i="15"/>
  <c r="E12" i="15"/>
  <c r="N11" i="15"/>
  <c r="K11" i="15"/>
  <c r="H11" i="15"/>
  <c r="E11" i="15"/>
  <c r="B11" i="15"/>
  <c r="N10" i="15"/>
  <c r="K10" i="15"/>
  <c r="H10" i="15"/>
  <c r="E10" i="15"/>
  <c r="B10" i="15"/>
  <c r="K9" i="15"/>
  <c r="H9" i="15"/>
  <c r="E9" i="15"/>
  <c r="B9" i="15"/>
  <c r="N8" i="15"/>
  <c r="K8" i="15"/>
  <c r="H8" i="15"/>
  <c r="E8" i="15"/>
  <c r="B8" i="15"/>
  <c r="N7" i="15"/>
  <c r="K7" i="15"/>
  <c r="H7" i="15"/>
  <c r="E7" i="15"/>
  <c r="B7" i="15"/>
  <c r="C7" i="15" s="1"/>
  <c r="N6" i="15"/>
  <c r="K6" i="15"/>
  <c r="H6" i="15"/>
  <c r="E6" i="15"/>
  <c r="B6" i="15"/>
  <c r="N22" i="14"/>
  <c r="N9" i="14" s="1"/>
  <c r="N14" i="14"/>
  <c r="K14" i="14"/>
  <c r="H14" i="14"/>
  <c r="E14" i="14"/>
  <c r="N13" i="14"/>
  <c r="K13" i="14"/>
  <c r="H13" i="14"/>
  <c r="E13" i="14"/>
  <c r="N12" i="14"/>
  <c r="K12" i="14"/>
  <c r="H12" i="14"/>
  <c r="E12" i="14"/>
  <c r="N11" i="14"/>
  <c r="K11" i="14"/>
  <c r="H11" i="14"/>
  <c r="E11" i="14"/>
  <c r="B11" i="14"/>
  <c r="N10" i="14"/>
  <c r="K10" i="14"/>
  <c r="H10" i="14"/>
  <c r="E10" i="14"/>
  <c r="B10" i="14"/>
  <c r="K9" i="14"/>
  <c r="H9" i="14"/>
  <c r="E9" i="14"/>
  <c r="B9" i="14"/>
  <c r="N8" i="14"/>
  <c r="K8" i="14"/>
  <c r="H8" i="14"/>
  <c r="F8" i="14"/>
  <c r="E8" i="14"/>
  <c r="B8" i="14"/>
  <c r="N7" i="14"/>
  <c r="K7" i="14"/>
  <c r="H7" i="14"/>
  <c r="E7" i="14"/>
  <c r="F7" i="14" s="1"/>
  <c r="B7" i="14"/>
  <c r="N6" i="14"/>
  <c r="O7" i="14" s="1"/>
  <c r="K6" i="14"/>
  <c r="H6" i="14"/>
  <c r="E6" i="14"/>
  <c r="B6" i="14"/>
  <c r="C9" i="14" s="1"/>
  <c r="N22" i="13"/>
  <c r="N14" i="13"/>
  <c r="K14" i="13"/>
  <c r="H14" i="13"/>
  <c r="E14" i="13"/>
  <c r="N13" i="13"/>
  <c r="K13" i="13"/>
  <c r="H13" i="13"/>
  <c r="E13" i="13"/>
  <c r="N12" i="13"/>
  <c r="K12" i="13"/>
  <c r="H12" i="13"/>
  <c r="E12" i="13"/>
  <c r="N11" i="13"/>
  <c r="K11" i="13"/>
  <c r="H11" i="13"/>
  <c r="E11" i="13"/>
  <c r="B11" i="13"/>
  <c r="N10" i="13"/>
  <c r="K10" i="13"/>
  <c r="H10" i="13"/>
  <c r="E10" i="13"/>
  <c r="B10" i="13"/>
  <c r="N9" i="13"/>
  <c r="K9" i="13"/>
  <c r="H9" i="13"/>
  <c r="E9" i="13"/>
  <c r="B9" i="13"/>
  <c r="N8" i="13"/>
  <c r="O8" i="13" s="1"/>
  <c r="K8" i="13"/>
  <c r="H8" i="13"/>
  <c r="E8" i="13"/>
  <c r="B8" i="13"/>
  <c r="N7" i="13"/>
  <c r="K7" i="13"/>
  <c r="H7" i="13"/>
  <c r="E7" i="13"/>
  <c r="B7" i="13"/>
  <c r="N6" i="13"/>
  <c r="K6" i="13"/>
  <c r="L14" i="13" s="1"/>
  <c r="H6" i="13"/>
  <c r="E6" i="13"/>
  <c r="F14" i="13" s="1"/>
  <c r="B6" i="13"/>
  <c r="N22" i="12"/>
  <c r="N9" i="12" s="1"/>
  <c r="N14" i="12"/>
  <c r="K14" i="12"/>
  <c r="H14" i="12"/>
  <c r="E14" i="12"/>
  <c r="N13" i="12"/>
  <c r="K13" i="12"/>
  <c r="H13" i="12"/>
  <c r="E13" i="12"/>
  <c r="N12" i="12"/>
  <c r="K12" i="12"/>
  <c r="H12" i="12"/>
  <c r="E12" i="12"/>
  <c r="N11" i="12"/>
  <c r="K11" i="12"/>
  <c r="H11" i="12"/>
  <c r="E11" i="12"/>
  <c r="B11" i="12"/>
  <c r="N10" i="12"/>
  <c r="K10" i="12"/>
  <c r="H10" i="12"/>
  <c r="E10" i="12"/>
  <c r="B10" i="12"/>
  <c r="K9" i="12"/>
  <c r="H9" i="12"/>
  <c r="E9" i="12"/>
  <c r="B9" i="12"/>
  <c r="N8" i="12"/>
  <c r="K8" i="12"/>
  <c r="H8" i="12"/>
  <c r="E8" i="12"/>
  <c r="B8" i="12"/>
  <c r="N7" i="12"/>
  <c r="K7" i="12"/>
  <c r="H7" i="12"/>
  <c r="E7" i="12"/>
  <c r="B7" i="12"/>
  <c r="N6" i="12"/>
  <c r="K6" i="12"/>
  <c r="H6" i="12"/>
  <c r="I14" i="12" s="1"/>
  <c r="E6" i="12"/>
  <c r="F10" i="12" s="1"/>
  <c r="B6" i="12"/>
  <c r="C11" i="12" s="1"/>
  <c r="N22" i="11"/>
  <c r="N9" i="11" s="1"/>
  <c r="N14" i="11"/>
  <c r="K14" i="11"/>
  <c r="H14" i="11"/>
  <c r="E14" i="11"/>
  <c r="N13" i="11"/>
  <c r="K13" i="11"/>
  <c r="H13" i="11"/>
  <c r="E13" i="11"/>
  <c r="N12" i="11"/>
  <c r="K12" i="11"/>
  <c r="H12" i="11"/>
  <c r="E12" i="11"/>
  <c r="N11" i="11"/>
  <c r="K11" i="11"/>
  <c r="H11" i="11"/>
  <c r="E11" i="11"/>
  <c r="B11" i="11"/>
  <c r="N10" i="11"/>
  <c r="K10" i="11"/>
  <c r="H10" i="11"/>
  <c r="E10" i="11"/>
  <c r="B10" i="11"/>
  <c r="K9" i="11"/>
  <c r="H9" i="11"/>
  <c r="E9" i="11"/>
  <c r="B9" i="11"/>
  <c r="N8" i="11"/>
  <c r="K8" i="11"/>
  <c r="H8" i="11"/>
  <c r="E8" i="11"/>
  <c r="B8" i="11"/>
  <c r="N7" i="11"/>
  <c r="K7" i="11"/>
  <c r="H7" i="11"/>
  <c r="E7" i="11"/>
  <c r="B7" i="11"/>
  <c r="C7" i="11" s="1"/>
  <c r="N6" i="11"/>
  <c r="K6" i="11"/>
  <c r="H6" i="11"/>
  <c r="E6" i="11"/>
  <c r="B6" i="11"/>
  <c r="N14" i="10"/>
  <c r="K14" i="10"/>
  <c r="H14" i="10"/>
  <c r="E14" i="10"/>
  <c r="N13" i="10"/>
  <c r="K13" i="10"/>
  <c r="H13" i="10"/>
  <c r="E13" i="10"/>
  <c r="N12" i="10"/>
  <c r="K12" i="10"/>
  <c r="H12" i="10"/>
  <c r="E12" i="10"/>
  <c r="N11" i="10"/>
  <c r="K11" i="10"/>
  <c r="H11" i="10"/>
  <c r="E11" i="10"/>
  <c r="B11" i="10"/>
  <c r="N10" i="10"/>
  <c r="K10" i="10"/>
  <c r="H10" i="10"/>
  <c r="E10" i="10"/>
  <c r="B10" i="10"/>
  <c r="N9" i="10"/>
  <c r="K9" i="10"/>
  <c r="H9" i="10"/>
  <c r="E9" i="10"/>
  <c r="B9" i="10"/>
  <c r="N8" i="10"/>
  <c r="K8" i="10"/>
  <c r="H8" i="10"/>
  <c r="E8" i="10"/>
  <c r="B8" i="10"/>
  <c r="N7" i="10"/>
  <c r="K7" i="10"/>
  <c r="H7" i="10"/>
  <c r="E7" i="10"/>
  <c r="B7" i="10"/>
  <c r="N6" i="10"/>
  <c r="O8" i="10" s="1"/>
  <c r="K6" i="10"/>
  <c r="L14" i="10" s="1"/>
  <c r="H6" i="10"/>
  <c r="E6" i="10"/>
  <c r="F14" i="10" s="1"/>
  <c r="B6" i="10"/>
  <c r="N14" i="9"/>
  <c r="K14" i="9"/>
  <c r="H14" i="9"/>
  <c r="E14" i="9"/>
  <c r="N13" i="9"/>
  <c r="K13" i="9"/>
  <c r="H13" i="9"/>
  <c r="E13" i="9"/>
  <c r="N12" i="9"/>
  <c r="K12" i="9"/>
  <c r="H12" i="9"/>
  <c r="E12" i="9"/>
  <c r="N11" i="9"/>
  <c r="K11" i="9"/>
  <c r="H11" i="9"/>
  <c r="E11" i="9"/>
  <c r="B11" i="9"/>
  <c r="N10" i="9"/>
  <c r="K10" i="9"/>
  <c r="H10" i="9"/>
  <c r="E10" i="9"/>
  <c r="B10" i="9"/>
  <c r="N9" i="9"/>
  <c r="K9" i="9"/>
  <c r="H9" i="9"/>
  <c r="E9" i="9"/>
  <c r="B9" i="9"/>
  <c r="N8" i="9"/>
  <c r="K8" i="9"/>
  <c r="H8" i="9"/>
  <c r="I8" i="9" s="1"/>
  <c r="E8" i="9"/>
  <c r="B8" i="9"/>
  <c r="N7" i="9"/>
  <c r="K7" i="9"/>
  <c r="H7" i="9"/>
  <c r="E7" i="9"/>
  <c r="F7" i="9" s="1"/>
  <c r="B7" i="9"/>
  <c r="N6" i="9"/>
  <c r="P14" i="9" s="1"/>
  <c r="K6" i="9"/>
  <c r="L12" i="9" s="1"/>
  <c r="H6" i="9"/>
  <c r="J11" i="9" s="1"/>
  <c r="E6" i="9"/>
  <c r="F14" i="9" s="1"/>
  <c r="B6" i="9"/>
  <c r="N14" i="8"/>
  <c r="K14" i="8"/>
  <c r="H14" i="8"/>
  <c r="E14" i="8"/>
  <c r="N13" i="8"/>
  <c r="K13" i="8"/>
  <c r="H13" i="8"/>
  <c r="E13" i="8"/>
  <c r="N12" i="8"/>
  <c r="K12" i="8"/>
  <c r="H12" i="8"/>
  <c r="E12" i="8"/>
  <c r="N11" i="8"/>
  <c r="K11" i="8"/>
  <c r="H11" i="8"/>
  <c r="E11" i="8"/>
  <c r="B11" i="8"/>
  <c r="N10" i="8"/>
  <c r="K10" i="8"/>
  <c r="H10" i="8"/>
  <c r="E10" i="8"/>
  <c r="B10" i="8"/>
  <c r="N9" i="8"/>
  <c r="K9" i="8"/>
  <c r="H9" i="8"/>
  <c r="E9" i="8"/>
  <c r="B9" i="8"/>
  <c r="N8" i="8"/>
  <c r="K8" i="8"/>
  <c r="H8" i="8"/>
  <c r="E8" i="8"/>
  <c r="B8" i="8"/>
  <c r="N7" i="8"/>
  <c r="K7" i="8"/>
  <c r="H7" i="8"/>
  <c r="E7" i="8"/>
  <c r="B7" i="8"/>
  <c r="N6" i="8"/>
  <c r="K6" i="8"/>
  <c r="L14" i="8" s="1"/>
  <c r="H6" i="8"/>
  <c r="I8" i="8" s="1"/>
  <c r="E6" i="8"/>
  <c r="B6" i="8"/>
  <c r="K23" i="7"/>
  <c r="J23" i="7"/>
  <c r="I23" i="7"/>
  <c r="E23" i="7"/>
  <c r="K22" i="7"/>
  <c r="K21" i="7"/>
  <c r="K20" i="7"/>
  <c r="K17" i="7"/>
  <c r="K16" i="7"/>
  <c r="K15" i="7"/>
  <c r="P14" i="7"/>
  <c r="N14" i="7" s="1"/>
  <c r="F14" i="7" s="1"/>
  <c r="N13" i="7"/>
  <c r="G13" i="7"/>
  <c r="I13" i="7" s="1"/>
  <c r="F13" i="7"/>
  <c r="D13" i="7"/>
  <c r="E13" i="7" s="1"/>
  <c r="N12" i="7"/>
  <c r="L13" i="7" s="1"/>
  <c r="F12" i="7"/>
  <c r="D12" i="7"/>
  <c r="E12" i="7" s="1"/>
  <c r="P11" i="7"/>
  <c r="N11" i="7" s="1"/>
  <c r="P7" i="7"/>
  <c r="N7" i="7" s="1"/>
  <c r="G7" i="7" s="1"/>
  <c r="N6" i="7"/>
  <c r="L6" i="7" s="1"/>
  <c r="K23" i="6"/>
  <c r="J23" i="6"/>
  <c r="I23" i="6"/>
  <c r="E23" i="6"/>
  <c r="K22" i="6"/>
  <c r="K21" i="6"/>
  <c r="K20" i="6"/>
  <c r="K17" i="6"/>
  <c r="K16" i="6"/>
  <c r="K15" i="6"/>
  <c r="P14" i="6"/>
  <c r="N14" i="6" s="1"/>
  <c r="F14" i="6" s="1"/>
  <c r="N13" i="6"/>
  <c r="D13" i="6" s="1"/>
  <c r="E13" i="6" s="1"/>
  <c r="G13" i="6"/>
  <c r="I13" i="6" s="1"/>
  <c r="F13" i="6"/>
  <c r="N12" i="6"/>
  <c r="L13" i="6" s="1"/>
  <c r="L12" i="6"/>
  <c r="P11" i="6"/>
  <c r="N11" i="6" s="1"/>
  <c r="P7" i="6"/>
  <c r="N7" i="6" s="1"/>
  <c r="G7" i="6" s="1"/>
  <c r="N6" i="6"/>
  <c r="K23" i="5"/>
  <c r="J23" i="5"/>
  <c r="I23" i="5"/>
  <c r="E23" i="5"/>
  <c r="K22" i="5"/>
  <c r="K21" i="5"/>
  <c r="K20" i="5"/>
  <c r="K17" i="5"/>
  <c r="K16" i="5"/>
  <c r="K15" i="5"/>
  <c r="P14" i="5"/>
  <c r="N14" i="5" s="1"/>
  <c r="F14" i="5" s="1"/>
  <c r="N13" i="5"/>
  <c r="F13" i="5" s="1"/>
  <c r="G13" i="5"/>
  <c r="I13" i="5" s="1"/>
  <c r="N12" i="5"/>
  <c r="P11" i="5"/>
  <c r="N11" i="5"/>
  <c r="P7" i="5"/>
  <c r="N7" i="5" s="1"/>
  <c r="G7" i="5" s="1"/>
  <c r="N6" i="5"/>
  <c r="F6" i="5" s="1"/>
  <c r="L6" i="5"/>
  <c r="D6" i="5"/>
  <c r="K23" i="4"/>
  <c r="J23" i="4"/>
  <c r="I23" i="4"/>
  <c r="E23" i="4"/>
  <c r="K22" i="4"/>
  <c r="K21" i="4"/>
  <c r="K20" i="4"/>
  <c r="K17" i="4"/>
  <c r="K16" i="4"/>
  <c r="K15" i="4"/>
  <c r="P14" i="4"/>
  <c r="N14" i="4" s="1"/>
  <c r="F14" i="4" s="1"/>
  <c r="N13" i="4"/>
  <c r="G13" i="4" s="1"/>
  <c r="I13" i="4" s="1"/>
  <c r="N12" i="4"/>
  <c r="L13" i="4" s="1"/>
  <c r="L12" i="4"/>
  <c r="G12" i="4"/>
  <c r="I12" i="4" s="1"/>
  <c r="F12" i="4"/>
  <c r="D12" i="4"/>
  <c r="E12" i="4" s="1"/>
  <c r="P11" i="4"/>
  <c r="N11" i="4" s="1"/>
  <c r="P7" i="4"/>
  <c r="N7" i="4" s="1"/>
  <c r="G7" i="4" s="1"/>
  <c r="N6" i="4"/>
  <c r="L6" i="4"/>
  <c r="F6" i="4"/>
  <c r="D6" i="4"/>
  <c r="K23" i="3"/>
  <c r="J23" i="3"/>
  <c r="I23" i="3"/>
  <c r="E23" i="3"/>
  <c r="K22" i="3"/>
  <c r="K21" i="3"/>
  <c r="K20" i="3"/>
  <c r="K17" i="3"/>
  <c r="K16" i="3"/>
  <c r="K15" i="3"/>
  <c r="P14" i="3"/>
  <c r="N14" i="3" s="1"/>
  <c r="F14" i="3" s="1"/>
  <c r="N13" i="3"/>
  <c r="G13" i="3"/>
  <c r="I13" i="3" s="1"/>
  <c r="F13" i="3"/>
  <c r="D13" i="3"/>
  <c r="E13" i="3" s="1"/>
  <c r="N12" i="3"/>
  <c r="L13" i="3" s="1"/>
  <c r="L12" i="3"/>
  <c r="G12" i="3"/>
  <c r="I12" i="3" s="1"/>
  <c r="F12" i="3"/>
  <c r="D12" i="3"/>
  <c r="E12" i="3" s="1"/>
  <c r="P11" i="3"/>
  <c r="N11" i="3" s="1"/>
  <c r="P7" i="3"/>
  <c r="N7" i="3" s="1"/>
  <c r="G7" i="3" s="1"/>
  <c r="N6" i="3"/>
  <c r="L6" i="3" s="1"/>
  <c r="F6" i="3"/>
  <c r="D6" i="3"/>
  <c r="K23" i="2"/>
  <c r="J23" i="2"/>
  <c r="I23" i="2"/>
  <c r="E23" i="2"/>
  <c r="K22" i="2"/>
  <c r="K21" i="2"/>
  <c r="K20" i="2"/>
  <c r="K17" i="2"/>
  <c r="K16" i="2"/>
  <c r="K15" i="2"/>
  <c r="P14" i="2"/>
  <c r="N14" i="2" s="1"/>
  <c r="F14" i="2" s="1"/>
  <c r="N13" i="2"/>
  <c r="G13" i="2"/>
  <c r="I13" i="2" s="1"/>
  <c r="F13" i="2"/>
  <c r="D13" i="2"/>
  <c r="E13" i="2" s="1"/>
  <c r="N12" i="2"/>
  <c r="L13" i="2" s="1"/>
  <c r="M13" i="2" s="1"/>
  <c r="P11" i="2"/>
  <c r="N11" i="2" s="1"/>
  <c r="G11" i="2" s="1"/>
  <c r="P7" i="2"/>
  <c r="N7" i="2" s="1"/>
  <c r="G7" i="2" s="1"/>
  <c r="N6" i="2"/>
  <c r="K23" i="1"/>
  <c r="J23" i="1"/>
  <c r="I23" i="1"/>
  <c r="E23" i="1"/>
  <c r="K22" i="1"/>
  <c r="K21" i="1"/>
  <c r="K20" i="1"/>
  <c r="K17" i="1"/>
  <c r="K16" i="1"/>
  <c r="K15" i="1"/>
  <c r="P14" i="1"/>
  <c r="N14" i="1" s="1"/>
  <c r="F14" i="1" s="1"/>
  <c r="N13" i="1"/>
  <c r="G13" i="1" s="1"/>
  <c r="I13" i="1" s="1"/>
  <c r="N12" i="1"/>
  <c r="L13" i="1" s="1"/>
  <c r="G12" i="1"/>
  <c r="I12" i="1" s="1"/>
  <c r="P11" i="1"/>
  <c r="N11" i="1" s="1"/>
  <c r="P7" i="1"/>
  <c r="N7" i="1" s="1"/>
  <c r="G7" i="1" s="1"/>
  <c r="N6" i="1"/>
  <c r="L6" i="1" s="1"/>
  <c r="C7" i="10" l="1"/>
  <c r="I9" i="11"/>
  <c r="L13" i="11"/>
  <c r="I10" i="13"/>
  <c r="C11" i="18"/>
  <c r="O13" i="18"/>
  <c r="L9" i="19"/>
  <c r="P10" i="22"/>
  <c r="I10" i="23"/>
  <c r="F14" i="23"/>
  <c r="P10" i="27"/>
  <c r="C7" i="28"/>
  <c r="L11" i="28"/>
  <c r="P7" i="31"/>
  <c r="C11" i="33"/>
  <c r="I12" i="33"/>
  <c r="D12" i="6"/>
  <c r="E12" i="6" s="1"/>
  <c r="G12" i="7"/>
  <c r="I12" i="7" s="1"/>
  <c r="L9" i="9"/>
  <c r="O10" i="9"/>
  <c r="F12" i="9"/>
  <c r="I11" i="17"/>
  <c r="O12" i="17"/>
  <c r="I14" i="17"/>
  <c r="L7" i="18"/>
  <c r="C11" i="22"/>
  <c r="G8" i="23"/>
  <c r="M10" i="23"/>
  <c r="I11" i="26"/>
  <c r="D10" i="33"/>
  <c r="O13" i="33"/>
  <c r="F7" i="34"/>
  <c r="L10" i="35"/>
  <c r="F12" i="6"/>
  <c r="L12" i="7"/>
  <c r="M12" i="7" s="1"/>
  <c r="L8" i="12"/>
  <c r="I7" i="13"/>
  <c r="D8" i="17"/>
  <c r="I10" i="17"/>
  <c r="D10" i="21"/>
  <c r="M8" i="22"/>
  <c r="D10" i="22"/>
  <c r="P11" i="23"/>
  <c r="L14" i="23"/>
  <c r="M8" i="27"/>
  <c r="D10" i="27"/>
  <c r="M8" i="28"/>
  <c r="D11" i="28"/>
  <c r="F8" i="29"/>
  <c r="D7" i="31"/>
  <c r="F12" i="34"/>
  <c r="L13" i="34"/>
  <c r="C8" i="43"/>
  <c r="F10" i="47"/>
  <c r="G12" i="6"/>
  <c r="I12" i="6" s="1"/>
  <c r="L7" i="11"/>
  <c r="C11" i="13"/>
  <c r="I12" i="13"/>
  <c r="P10" i="14"/>
  <c r="F12" i="14"/>
  <c r="L13" i="14"/>
  <c r="O9" i="14"/>
  <c r="L13" i="15"/>
  <c r="O12" i="22"/>
  <c r="P14" i="23"/>
  <c r="I13" i="26"/>
  <c r="O12" i="27"/>
  <c r="G7" i="30"/>
  <c r="D11" i="31"/>
  <c r="J12" i="31"/>
  <c r="P13" i="31"/>
  <c r="P9" i="31"/>
  <c r="M11" i="32"/>
  <c r="G13" i="32"/>
  <c r="M14" i="32"/>
  <c r="J10" i="33"/>
  <c r="I14" i="33"/>
  <c r="G12" i="40"/>
  <c r="G8" i="44"/>
  <c r="M10" i="44"/>
  <c r="P7" i="9"/>
  <c r="D9" i="9"/>
  <c r="G10" i="9"/>
  <c r="J14" i="9"/>
  <c r="D10" i="13"/>
  <c r="F8" i="18"/>
  <c r="L7" i="23"/>
  <c r="P10" i="26"/>
  <c r="F11" i="34"/>
  <c r="I11" i="37"/>
  <c r="O12" i="37"/>
  <c r="I14" i="37"/>
  <c r="L8" i="40"/>
  <c r="J8" i="43"/>
  <c r="F9" i="9"/>
  <c r="D8" i="10"/>
  <c r="C8" i="13"/>
  <c r="I13" i="22"/>
  <c r="L12" i="23"/>
  <c r="O11" i="27"/>
  <c r="I13" i="27"/>
  <c r="O14" i="27"/>
  <c r="F9" i="28"/>
  <c r="I10" i="28"/>
  <c r="F8" i="33"/>
  <c r="F12" i="33"/>
  <c r="G11" i="40"/>
  <c r="M8" i="44"/>
  <c r="J9" i="23"/>
  <c r="O8" i="30"/>
  <c r="O10" i="30"/>
  <c r="G13" i="40"/>
  <c r="L6" i="6"/>
  <c r="F6" i="6"/>
  <c r="D6" i="6"/>
  <c r="J8" i="23"/>
  <c r="G14" i="27"/>
  <c r="G11" i="4"/>
  <c r="B11" i="4"/>
  <c r="J11" i="4" s="1"/>
  <c r="L13" i="5"/>
  <c r="L12" i="5"/>
  <c r="G12" i="5"/>
  <c r="I12" i="5" s="1"/>
  <c r="F12" i="5"/>
  <c r="D12" i="5"/>
  <c r="E12" i="5" s="1"/>
  <c r="D13" i="1"/>
  <c r="E13" i="1" s="1"/>
  <c r="G11" i="5"/>
  <c r="J11" i="5" s="1"/>
  <c r="B11" i="5"/>
  <c r="I10" i="10"/>
  <c r="J12" i="23"/>
  <c r="L8" i="31"/>
  <c r="F6" i="2"/>
  <c r="L6" i="2"/>
  <c r="D6" i="2"/>
  <c r="G11" i="6"/>
  <c r="F11" i="6"/>
  <c r="B11" i="6"/>
  <c r="C11" i="26"/>
  <c r="D8" i="28"/>
  <c r="C8" i="28"/>
  <c r="O7" i="8"/>
  <c r="O12" i="8"/>
  <c r="L7" i="9"/>
  <c r="F11" i="9"/>
  <c r="O7" i="10"/>
  <c r="F7" i="11"/>
  <c r="L9" i="11"/>
  <c r="C11" i="11"/>
  <c r="C7" i="13"/>
  <c r="L9" i="14"/>
  <c r="C11" i="14"/>
  <c r="I12" i="14"/>
  <c r="O13" i="14"/>
  <c r="F7" i="15"/>
  <c r="L9" i="15"/>
  <c r="F7" i="16"/>
  <c r="C7" i="17"/>
  <c r="P7" i="18"/>
  <c r="D10" i="18"/>
  <c r="F11" i="18"/>
  <c r="M8" i="19"/>
  <c r="L7" i="22"/>
  <c r="I12" i="22"/>
  <c r="M8" i="23"/>
  <c r="J11" i="23"/>
  <c r="L13" i="23"/>
  <c r="M7" i="25"/>
  <c r="G11" i="25"/>
  <c r="M12" i="25"/>
  <c r="G14" i="25"/>
  <c r="J7" i="26"/>
  <c r="M8" i="26"/>
  <c r="D10" i="26"/>
  <c r="I12" i="26"/>
  <c r="C11" i="27"/>
  <c r="F7" i="28"/>
  <c r="C9" i="28"/>
  <c r="D9" i="31"/>
  <c r="G10" i="33"/>
  <c r="I13" i="33"/>
  <c r="L7" i="34"/>
  <c r="M8" i="34"/>
  <c r="L12" i="34"/>
  <c r="J11" i="36"/>
  <c r="J14" i="36"/>
  <c r="J8" i="37"/>
  <c r="M8" i="37"/>
  <c r="P7" i="41"/>
  <c r="J11" i="41"/>
  <c r="P12" i="41"/>
  <c r="J14" i="41"/>
  <c r="F7" i="44"/>
  <c r="J8" i="44"/>
  <c r="L9" i="44"/>
  <c r="F12" i="44"/>
  <c r="L13" i="44"/>
  <c r="I10" i="8"/>
  <c r="M8" i="9"/>
  <c r="D10" i="10"/>
  <c r="C11" i="10"/>
  <c r="I12" i="10"/>
  <c r="O13" i="10"/>
  <c r="I7" i="11"/>
  <c r="M8" i="11"/>
  <c r="L12" i="11"/>
  <c r="I11" i="13"/>
  <c r="O12" i="13"/>
  <c r="I14" i="13"/>
  <c r="I9" i="14"/>
  <c r="L7" i="14"/>
  <c r="D10" i="14"/>
  <c r="F11" i="14"/>
  <c r="L12" i="14"/>
  <c r="I7" i="15"/>
  <c r="M8" i="15"/>
  <c r="L12" i="15"/>
  <c r="J8" i="17"/>
  <c r="C8" i="18"/>
  <c r="G10" i="18"/>
  <c r="I11" i="18"/>
  <c r="O12" i="18"/>
  <c r="I14" i="18"/>
  <c r="L7" i="19"/>
  <c r="P8" i="19"/>
  <c r="J10" i="22"/>
  <c r="O14" i="22"/>
  <c r="O7" i="23"/>
  <c r="P8" i="23"/>
  <c r="L9" i="23"/>
  <c r="L11" i="23"/>
  <c r="P13" i="23"/>
  <c r="O14" i="26"/>
  <c r="D9" i="27"/>
  <c r="G10" i="27"/>
  <c r="F11" i="27"/>
  <c r="I14" i="27"/>
  <c r="F14" i="28"/>
  <c r="I7" i="28"/>
  <c r="G8" i="28"/>
  <c r="G10" i="28"/>
  <c r="F12" i="28"/>
  <c r="F13" i="28"/>
  <c r="G12" i="30"/>
  <c r="M13" i="30"/>
  <c r="F11" i="33"/>
  <c r="O14" i="33"/>
  <c r="O7" i="34"/>
  <c r="P8" i="34"/>
  <c r="M10" i="34"/>
  <c r="L11" i="34"/>
  <c r="I10" i="36"/>
  <c r="O11" i="37"/>
  <c r="I13" i="37"/>
  <c r="F9" i="38"/>
  <c r="O9" i="44"/>
  <c r="G9" i="46"/>
  <c r="P12" i="47"/>
  <c r="C7" i="9"/>
  <c r="M10" i="9"/>
  <c r="L13" i="9"/>
  <c r="C8" i="10"/>
  <c r="P8" i="11"/>
  <c r="J8" i="13"/>
  <c r="G10" i="14"/>
  <c r="O12" i="14"/>
  <c r="L7" i="15"/>
  <c r="P8" i="15"/>
  <c r="I7" i="17"/>
  <c r="F9" i="18"/>
  <c r="J10" i="18"/>
  <c r="M10" i="22"/>
  <c r="O13" i="22"/>
  <c r="O8" i="23"/>
  <c r="O10" i="23"/>
  <c r="P12" i="23"/>
  <c r="M10" i="26"/>
  <c r="O13" i="26"/>
  <c r="O9" i="26"/>
  <c r="J10" i="27"/>
  <c r="G11" i="27"/>
  <c r="I12" i="27"/>
  <c r="J7" i="28"/>
  <c r="J8" i="28"/>
  <c r="F11" i="28"/>
  <c r="L10" i="29"/>
  <c r="M7" i="29"/>
  <c r="I11" i="33"/>
  <c r="C7" i="34"/>
  <c r="P7" i="34"/>
  <c r="C9" i="34"/>
  <c r="O9" i="34"/>
  <c r="P10" i="34"/>
  <c r="F14" i="34"/>
  <c r="M9" i="35"/>
  <c r="J13" i="36"/>
  <c r="P10" i="37"/>
  <c r="D7" i="41"/>
  <c r="J9" i="41"/>
  <c r="G9" i="42"/>
  <c r="L7" i="44"/>
  <c r="F11" i="44"/>
  <c r="L12" i="44"/>
  <c r="F14" i="44"/>
  <c r="I14" i="46"/>
  <c r="C11" i="47"/>
  <c r="J9" i="47"/>
  <c r="C10" i="8"/>
  <c r="D11" i="9"/>
  <c r="D8" i="9"/>
  <c r="I11" i="10"/>
  <c r="O12" i="10"/>
  <c r="I14" i="10"/>
  <c r="J10" i="11"/>
  <c r="L11" i="11"/>
  <c r="L14" i="11"/>
  <c r="O11" i="13"/>
  <c r="I13" i="13"/>
  <c r="C8" i="14"/>
  <c r="L11" i="15"/>
  <c r="L14" i="15"/>
  <c r="D10" i="17"/>
  <c r="F7" i="18"/>
  <c r="O11" i="18"/>
  <c r="I13" i="18"/>
  <c r="O14" i="18"/>
  <c r="D8" i="19"/>
  <c r="J9" i="22"/>
  <c r="F7" i="23"/>
  <c r="F13" i="23"/>
  <c r="L11" i="26"/>
  <c r="O12" i="26"/>
  <c r="J10" i="26"/>
  <c r="D7" i="27"/>
  <c r="M10" i="27"/>
  <c r="I11" i="27"/>
  <c r="L7" i="28"/>
  <c r="I9" i="28"/>
  <c r="J12" i="28"/>
  <c r="L13" i="28"/>
  <c r="G11" i="30"/>
  <c r="M12" i="30"/>
  <c r="J7" i="31"/>
  <c r="P11" i="31"/>
  <c r="J13" i="31"/>
  <c r="P14" i="31"/>
  <c r="M7" i="32"/>
  <c r="G11" i="32"/>
  <c r="M12" i="32"/>
  <c r="O12" i="33"/>
  <c r="D8" i="34"/>
  <c r="D9" i="34"/>
  <c r="O10" i="34"/>
  <c r="F13" i="34"/>
  <c r="C11" i="37"/>
  <c r="I12" i="37"/>
  <c r="O13" i="37"/>
  <c r="O7" i="44"/>
  <c r="C9" i="44"/>
  <c r="G10" i="44"/>
  <c r="M7" i="46"/>
  <c r="J7" i="47"/>
  <c r="M13" i="3"/>
  <c r="F14" i="8"/>
  <c r="G8" i="9"/>
  <c r="P12" i="9"/>
  <c r="I7" i="10"/>
  <c r="D8" i="11"/>
  <c r="M10" i="11"/>
  <c r="O14" i="12"/>
  <c r="L11" i="12"/>
  <c r="F13" i="12"/>
  <c r="L14" i="12"/>
  <c r="O7" i="13"/>
  <c r="P10" i="13"/>
  <c r="F9" i="14"/>
  <c r="M10" i="14"/>
  <c r="O11" i="14"/>
  <c r="O14" i="14"/>
  <c r="D8" i="15"/>
  <c r="M10" i="15"/>
  <c r="O14" i="16"/>
  <c r="L11" i="16"/>
  <c r="F13" i="16"/>
  <c r="L14" i="16"/>
  <c r="O7" i="17"/>
  <c r="L9" i="18"/>
  <c r="P10" i="18"/>
  <c r="C7" i="19"/>
  <c r="M10" i="19"/>
  <c r="O14" i="20"/>
  <c r="O7" i="21"/>
  <c r="I8" i="22"/>
  <c r="L9" i="22"/>
  <c r="O11" i="22"/>
  <c r="I7" i="23"/>
  <c r="F9" i="23"/>
  <c r="G10" i="23"/>
  <c r="F12" i="23"/>
  <c r="J14" i="23"/>
  <c r="J9" i="26"/>
  <c r="O11" i="26"/>
  <c r="L10" i="27"/>
  <c r="L11" i="27"/>
  <c r="O13" i="27"/>
  <c r="L9" i="28"/>
  <c r="M10" i="28"/>
  <c r="L12" i="28"/>
  <c r="P10" i="33"/>
  <c r="O11" i="33"/>
  <c r="G8" i="34"/>
  <c r="F9" i="34"/>
  <c r="L14" i="34"/>
  <c r="J12" i="36"/>
  <c r="D10" i="37"/>
  <c r="G7" i="38"/>
  <c r="J7" i="41"/>
  <c r="D8" i="44"/>
  <c r="F9" i="44"/>
  <c r="J10" i="44"/>
  <c r="L11" i="44"/>
  <c r="F13" i="44"/>
  <c r="L14" i="44"/>
  <c r="O14" i="45"/>
  <c r="M11" i="45"/>
  <c r="P9" i="47"/>
  <c r="G11" i="1"/>
  <c r="J11" i="1" s="1"/>
  <c r="F11" i="1"/>
  <c r="B11" i="1"/>
  <c r="G11" i="3"/>
  <c r="B11" i="3"/>
  <c r="F11" i="3"/>
  <c r="G11" i="7"/>
  <c r="I11" i="7" s="1"/>
  <c r="F11" i="7"/>
  <c r="B11" i="7"/>
  <c r="J8" i="11"/>
  <c r="I8" i="11"/>
  <c r="F13" i="37"/>
  <c r="G13" i="37"/>
  <c r="P8" i="39"/>
  <c r="O8" i="39"/>
  <c r="F13" i="46"/>
  <c r="G13" i="46"/>
  <c r="D12" i="1"/>
  <c r="E12" i="1" s="1"/>
  <c r="F13" i="1"/>
  <c r="F11" i="4"/>
  <c r="F11" i="11"/>
  <c r="F14" i="11"/>
  <c r="L9" i="12"/>
  <c r="M9" i="12"/>
  <c r="M8" i="14"/>
  <c r="L8" i="14"/>
  <c r="F11" i="15"/>
  <c r="F14" i="15"/>
  <c r="L9" i="16"/>
  <c r="M9" i="16"/>
  <c r="F11" i="19"/>
  <c r="F14" i="19"/>
  <c r="J10" i="8"/>
  <c r="J8" i="15"/>
  <c r="I8" i="15"/>
  <c r="L14" i="37"/>
  <c r="M14" i="37"/>
  <c r="P10" i="43"/>
  <c r="O10" i="43"/>
  <c r="F12" i="1"/>
  <c r="D12" i="2"/>
  <c r="E12" i="2" s="1"/>
  <c r="F11" i="5"/>
  <c r="D8" i="8"/>
  <c r="P8" i="8"/>
  <c r="O9" i="8"/>
  <c r="O11" i="8"/>
  <c r="I13" i="8"/>
  <c r="G10" i="11"/>
  <c r="I11" i="11"/>
  <c r="J11" i="11"/>
  <c r="O12" i="11"/>
  <c r="P12" i="11"/>
  <c r="I14" i="11"/>
  <c r="J14" i="11"/>
  <c r="I11" i="14"/>
  <c r="I14" i="14"/>
  <c r="G10" i="15"/>
  <c r="I11" i="15"/>
  <c r="J11" i="15"/>
  <c r="O12" i="15"/>
  <c r="P12" i="15"/>
  <c r="I14" i="15"/>
  <c r="J14" i="15"/>
  <c r="L11" i="18"/>
  <c r="M11" i="18"/>
  <c r="F13" i="18"/>
  <c r="G13" i="18"/>
  <c r="L14" i="18"/>
  <c r="M14" i="18"/>
  <c r="O7" i="19"/>
  <c r="P7" i="19"/>
  <c r="C9" i="19"/>
  <c r="D9" i="19"/>
  <c r="G10" i="19"/>
  <c r="I11" i="19"/>
  <c r="J11" i="19"/>
  <c r="I14" i="8"/>
  <c r="L11" i="37"/>
  <c r="M11" i="37"/>
  <c r="F12" i="2"/>
  <c r="D13" i="4"/>
  <c r="E13" i="4" s="1"/>
  <c r="D6" i="7"/>
  <c r="C7" i="8"/>
  <c r="C8" i="8"/>
  <c r="O8" i="8"/>
  <c r="D10" i="8"/>
  <c r="P10" i="8"/>
  <c r="O10" i="8"/>
  <c r="O7" i="11"/>
  <c r="P7" i="11"/>
  <c r="C9" i="11"/>
  <c r="D9" i="11"/>
  <c r="F13" i="11"/>
  <c r="J10" i="14"/>
  <c r="L11" i="14"/>
  <c r="M11" i="14"/>
  <c r="F13" i="14"/>
  <c r="G13" i="14"/>
  <c r="L14" i="14"/>
  <c r="M14" i="14"/>
  <c r="O7" i="15"/>
  <c r="P7" i="15"/>
  <c r="C9" i="15"/>
  <c r="D9" i="15"/>
  <c r="F13" i="15"/>
  <c r="F9" i="19"/>
  <c r="F13" i="19"/>
  <c r="G8" i="27"/>
  <c r="F8" i="27"/>
  <c r="I11" i="8"/>
  <c r="G10" i="37"/>
  <c r="F10" i="37"/>
  <c r="D6" i="1"/>
  <c r="F6" i="1"/>
  <c r="L12" i="1"/>
  <c r="B11" i="2"/>
  <c r="G12" i="2"/>
  <c r="I12" i="2" s="1"/>
  <c r="F13" i="4"/>
  <c r="D13" i="5"/>
  <c r="E13" i="5" s="1"/>
  <c r="M13" i="6"/>
  <c r="F6" i="7"/>
  <c r="C9" i="8"/>
  <c r="C11" i="8"/>
  <c r="I12" i="8"/>
  <c r="J8" i="10"/>
  <c r="I8" i="10"/>
  <c r="F9" i="11"/>
  <c r="I13" i="14"/>
  <c r="F9" i="15"/>
  <c r="G8" i="19"/>
  <c r="I9" i="8"/>
  <c r="F11" i="2"/>
  <c r="L12" i="2"/>
  <c r="M13" i="7"/>
  <c r="I7" i="8"/>
  <c r="J8" i="8"/>
  <c r="J13" i="9"/>
  <c r="J12" i="9"/>
  <c r="I10" i="9"/>
  <c r="G8" i="11"/>
  <c r="P10" i="11"/>
  <c r="O10" i="11"/>
  <c r="F12" i="11"/>
  <c r="O9" i="11"/>
  <c r="P9" i="11"/>
  <c r="M10" i="12"/>
  <c r="L10" i="12"/>
  <c r="G8" i="15"/>
  <c r="P10" i="15"/>
  <c r="O10" i="15"/>
  <c r="F12" i="15"/>
  <c r="O9" i="15"/>
  <c r="P9" i="15"/>
  <c r="M10" i="16"/>
  <c r="L10" i="16"/>
  <c r="M8" i="18"/>
  <c r="L8" i="18"/>
  <c r="I12" i="18"/>
  <c r="F7" i="19"/>
  <c r="J8" i="19"/>
  <c r="I8" i="19"/>
  <c r="P10" i="19"/>
  <c r="O10" i="19"/>
  <c r="F12" i="19"/>
  <c r="I7" i="9"/>
  <c r="O9" i="9"/>
  <c r="J10" i="9"/>
  <c r="C11" i="9"/>
  <c r="I12" i="9"/>
  <c r="O13" i="9"/>
  <c r="I9" i="10"/>
  <c r="J10" i="10"/>
  <c r="F7" i="12"/>
  <c r="D8" i="13"/>
  <c r="P8" i="13"/>
  <c r="O9" i="13"/>
  <c r="P7" i="14"/>
  <c r="P8" i="17"/>
  <c r="O9" i="17"/>
  <c r="I12" i="19"/>
  <c r="D7" i="23"/>
  <c r="G8" i="31"/>
  <c r="F8" i="31"/>
  <c r="J7" i="9"/>
  <c r="C8" i="9"/>
  <c r="P9" i="9"/>
  <c r="L11" i="9"/>
  <c r="F13" i="9"/>
  <c r="P13" i="9"/>
  <c r="L14" i="9"/>
  <c r="I12" i="11"/>
  <c r="O13" i="11"/>
  <c r="G7" i="12"/>
  <c r="G8" i="12"/>
  <c r="F12" i="12"/>
  <c r="L13" i="12"/>
  <c r="O14" i="13"/>
  <c r="O8" i="14"/>
  <c r="F14" i="14"/>
  <c r="J10" i="15"/>
  <c r="C11" i="15"/>
  <c r="I12" i="15"/>
  <c r="O13" i="15"/>
  <c r="G7" i="16"/>
  <c r="G8" i="16"/>
  <c r="F12" i="16"/>
  <c r="L13" i="16"/>
  <c r="C8" i="17"/>
  <c r="O8" i="17"/>
  <c r="P10" i="17"/>
  <c r="O11" i="17"/>
  <c r="I13" i="17"/>
  <c r="O14" i="17"/>
  <c r="O7" i="18"/>
  <c r="O8" i="18"/>
  <c r="M10" i="18"/>
  <c r="L12" i="18"/>
  <c r="F14" i="18"/>
  <c r="I7" i="19"/>
  <c r="O9" i="19"/>
  <c r="J10" i="19"/>
  <c r="C11" i="19"/>
  <c r="J12" i="19"/>
  <c r="I13" i="19"/>
  <c r="G12" i="26"/>
  <c r="G10" i="29"/>
  <c r="F10" i="29"/>
  <c r="O14" i="8"/>
  <c r="P8" i="9"/>
  <c r="I9" i="9"/>
  <c r="D10" i="9"/>
  <c r="O11" i="9"/>
  <c r="I13" i="9"/>
  <c r="O14" i="9"/>
  <c r="P8" i="10"/>
  <c r="O9" i="10"/>
  <c r="J7" i="11"/>
  <c r="C8" i="11"/>
  <c r="I10" i="11"/>
  <c r="D11" i="11"/>
  <c r="J12" i="11"/>
  <c r="P13" i="11"/>
  <c r="F8" i="12"/>
  <c r="F9" i="12"/>
  <c r="G10" i="12"/>
  <c r="C9" i="13"/>
  <c r="C10" i="13"/>
  <c r="O10" i="13"/>
  <c r="D7" i="14"/>
  <c r="G8" i="14"/>
  <c r="D9" i="14"/>
  <c r="L10" i="14"/>
  <c r="G11" i="14"/>
  <c r="M12" i="14"/>
  <c r="G14" i="14"/>
  <c r="J7" i="15"/>
  <c r="C8" i="15"/>
  <c r="I10" i="15"/>
  <c r="D11" i="15"/>
  <c r="J12" i="15"/>
  <c r="P13" i="15"/>
  <c r="F8" i="16"/>
  <c r="F9" i="16"/>
  <c r="G10" i="16"/>
  <c r="C9" i="17"/>
  <c r="C10" i="17"/>
  <c r="O10" i="17"/>
  <c r="D7" i="18"/>
  <c r="G8" i="18"/>
  <c r="D9" i="18"/>
  <c r="L10" i="18"/>
  <c r="G11" i="18"/>
  <c r="M12" i="18"/>
  <c r="G14" i="18"/>
  <c r="J7" i="19"/>
  <c r="C8" i="19"/>
  <c r="P9" i="19"/>
  <c r="I10" i="19"/>
  <c r="D11" i="19"/>
  <c r="L11" i="19"/>
  <c r="L14" i="19"/>
  <c r="M8" i="20"/>
  <c r="L8" i="20"/>
  <c r="J10" i="21"/>
  <c r="I10" i="21"/>
  <c r="F10" i="22"/>
  <c r="G12" i="22"/>
  <c r="D11" i="23"/>
  <c r="J10" i="25"/>
  <c r="I10" i="25"/>
  <c r="F10" i="26"/>
  <c r="P9" i="28"/>
  <c r="P13" i="28"/>
  <c r="D7" i="9"/>
  <c r="O8" i="9"/>
  <c r="J9" i="9"/>
  <c r="C10" i="9"/>
  <c r="P11" i="9"/>
  <c r="P10" i="10"/>
  <c r="O11" i="10"/>
  <c r="I13" i="10"/>
  <c r="O14" i="10"/>
  <c r="D10" i="11"/>
  <c r="O11" i="11"/>
  <c r="I13" i="11"/>
  <c r="O14" i="11"/>
  <c r="L7" i="12"/>
  <c r="G9" i="12"/>
  <c r="F11" i="12"/>
  <c r="L12" i="12"/>
  <c r="F14" i="12"/>
  <c r="O13" i="13"/>
  <c r="I9" i="15"/>
  <c r="D10" i="15"/>
  <c r="O11" i="15"/>
  <c r="I13" i="15"/>
  <c r="O14" i="15"/>
  <c r="L7" i="16"/>
  <c r="G9" i="16"/>
  <c r="F11" i="16"/>
  <c r="L12" i="16"/>
  <c r="F14" i="16"/>
  <c r="C11" i="17"/>
  <c r="I12" i="17"/>
  <c r="O13" i="17"/>
  <c r="F12" i="18"/>
  <c r="L13" i="18"/>
  <c r="I9" i="19"/>
  <c r="D10" i="19"/>
  <c r="O11" i="19"/>
  <c r="L13" i="19"/>
  <c r="I9" i="21"/>
  <c r="F9" i="29"/>
  <c r="G9" i="29"/>
  <c r="O13" i="8"/>
  <c r="O7" i="9"/>
  <c r="J8" i="9"/>
  <c r="C9" i="9"/>
  <c r="P10" i="9"/>
  <c r="I11" i="9"/>
  <c r="O12" i="9"/>
  <c r="I14" i="9"/>
  <c r="C9" i="10"/>
  <c r="C10" i="10"/>
  <c r="O10" i="10"/>
  <c r="D7" i="11"/>
  <c r="O8" i="11"/>
  <c r="J9" i="11"/>
  <c r="C10" i="11"/>
  <c r="P11" i="11"/>
  <c r="J13" i="11"/>
  <c r="P14" i="11"/>
  <c r="M7" i="12"/>
  <c r="M8" i="12"/>
  <c r="I8" i="13"/>
  <c r="I9" i="13"/>
  <c r="J10" i="13"/>
  <c r="J7" i="14"/>
  <c r="I8" i="14"/>
  <c r="J9" i="14"/>
  <c r="F10" i="14"/>
  <c r="G12" i="14"/>
  <c r="M13" i="14"/>
  <c r="D7" i="15"/>
  <c r="O8" i="15"/>
  <c r="J9" i="15"/>
  <c r="C10" i="15"/>
  <c r="P11" i="15"/>
  <c r="J13" i="15"/>
  <c r="P14" i="15"/>
  <c r="M7" i="16"/>
  <c r="M8" i="16"/>
  <c r="I8" i="17"/>
  <c r="I9" i="17"/>
  <c r="J10" i="17"/>
  <c r="J7" i="18"/>
  <c r="I8" i="18"/>
  <c r="J9" i="18"/>
  <c r="F10" i="18"/>
  <c r="G12" i="18"/>
  <c r="M13" i="18"/>
  <c r="D7" i="19"/>
  <c r="O8" i="19"/>
  <c r="J9" i="19"/>
  <c r="C10" i="19"/>
  <c r="P11" i="19"/>
  <c r="O12" i="19"/>
  <c r="P12" i="19"/>
  <c r="O13" i="19"/>
  <c r="M8" i="24"/>
  <c r="L8" i="24"/>
  <c r="I14" i="19"/>
  <c r="L9" i="20"/>
  <c r="M10" i="20"/>
  <c r="L11" i="20"/>
  <c r="F13" i="20"/>
  <c r="L14" i="20"/>
  <c r="I11" i="21"/>
  <c r="O12" i="21"/>
  <c r="I14" i="21"/>
  <c r="I9" i="22"/>
  <c r="L11" i="22"/>
  <c r="F13" i="22"/>
  <c r="L14" i="22"/>
  <c r="C9" i="23"/>
  <c r="L9" i="24"/>
  <c r="M10" i="24"/>
  <c r="I9" i="26"/>
  <c r="F13" i="26"/>
  <c r="L14" i="26"/>
  <c r="C9" i="27"/>
  <c r="F12" i="27"/>
  <c r="L13" i="27"/>
  <c r="P8" i="28"/>
  <c r="D10" i="28"/>
  <c r="O11" i="28"/>
  <c r="I13" i="28"/>
  <c r="O14" i="28"/>
  <c r="L7" i="29"/>
  <c r="J8" i="30"/>
  <c r="F7" i="35"/>
  <c r="G7" i="35"/>
  <c r="P14" i="36"/>
  <c r="P13" i="36"/>
  <c r="P12" i="36"/>
  <c r="P11" i="36"/>
  <c r="D8" i="36"/>
  <c r="C8" i="36"/>
  <c r="G10" i="42"/>
  <c r="F10" i="42"/>
  <c r="J14" i="19"/>
  <c r="F7" i="20"/>
  <c r="M9" i="20"/>
  <c r="L10" i="20"/>
  <c r="D8" i="21"/>
  <c r="P8" i="21"/>
  <c r="O9" i="21"/>
  <c r="P7" i="22"/>
  <c r="L8" i="22"/>
  <c r="O9" i="22"/>
  <c r="M11" i="22"/>
  <c r="G13" i="22"/>
  <c r="M14" i="22"/>
  <c r="P7" i="23"/>
  <c r="I8" i="23"/>
  <c r="D9" i="23"/>
  <c r="F7" i="24"/>
  <c r="M9" i="24"/>
  <c r="D8" i="25"/>
  <c r="P8" i="25"/>
  <c r="M11" i="25"/>
  <c r="G13" i="25"/>
  <c r="M14" i="25"/>
  <c r="P7" i="26"/>
  <c r="L8" i="26"/>
  <c r="M11" i="26"/>
  <c r="G13" i="26"/>
  <c r="M14" i="26"/>
  <c r="J7" i="27"/>
  <c r="J9" i="27"/>
  <c r="F10" i="27"/>
  <c r="G12" i="27"/>
  <c r="M13" i="27"/>
  <c r="D7" i="28"/>
  <c r="O8" i="28"/>
  <c r="J9" i="28"/>
  <c r="C10" i="28"/>
  <c r="P11" i="28"/>
  <c r="J13" i="28"/>
  <c r="M8" i="29"/>
  <c r="J10" i="30"/>
  <c r="G14" i="30"/>
  <c r="D8" i="39"/>
  <c r="C8" i="39"/>
  <c r="L14" i="42"/>
  <c r="D10" i="43"/>
  <c r="C10" i="43"/>
  <c r="P8" i="44"/>
  <c r="O8" i="44"/>
  <c r="D10" i="44"/>
  <c r="C10" i="44"/>
  <c r="P8" i="45"/>
  <c r="O8" i="45"/>
  <c r="M8" i="46"/>
  <c r="L8" i="46"/>
  <c r="F12" i="46"/>
  <c r="G12" i="46"/>
  <c r="G7" i="20"/>
  <c r="G8" i="20"/>
  <c r="F12" i="20"/>
  <c r="L13" i="20"/>
  <c r="P10" i="21"/>
  <c r="O11" i="21"/>
  <c r="I13" i="21"/>
  <c r="O14" i="21"/>
  <c r="C8" i="22"/>
  <c r="O8" i="22"/>
  <c r="F11" i="22"/>
  <c r="L12" i="22"/>
  <c r="F14" i="22"/>
  <c r="D8" i="23"/>
  <c r="O9" i="23"/>
  <c r="G8" i="24"/>
  <c r="D10" i="25"/>
  <c r="P10" i="25"/>
  <c r="F11" i="26"/>
  <c r="L12" i="26"/>
  <c r="F14" i="26"/>
  <c r="F13" i="27"/>
  <c r="L14" i="27"/>
  <c r="O7" i="28"/>
  <c r="P10" i="28"/>
  <c r="I11" i="28"/>
  <c r="O12" i="28"/>
  <c r="I14" i="28"/>
  <c r="L8" i="29"/>
  <c r="L9" i="29"/>
  <c r="M10" i="29"/>
  <c r="I10" i="30"/>
  <c r="P8" i="32"/>
  <c r="O8" i="32"/>
  <c r="M14" i="33"/>
  <c r="I8" i="34"/>
  <c r="J14" i="34"/>
  <c r="O10" i="36"/>
  <c r="J10" i="39"/>
  <c r="I10" i="39"/>
  <c r="P13" i="19"/>
  <c r="I14" i="20"/>
  <c r="F8" i="20"/>
  <c r="F9" i="20"/>
  <c r="G10" i="20"/>
  <c r="C9" i="21"/>
  <c r="C10" i="21"/>
  <c r="O10" i="21"/>
  <c r="D7" i="22"/>
  <c r="G8" i="22"/>
  <c r="D9" i="22"/>
  <c r="L10" i="22"/>
  <c r="G11" i="22"/>
  <c r="M12" i="22"/>
  <c r="G14" i="22"/>
  <c r="J7" i="23"/>
  <c r="C8" i="23"/>
  <c r="P9" i="23"/>
  <c r="F8" i="24"/>
  <c r="F9" i="24"/>
  <c r="G10" i="24"/>
  <c r="G7" i="25"/>
  <c r="C10" i="25"/>
  <c r="O10" i="25"/>
  <c r="G12" i="25"/>
  <c r="M13" i="25"/>
  <c r="D7" i="26"/>
  <c r="G8" i="26"/>
  <c r="D9" i="26"/>
  <c r="L10" i="26"/>
  <c r="G11" i="26"/>
  <c r="M12" i="26"/>
  <c r="G14" i="26"/>
  <c r="P7" i="27"/>
  <c r="L8" i="27"/>
  <c r="O9" i="27"/>
  <c r="M11" i="27"/>
  <c r="G13" i="27"/>
  <c r="M14" i="27"/>
  <c r="P7" i="28"/>
  <c r="I8" i="28"/>
  <c r="D9" i="28"/>
  <c r="O10" i="28"/>
  <c r="J11" i="28"/>
  <c r="P12" i="28"/>
  <c r="C11" i="29"/>
  <c r="F7" i="29"/>
  <c r="M9" i="29"/>
  <c r="D8" i="30"/>
  <c r="P8" i="30"/>
  <c r="M11" i="30"/>
  <c r="G13" i="30"/>
  <c r="M14" i="30"/>
  <c r="D8" i="32"/>
  <c r="C8" i="32"/>
  <c r="F7" i="37"/>
  <c r="G7" i="37"/>
  <c r="D10" i="38"/>
  <c r="C10" i="38"/>
  <c r="D8" i="45"/>
  <c r="C8" i="45"/>
  <c r="F11" i="46"/>
  <c r="G11" i="46"/>
  <c r="F14" i="46"/>
  <c r="G14" i="46"/>
  <c r="O14" i="19"/>
  <c r="L7" i="20"/>
  <c r="G9" i="20"/>
  <c r="F11" i="20"/>
  <c r="L12" i="20"/>
  <c r="F14" i="20"/>
  <c r="F14" i="21"/>
  <c r="I7" i="21"/>
  <c r="J8" i="21"/>
  <c r="C11" i="21"/>
  <c r="I12" i="21"/>
  <c r="O13" i="21"/>
  <c r="F7" i="22"/>
  <c r="F9" i="22"/>
  <c r="G10" i="22"/>
  <c r="F12" i="22"/>
  <c r="L13" i="22"/>
  <c r="C7" i="23"/>
  <c r="I9" i="23"/>
  <c r="L7" i="24"/>
  <c r="G9" i="24"/>
  <c r="F10" i="24"/>
  <c r="J8" i="25"/>
  <c r="G10" i="26"/>
  <c r="F12" i="26"/>
  <c r="L13" i="26"/>
  <c r="L12" i="27"/>
  <c r="F14" i="27"/>
  <c r="O9" i="28"/>
  <c r="J10" i="28"/>
  <c r="C11" i="28"/>
  <c r="I12" i="28"/>
  <c r="O13" i="28"/>
  <c r="G7" i="29"/>
  <c r="G8" i="29"/>
  <c r="C8" i="30"/>
  <c r="D10" i="30"/>
  <c r="P10" i="30"/>
  <c r="G10" i="31"/>
  <c r="F10" i="31"/>
  <c r="J10" i="32"/>
  <c r="I10" i="32"/>
  <c r="L8" i="33"/>
  <c r="P8" i="36"/>
  <c r="O8" i="36"/>
  <c r="L9" i="40"/>
  <c r="M9" i="40"/>
  <c r="L7" i="42"/>
  <c r="M7" i="42"/>
  <c r="C7" i="44"/>
  <c r="D7" i="44"/>
  <c r="I9" i="44"/>
  <c r="J9" i="44"/>
  <c r="O11" i="44"/>
  <c r="P11" i="44"/>
  <c r="I13" i="44"/>
  <c r="J13" i="44"/>
  <c r="O14" i="44"/>
  <c r="P14" i="44"/>
  <c r="C11" i="31"/>
  <c r="D10" i="32"/>
  <c r="P10" i="32"/>
  <c r="O7" i="33"/>
  <c r="M10" i="33"/>
  <c r="L12" i="33"/>
  <c r="F14" i="33"/>
  <c r="I7" i="34"/>
  <c r="J10" i="34"/>
  <c r="C11" i="34"/>
  <c r="I12" i="34"/>
  <c r="O13" i="34"/>
  <c r="G8" i="35"/>
  <c r="D10" i="36"/>
  <c r="G8" i="37"/>
  <c r="J8" i="38"/>
  <c r="G11" i="38"/>
  <c r="M12" i="38"/>
  <c r="G14" i="38"/>
  <c r="D10" i="39"/>
  <c r="F7" i="40"/>
  <c r="M10" i="40"/>
  <c r="I14" i="41"/>
  <c r="M8" i="41"/>
  <c r="M10" i="41"/>
  <c r="P14" i="42"/>
  <c r="M8" i="42"/>
  <c r="F11" i="42"/>
  <c r="F12" i="42"/>
  <c r="F13" i="42"/>
  <c r="D10" i="45"/>
  <c r="P10" i="45"/>
  <c r="J13" i="45"/>
  <c r="P14" i="45"/>
  <c r="L9" i="46"/>
  <c r="J11" i="47"/>
  <c r="J14" i="47"/>
  <c r="J9" i="31"/>
  <c r="J11" i="31"/>
  <c r="P12" i="31"/>
  <c r="J14" i="31"/>
  <c r="G7" i="32"/>
  <c r="C10" i="32"/>
  <c r="O10" i="32"/>
  <c r="G12" i="32"/>
  <c r="M13" i="32"/>
  <c r="D7" i="33"/>
  <c r="G8" i="33"/>
  <c r="D9" i="33"/>
  <c r="L10" i="33"/>
  <c r="G11" i="33"/>
  <c r="M12" i="33"/>
  <c r="G14" i="33"/>
  <c r="J7" i="34"/>
  <c r="C8" i="34"/>
  <c r="P9" i="34"/>
  <c r="I10" i="34"/>
  <c r="D11" i="34"/>
  <c r="J12" i="34"/>
  <c r="P13" i="34"/>
  <c r="F8" i="35"/>
  <c r="F9" i="35"/>
  <c r="G10" i="35"/>
  <c r="G7" i="36"/>
  <c r="C10" i="36"/>
  <c r="F9" i="37"/>
  <c r="M10" i="37"/>
  <c r="F11" i="37"/>
  <c r="L12" i="37"/>
  <c r="F14" i="37"/>
  <c r="M7" i="38"/>
  <c r="I8" i="38"/>
  <c r="I9" i="38"/>
  <c r="C10" i="39"/>
  <c r="G7" i="40"/>
  <c r="G8" i="40"/>
  <c r="L11" i="40"/>
  <c r="L12" i="40"/>
  <c r="L13" i="40"/>
  <c r="L14" i="40"/>
  <c r="L8" i="41"/>
  <c r="P9" i="41"/>
  <c r="P11" i="41"/>
  <c r="J13" i="41"/>
  <c r="P14" i="41"/>
  <c r="L8" i="42"/>
  <c r="L9" i="42"/>
  <c r="G11" i="42"/>
  <c r="G12" i="42"/>
  <c r="G13" i="42"/>
  <c r="F14" i="42"/>
  <c r="P10" i="44"/>
  <c r="I11" i="44"/>
  <c r="O12" i="44"/>
  <c r="I14" i="44"/>
  <c r="G7" i="45"/>
  <c r="C10" i="45"/>
  <c r="O10" i="45"/>
  <c r="G12" i="45"/>
  <c r="F7" i="46"/>
  <c r="M9" i="46"/>
  <c r="M10" i="46"/>
  <c r="M8" i="47"/>
  <c r="M10" i="47"/>
  <c r="M8" i="31"/>
  <c r="M10" i="31"/>
  <c r="J8" i="32"/>
  <c r="L13" i="33"/>
  <c r="I9" i="34"/>
  <c r="D10" i="34"/>
  <c r="O11" i="34"/>
  <c r="I13" i="34"/>
  <c r="O14" i="34"/>
  <c r="L7" i="35"/>
  <c r="G9" i="35"/>
  <c r="J8" i="36"/>
  <c r="L7" i="37"/>
  <c r="G9" i="37"/>
  <c r="L10" i="37"/>
  <c r="G11" i="37"/>
  <c r="M12" i="37"/>
  <c r="G14" i="37"/>
  <c r="M11" i="38"/>
  <c r="G13" i="38"/>
  <c r="M14" i="38"/>
  <c r="J8" i="39"/>
  <c r="F8" i="40"/>
  <c r="F9" i="40"/>
  <c r="M11" i="40"/>
  <c r="M12" i="40"/>
  <c r="M13" i="40"/>
  <c r="M14" i="40"/>
  <c r="C11" i="42"/>
  <c r="F7" i="42"/>
  <c r="M9" i="42"/>
  <c r="M10" i="42"/>
  <c r="I8" i="43"/>
  <c r="J10" i="43"/>
  <c r="P7" i="44"/>
  <c r="I8" i="44"/>
  <c r="D9" i="44"/>
  <c r="O10" i="44"/>
  <c r="J11" i="44"/>
  <c r="P12" i="44"/>
  <c r="J14" i="44"/>
  <c r="J8" i="45"/>
  <c r="P13" i="45"/>
  <c r="G7" i="46"/>
  <c r="G8" i="46"/>
  <c r="L11" i="46"/>
  <c r="L12" i="46"/>
  <c r="L13" i="46"/>
  <c r="L14" i="46"/>
  <c r="L8" i="47"/>
  <c r="P11" i="47"/>
  <c r="J13" i="47"/>
  <c r="P14" i="47"/>
  <c r="G14" i="32"/>
  <c r="J7" i="33"/>
  <c r="J9" i="33"/>
  <c r="F10" i="33"/>
  <c r="G12" i="33"/>
  <c r="M13" i="33"/>
  <c r="D7" i="34"/>
  <c r="O8" i="34"/>
  <c r="J9" i="34"/>
  <c r="C10" i="34"/>
  <c r="P11" i="34"/>
  <c r="J13" i="34"/>
  <c r="P14" i="34"/>
  <c r="M7" i="35"/>
  <c r="M8" i="35"/>
  <c r="I8" i="36"/>
  <c r="P8" i="37"/>
  <c r="F12" i="37"/>
  <c r="L13" i="37"/>
  <c r="D8" i="38"/>
  <c r="C9" i="38"/>
  <c r="P10" i="38"/>
  <c r="L7" i="40"/>
  <c r="G9" i="40"/>
  <c r="G10" i="40"/>
  <c r="G8" i="41"/>
  <c r="D9" i="41"/>
  <c r="G10" i="41"/>
  <c r="D11" i="41"/>
  <c r="J12" i="41"/>
  <c r="P13" i="41"/>
  <c r="G8" i="42"/>
  <c r="L11" i="42"/>
  <c r="L12" i="42"/>
  <c r="L13" i="42"/>
  <c r="C11" i="44"/>
  <c r="I12" i="44"/>
  <c r="O13" i="44"/>
  <c r="M7" i="45"/>
  <c r="I8" i="45"/>
  <c r="J10" i="45"/>
  <c r="G11" i="45"/>
  <c r="F8" i="46"/>
  <c r="F9" i="46"/>
  <c r="M11" i="46"/>
  <c r="M12" i="46"/>
  <c r="M13" i="46"/>
  <c r="M14" i="46"/>
  <c r="O14" i="31"/>
  <c r="M8" i="33"/>
  <c r="L11" i="33"/>
  <c r="F13" i="33"/>
  <c r="L14" i="33"/>
  <c r="J8" i="34"/>
  <c r="I11" i="34"/>
  <c r="O12" i="34"/>
  <c r="I14" i="34"/>
  <c r="L9" i="35"/>
  <c r="M10" i="35"/>
  <c r="L8" i="37"/>
  <c r="G12" i="37"/>
  <c r="M13" i="37"/>
  <c r="C8" i="38"/>
  <c r="G12" i="38"/>
  <c r="M13" i="38"/>
  <c r="M7" i="40"/>
  <c r="M8" i="40"/>
  <c r="F11" i="40"/>
  <c r="F12" i="40"/>
  <c r="F13" i="40"/>
  <c r="F14" i="40"/>
  <c r="F8" i="41"/>
  <c r="F10" i="41"/>
  <c r="F8" i="42"/>
  <c r="F9" i="42"/>
  <c r="M11" i="42"/>
  <c r="M12" i="42"/>
  <c r="M13" i="42"/>
  <c r="D8" i="43"/>
  <c r="P8" i="43"/>
  <c r="J7" i="44"/>
  <c r="C8" i="44"/>
  <c r="P9" i="44"/>
  <c r="I10" i="44"/>
  <c r="D11" i="44"/>
  <c r="J12" i="44"/>
  <c r="P13" i="44"/>
  <c r="I10" i="45"/>
  <c r="P12" i="45"/>
  <c r="J14" i="45"/>
  <c r="L7" i="46"/>
  <c r="G10" i="46"/>
  <c r="D7" i="47"/>
  <c r="G8" i="47"/>
  <c r="D9" i="47"/>
  <c r="G10" i="47"/>
  <c r="D11" i="47"/>
  <c r="J12" i="47"/>
  <c r="P13" i="47"/>
  <c r="L14" i="48"/>
  <c r="F14" i="48"/>
  <c r="C9" i="48"/>
  <c r="F7" i="48"/>
  <c r="L7" i="48"/>
  <c r="C8" i="48"/>
  <c r="I8" i="48"/>
  <c r="O8" i="48"/>
  <c r="F9" i="48"/>
  <c r="L9" i="48"/>
  <c r="C10" i="48"/>
  <c r="I10" i="48"/>
  <c r="P10" i="48"/>
  <c r="G11" i="48"/>
  <c r="M11" i="48"/>
  <c r="G12" i="48"/>
  <c r="L12" i="48"/>
  <c r="G13" i="48"/>
  <c r="M13" i="48"/>
  <c r="G14" i="48"/>
  <c r="M14" i="48"/>
  <c r="D7" i="48"/>
  <c r="J7" i="48"/>
  <c r="P7" i="48"/>
  <c r="G8" i="48"/>
  <c r="M8" i="48"/>
  <c r="D9" i="48"/>
  <c r="J9" i="48"/>
  <c r="P9" i="48"/>
  <c r="G10" i="48"/>
  <c r="M10" i="48"/>
  <c r="D11" i="48"/>
  <c r="J11" i="48"/>
  <c r="P11" i="48"/>
  <c r="J12" i="48"/>
  <c r="P12" i="48"/>
  <c r="J13" i="48"/>
  <c r="P13" i="48"/>
  <c r="J14" i="48"/>
  <c r="P14" i="48"/>
  <c r="C7" i="48"/>
  <c r="G7" i="48"/>
  <c r="I7" i="48"/>
  <c r="M7" i="48"/>
  <c r="O7" i="48"/>
  <c r="D8" i="48"/>
  <c r="F8" i="48"/>
  <c r="J8" i="48"/>
  <c r="L8" i="48"/>
  <c r="P8" i="48"/>
  <c r="G9" i="48"/>
  <c r="M9" i="48"/>
  <c r="O9" i="48"/>
  <c r="D10" i="48"/>
  <c r="F10" i="48"/>
  <c r="J10" i="48"/>
  <c r="L10" i="48"/>
  <c r="C11" i="48"/>
  <c r="I11" i="48"/>
  <c r="O11" i="48"/>
  <c r="I12" i="48"/>
  <c r="M12" i="48"/>
  <c r="O12" i="48"/>
  <c r="I13" i="48"/>
  <c r="O13" i="48"/>
  <c r="I14" i="48"/>
  <c r="O14" i="48"/>
  <c r="F11" i="48"/>
  <c r="L11" i="48"/>
  <c r="F12" i="48"/>
  <c r="F13" i="48"/>
  <c r="L13" i="48"/>
  <c r="N10" i="1"/>
  <c r="N8" i="1"/>
  <c r="L7" i="1"/>
  <c r="F7" i="1"/>
  <c r="D7" i="1"/>
  <c r="K7" i="1" s="1"/>
  <c r="B7" i="1"/>
  <c r="L14" i="1"/>
  <c r="G14" i="1"/>
  <c r="N10" i="2"/>
  <c r="N8" i="2"/>
  <c r="L7" i="2"/>
  <c r="F7" i="2"/>
  <c r="D7" i="2"/>
  <c r="B7" i="2"/>
  <c r="J11" i="2"/>
  <c r="I11" i="2"/>
  <c r="K12" i="2"/>
  <c r="M12" i="2"/>
  <c r="K13" i="2"/>
  <c r="L14" i="2"/>
  <c r="G14" i="2"/>
  <c r="N10" i="3"/>
  <c r="N8" i="3"/>
  <c r="L7" i="3"/>
  <c r="F7" i="3"/>
  <c r="D7" i="3"/>
  <c r="K7" i="3" s="1"/>
  <c r="B7" i="3"/>
  <c r="J11" i="3"/>
  <c r="I11" i="3"/>
  <c r="K12" i="3"/>
  <c r="M12" i="3"/>
  <c r="K13" i="3"/>
  <c r="L14" i="3"/>
  <c r="G14" i="3"/>
  <c r="N10" i="4"/>
  <c r="N8" i="4"/>
  <c r="L7" i="4"/>
  <c r="F7" i="4"/>
  <c r="D7" i="4"/>
  <c r="B7" i="4"/>
  <c r="I11" i="4"/>
  <c r="K12" i="4"/>
  <c r="M12" i="4"/>
  <c r="K13" i="4"/>
  <c r="L14" i="4"/>
  <c r="G14" i="4"/>
  <c r="K7" i="5"/>
  <c r="N10" i="5"/>
  <c r="N8" i="5"/>
  <c r="L7" i="5"/>
  <c r="F7" i="5"/>
  <c r="D7" i="5"/>
  <c r="B7" i="5"/>
  <c r="K12" i="5"/>
  <c r="M12" i="5"/>
  <c r="L14" i="5"/>
  <c r="G14" i="5"/>
  <c r="N10" i="6"/>
  <c r="N8" i="6"/>
  <c r="L7" i="6"/>
  <c r="F7" i="6"/>
  <c r="D7" i="6"/>
  <c r="B7" i="6"/>
  <c r="J11" i="6"/>
  <c r="I11" i="6"/>
  <c r="K13" i="6"/>
  <c r="L14" i="6"/>
  <c r="G14" i="6"/>
  <c r="N10" i="7"/>
  <c r="N8" i="7"/>
  <c r="L7" i="7"/>
  <c r="F7" i="7"/>
  <c r="D7" i="7"/>
  <c r="K7" i="7" s="1"/>
  <c r="B7" i="7"/>
  <c r="K12" i="7"/>
  <c r="K13" i="7"/>
  <c r="L14" i="7"/>
  <c r="G14" i="7"/>
  <c r="G7" i="8"/>
  <c r="M7" i="8"/>
  <c r="F8" i="8"/>
  <c r="L8" i="8"/>
  <c r="G9" i="8"/>
  <c r="M9" i="8"/>
  <c r="F10" i="8"/>
  <c r="L10" i="8"/>
  <c r="G11" i="8"/>
  <c r="M11" i="8"/>
  <c r="G12" i="8"/>
  <c r="M12" i="8"/>
  <c r="G13" i="8"/>
  <c r="M13" i="8"/>
  <c r="G14" i="8"/>
  <c r="M14" i="8"/>
  <c r="G7" i="10"/>
  <c r="M7" i="10"/>
  <c r="F8" i="10"/>
  <c r="L8" i="10"/>
  <c r="G9" i="10"/>
  <c r="M9" i="10"/>
  <c r="F10" i="10"/>
  <c r="L10" i="10"/>
  <c r="G11" i="10"/>
  <c r="M11" i="10"/>
  <c r="G12" i="10"/>
  <c r="M12" i="10"/>
  <c r="G13" i="10"/>
  <c r="M13" i="10"/>
  <c r="G14" i="10"/>
  <c r="M14" i="10"/>
  <c r="C7" i="12"/>
  <c r="I7" i="12"/>
  <c r="O7" i="12"/>
  <c r="D8" i="12"/>
  <c r="J8" i="12"/>
  <c r="P8" i="12"/>
  <c r="C9" i="12"/>
  <c r="I9" i="12"/>
  <c r="C10" i="12"/>
  <c r="I10" i="12"/>
  <c r="O10" i="12"/>
  <c r="D11" i="12"/>
  <c r="J11" i="12"/>
  <c r="P11" i="12"/>
  <c r="J12" i="12"/>
  <c r="P12" i="12"/>
  <c r="J13" i="12"/>
  <c r="P13" i="12"/>
  <c r="J14" i="12"/>
  <c r="P14" i="12"/>
  <c r="P9" i="12"/>
  <c r="G7" i="13"/>
  <c r="M7" i="13"/>
  <c r="F8" i="13"/>
  <c r="L8" i="13"/>
  <c r="G9" i="13"/>
  <c r="M9" i="13"/>
  <c r="F10" i="13"/>
  <c r="L10" i="13"/>
  <c r="G11" i="13"/>
  <c r="M11" i="13"/>
  <c r="G12" i="13"/>
  <c r="M12" i="13"/>
  <c r="G13" i="13"/>
  <c r="M13" i="13"/>
  <c r="G14" i="13"/>
  <c r="M14" i="13"/>
  <c r="C7" i="16"/>
  <c r="I7" i="16"/>
  <c r="O7" i="16"/>
  <c r="D8" i="16"/>
  <c r="J8" i="16"/>
  <c r="P8" i="16"/>
  <c r="C9" i="16"/>
  <c r="I9" i="16"/>
  <c r="C10" i="16"/>
  <c r="I10" i="16"/>
  <c r="O10" i="16"/>
  <c r="D11" i="16"/>
  <c r="J11" i="16"/>
  <c r="P11" i="16"/>
  <c r="J12" i="16"/>
  <c r="P12" i="16"/>
  <c r="J13" i="16"/>
  <c r="P13" i="16"/>
  <c r="J14" i="16"/>
  <c r="P14" i="16"/>
  <c r="P9" i="16"/>
  <c r="G7" i="17"/>
  <c r="M7" i="17"/>
  <c r="F8" i="17"/>
  <c r="L8" i="17"/>
  <c r="G9" i="17"/>
  <c r="M9" i="17"/>
  <c r="F10" i="17"/>
  <c r="L10" i="17"/>
  <c r="G11" i="17"/>
  <c r="M11" i="17"/>
  <c r="G12" i="17"/>
  <c r="M12" i="17"/>
  <c r="G13" i="17"/>
  <c r="M13" i="17"/>
  <c r="G14" i="17"/>
  <c r="M14" i="17"/>
  <c r="C7" i="20"/>
  <c r="I7" i="20"/>
  <c r="O7" i="20"/>
  <c r="D8" i="20"/>
  <c r="J8" i="20"/>
  <c r="P8" i="20"/>
  <c r="C9" i="20"/>
  <c r="I9" i="20"/>
  <c r="C10" i="20"/>
  <c r="I10" i="20"/>
  <c r="O10" i="20"/>
  <c r="D11" i="20"/>
  <c r="J11" i="20"/>
  <c r="P11" i="20"/>
  <c r="J12" i="20"/>
  <c r="P12" i="20"/>
  <c r="J13" i="20"/>
  <c r="P13" i="20"/>
  <c r="J14" i="20"/>
  <c r="P14" i="20"/>
  <c r="P9" i="20"/>
  <c r="G7" i="21"/>
  <c r="M7" i="21"/>
  <c r="F8" i="21"/>
  <c r="L8" i="21"/>
  <c r="G9" i="21"/>
  <c r="M9" i="21"/>
  <c r="F10" i="21"/>
  <c r="L10" i="21"/>
  <c r="G11" i="21"/>
  <c r="M11" i="21"/>
  <c r="G12" i="21"/>
  <c r="M12" i="21"/>
  <c r="G13" i="21"/>
  <c r="M13" i="21"/>
  <c r="G14" i="21"/>
  <c r="M14" i="21"/>
  <c r="I14" i="24"/>
  <c r="I13" i="24"/>
  <c r="I12" i="24"/>
  <c r="I11" i="24"/>
  <c r="O14" i="24"/>
  <c r="O13" i="24"/>
  <c r="O12" i="24"/>
  <c r="O11" i="24"/>
  <c r="C7" i="24"/>
  <c r="I7" i="24"/>
  <c r="O7" i="24"/>
  <c r="D8" i="24"/>
  <c r="J8" i="24"/>
  <c r="P8" i="24"/>
  <c r="C9" i="24"/>
  <c r="I9" i="24"/>
  <c r="I10" i="24"/>
  <c r="J10" i="24"/>
  <c r="D11" i="24"/>
  <c r="J11" i="24"/>
  <c r="P11" i="24"/>
  <c r="J12" i="24"/>
  <c r="P12" i="24"/>
  <c r="J13" i="24"/>
  <c r="P13" i="24"/>
  <c r="J14" i="24"/>
  <c r="P14" i="24"/>
  <c r="F8" i="25"/>
  <c r="G8" i="25"/>
  <c r="C9" i="25"/>
  <c r="D9" i="25"/>
  <c r="I9" i="25"/>
  <c r="J9" i="25"/>
  <c r="O9" i="25"/>
  <c r="P9" i="25"/>
  <c r="L10" i="25"/>
  <c r="M10" i="25"/>
  <c r="I8" i="26"/>
  <c r="J8" i="26"/>
  <c r="I8" i="27"/>
  <c r="J8" i="27"/>
  <c r="I14" i="29"/>
  <c r="I13" i="29"/>
  <c r="I12" i="29"/>
  <c r="I11" i="29"/>
  <c r="O14" i="29"/>
  <c r="O13" i="29"/>
  <c r="O12" i="29"/>
  <c r="O11" i="29"/>
  <c r="C7" i="29"/>
  <c r="I7" i="29"/>
  <c r="O7" i="29"/>
  <c r="D8" i="29"/>
  <c r="J8" i="29"/>
  <c r="P8" i="29"/>
  <c r="C9" i="29"/>
  <c r="I9" i="29"/>
  <c r="I10" i="29"/>
  <c r="J10" i="29"/>
  <c r="D11" i="29"/>
  <c r="J11" i="29"/>
  <c r="P11" i="29"/>
  <c r="J12" i="29"/>
  <c r="P12" i="29"/>
  <c r="J13" i="29"/>
  <c r="P13" i="29"/>
  <c r="J14" i="29"/>
  <c r="P14" i="29"/>
  <c r="F8" i="30"/>
  <c r="G8" i="30"/>
  <c r="C9" i="30"/>
  <c r="D9" i="30"/>
  <c r="I9" i="30"/>
  <c r="J9" i="30"/>
  <c r="O9" i="30"/>
  <c r="P9" i="30"/>
  <c r="L10" i="30"/>
  <c r="M10" i="30"/>
  <c r="I8" i="31"/>
  <c r="J8" i="31"/>
  <c r="I10" i="31"/>
  <c r="J10" i="31"/>
  <c r="F8" i="32"/>
  <c r="G8" i="32"/>
  <c r="C9" i="32"/>
  <c r="D9" i="32"/>
  <c r="I9" i="32"/>
  <c r="J9" i="32"/>
  <c r="O9" i="32"/>
  <c r="P9" i="32"/>
  <c r="L10" i="32"/>
  <c r="M10" i="32"/>
  <c r="I8" i="33"/>
  <c r="J8" i="33"/>
  <c r="I14" i="35"/>
  <c r="I13" i="35"/>
  <c r="I12" i="35"/>
  <c r="I11" i="35"/>
  <c r="O14" i="35"/>
  <c r="O13" i="35"/>
  <c r="O12" i="35"/>
  <c r="O11" i="35"/>
  <c r="C7" i="35"/>
  <c r="I7" i="35"/>
  <c r="O7" i="35"/>
  <c r="D8" i="35"/>
  <c r="J8" i="35"/>
  <c r="P8" i="35"/>
  <c r="C9" i="35"/>
  <c r="I9" i="35"/>
  <c r="I10" i="35"/>
  <c r="J10" i="35"/>
  <c r="D11" i="35"/>
  <c r="J11" i="35"/>
  <c r="P11" i="35"/>
  <c r="J12" i="35"/>
  <c r="P12" i="35"/>
  <c r="J13" i="35"/>
  <c r="P13" i="35"/>
  <c r="J14" i="35"/>
  <c r="P14" i="35"/>
  <c r="F8" i="36"/>
  <c r="G8" i="36"/>
  <c r="C9" i="36"/>
  <c r="D9" i="36"/>
  <c r="I9" i="36"/>
  <c r="J9" i="36"/>
  <c r="O9" i="36"/>
  <c r="P9" i="36"/>
  <c r="L9" i="37"/>
  <c r="M9" i="37"/>
  <c r="P9" i="37"/>
  <c r="O9" i="37"/>
  <c r="C11" i="39"/>
  <c r="D11" i="39"/>
  <c r="I11" i="39"/>
  <c r="J11" i="39"/>
  <c r="O11" i="39"/>
  <c r="P11" i="39"/>
  <c r="I12" i="39"/>
  <c r="J12" i="39"/>
  <c r="O12" i="39"/>
  <c r="P12" i="39"/>
  <c r="I13" i="39"/>
  <c r="J13" i="39"/>
  <c r="O13" i="39"/>
  <c r="P13" i="39"/>
  <c r="I14" i="39"/>
  <c r="J14" i="39"/>
  <c r="O14" i="39"/>
  <c r="P14" i="39"/>
  <c r="G6" i="1"/>
  <c r="B6" i="1"/>
  <c r="M6" i="1" s="1"/>
  <c r="I7" i="1"/>
  <c r="N9" i="1"/>
  <c r="D11" i="1"/>
  <c r="E11" i="1" s="1"/>
  <c r="L11" i="1"/>
  <c r="M11" i="1" s="1"/>
  <c r="D14" i="1"/>
  <c r="E14" i="1" s="1"/>
  <c r="G6" i="2"/>
  <c r="B6" i="2"/>
  <c r="E6" i="2" s="1"/>
  <c r="I7" i="2"/>
  <c r="N9" i="2"/>
  <c r="D11" i="2"/>
  <c r="E11" i="2" s="1"/>
  <c r="L11" i="2"/>
  <c r="M11" i="2" s="1"/>
  <c r="D14" i="2"/>
  <c r="E14" i="2" s="1"/>
  <c r="G6" i="3"/>
  <c r="H11" i="3" s="1"/>
  <c r="B6" i="3"/>
  <c r="M6" i="3" s="1"/>
  <c r="I7" i="3"/>
  <c r="N9" i="3"/>
  <c r="D11" i="3"/>
  <c r="E11" i="3" s="1"/>
  <c r="L11" i="3"/>
  <c r="M11" i="3" s="1"/>
  <c r="D14" i="3"/>
  <c r="E14" i="3" s="1"/>
  <c r="G6" i="4"/>
  <c r="B6" i="4"/>
  <c r="E6" i="4" s="1"/>
  <c r="I7" i="4"/>
  <c r="N9" i="4"/>
  <c r="D11" i="4"/>
  <c r="L11" i="4"/>
  <c r="D14" i="4"/>
  <c r="E14" i="4" s="1"/>
  <c r="G6" i="5"/>
  <c r="H11" i="5" s="1"/>
  <c r="B6" i="5"/>
  <c r="M6" i="5" s="1"/>
  <c r="I7" i="5"/>
  <c r="N9" i="5"/>
  <c r="D11" i="5"/>
  <c r="E11" i="5" s="1"/>
  <c r="L11" i="5"/>
  <c r="M11" i="5" s="1"/>
  <c r="D14" i="5"/>
  <c r="E14" i="5" s="1"/>
  <c r="G6" i="6"/>
  <c r="B6" i="6"/>
  <c r="E6" i="6" s="1"/>
  <c r="I7" i="6"/>
  <c r="N9" i="6"/>
  <c r="D11" i="6"/>
  <c r="E11" i="6" s="1"/>
  <c r="L11" i="6"/>
  <c r="M11" i="6" s="1"/>
  <c r="D14" i="6"/>
  <c r="E14" i="6" s="1"/>
  <c r="G6" i="7"/>
  <c r="B6" i="7"/>
  <c r="M6" i="7" s="1"/>
  <c r="I7" i="7"/>
  <c r="N9" i="7"/>
  <c r="D11" i="7"/>
  <c r="E11" i="7" s="1"/>
  <c r="L11" i="7"/>
  <c r="M11" i="7" s="1"/>
  <c r="D14" i="7"/>
  <c r="E14" i="7" s="1"/>
  <c r="D7" i="8"/>
  <c r="F7" i="8"/>
  <c r="J7" i="8"/>
  <c r="L7" i="8"/>
  <c r="P7" i="8"/>
  <c r="G8" i="8"/>
  <c r="M8" i="8"/>
  <c r="D9" i="8"/>
  <c r="F9" i="8"/>
  <c r="J9" i="8"/>
  <c r="L9" i="8"/>
  <c r="P9" i="8"/>
  <c r="G10" i="8"/>
  <c r="M10" i="8"/>
  <c r="D11" i="8"/>
  <c r="F11" i="8"/>
  <c r="J11" i="8"/>
  <c r="L11" i="8"/>
  <c r="P11" i="8"/>
  <c r="F12" i="8"/>
  <c r="J12" i="8"/>
  <c r="L12" i="8"/>
  <c r="P12" i="8"/>
  <c r="F13" i="8"/>
  <c r="J13" i="8"/>
  <c r="L13" i="8"/>
  <c r="P13" i="8"/>
  <c r="J14" i="8"/>
  <c r="P14" i="8"/>
  <c r="G7" i="9"/>
  <c r="M7" i="9"/>
  <c r="F8" i="9"/>
  <c r="L8" i="9"/>
  <c r="G9" i="9"/>
  <c r="M9" i="9"/>
  <c r="F10" i="9"/>
  <c r="L10" i="9"/>
  <c r="G11" i="9"/>
  <c r="M11" i="9"/>
  <c r="G12" i="9"/>
  <c r="M12" i="9"/>
  <c r="G13" i="9"/>
  <c r="M13" i="9"/>
  <c r="G14" i="9"/>
  <c r="M14" i="9"/>
  <c r="D7" i="10"/>
  <c r="F7" i="10"/>
  <c r="J7" i="10"/>
  <c r="L7" i="10"/>
  <c r="P7" i="10"/>
  <c r="G8" i="10"/>
  <c r="M8" i="10"/>
  <c r="D9" i="10"/>
  <c r="F9" i="10"/>
  <c r="J9" i="10"/>
  <c r="L9" i="10"/>
  <c r="P9" i="10"/>
  <c r="G10" i="10"/>
  <c r="M10" i="10"/>
  <c r="D11" i="10"/>
  <c r="F11" i="10"/>
  <c r="J11" i="10"/>
  <c r="L11" i="10"/>
  <c r="P11" i="10"/>
  <c r="F12" i="10"/>
  <c r="J12" i="10"/>
  <c r="L12" i="10"/>
  <c r="P12" i="10"/>
  <c r="F13" i="10"/>
  <c r="J13" i="10"/>
  <c r="L13" i="10"/>
  <c r="P13" i="10"/>
  <c r="J14" i="10"/>
  <c r="P14" i="10"/>
  <c r="G7" i="11"/>
  <c r="M7" i="11"/>
  <c r="F8" i="11"/>
  <c r="L8" i="11"/>
  <c r="G9" i="11"/>
  <c r="M9" i="11"/>
  <c r="F10" i="11"/>
  <c r="L10" i="11"/>
  <c r="G11" i="11"/>
  <c r="M11" i="11"/>
  <c r="G12" i="11"/>
  <c r="M12" i="11"/>
  <c r="G13" i="11"/>
  <c r="M13" i="11"/>
  <c r="G14" i="11"/>
  <c r="M14" i="11"/>
  <c r="D7" i="12"/>
  <c r="J7" i="12"/>
  <c r="P7" i="12"/>
  <c r="C8" i="12"/>
  <c r="I8" i="12"/>
  <c r="O8" i="12"/>
  <c r="D9" i="12"/>
  <c r="J9" i="12"/>
  <c r="O9" i="12"/>
  <c r="D10" i="12"/>
  <c r="J10" i="12"/>
  <c r="P10" i="12"/>
  <c r="G11" i="12"/>
  <c r="I11" i="12"/>
  <c r="M11" i="12"/>
  <c r="O11" i="12"/>
  <c r="G12" i="12"/>
  <c r="I12" i="12"/>
  <c r="M12" i="12"/>
  <c r="O12" i="12"/>
  <c r="G13" i="12"/>
  <c r="I13" i="12"/>
  <c r="M13" i="12"/>
  <c r="O13" i="12"/>
  <c r="G14" i="12"/>
  <c r="M14" i="12"/>
  <c r="D7" i="13"/>
  <c r="F7" i="13"/>
  <c r="J7" i="13"/>
  <c r="L7" i="13"/>
  <c r="P7" i="13"/>
  <c r="G8" i="13"/>
  <c r="M8" i="13"/>
  <c r="D9" i="13"/>
  <c r="F9" i="13"/>
  <c r="J9" i="13"/>
  <c r="L9" i="13"/>
  <c r="P9" i="13"/>
  <c r="G10" i="13"/>
  <c r="M10" i="13"/>
  <c r="D11" i="13"/>
  <c r="F11" i="13"/>
  <c r="J11" i="13"/>
  <c r="L11" i="13"/>
  <c r="P11" i="13"/>
  <c r="F12" i="13"/>
  <c r="J12" i="13"/>
  <c r="L12" i="13"/>
  <c r="P12" i="13"/>
  <c r="F13" i="13"/>
  <c r="J13" i="13"/>
  <c r="L13" i="13"/>
  <c r="P13" i="13"/>
  <c r="J14" i="13"/>
  <c r="P14" i="13"/>
  <c r="C7" i="14"/>
  <c r="G7" i="14"/>
  <c r="I7" i="14"/>
  <c r="M7" i="14"/>
  <c r="D8" i="14"/>
  <c r="J8" i="14"/>
  <c r="P8" i="14"/>
  <c r="G9" i="14"/>
  <c r="M9" i="14"/>
  <c r="C10" i="14"/>
  <c r="I10" i="14"/>
  <c r="O10" i="14"/>
  <c r="D11" i="14"/>
  <c r="J11" i="14"/>
  <c r="P11" i="14"/>
  <c r="J12" i="14"/>
  <c r="P12" i="14"/>
  <c r="J13" i="14"/>
  <c r="P13" i="14"/>
  <c r="J14" i="14"/>
  <c r="P14" i="14"/>
  <c r="P9" i="14"/>
  <c r="G7" i="15"/>
  <c r="M7" i="15"/>
  <c r="F8" i="15"/>
  <c r="L8" i="15"/>
  <c r="G9" i="15"/>
  <c r="M9" i="15"/>
  <c r="F10" i="15"/>
  <c r="L10" i="15"/>
  <c r="G11" i="15"/>
  <c r="M11" i="15"/>
  <c r="G12" i="15"/>
  <c r="M12" i="15"/>
  <c r="G13" i="15"/>
  <c r="M13" i="15"/>
  <c r="G14" i="15"/>
  <c r="M14" i="15"/>
  <c r="D7" i="16"/>
  <c r="J7" i="16"/>
  <c r="P7" i="16"/>
  <c r="C8" i="16"/>
  <c r="I8" i="16"/>
  <c r="O8" i="16"/>
  <c r="D9" i="16"/>
  <c r="J9" i="16"/>
  <c r="O9" i="16"/>
  <c r="D10" i="16"/>
  <c r="J10" i="16"/>
  <c r="P10" i="16"/>
  <c r="G11" i="16"/>
  <c r="I11" i="16"/>
  <c r="M11" i="16"/>
  <c r="O11" i="16"/>
  <c r="G12" i="16"/>
  <c r="I12" i="16"/>
  <c r="M12" i="16"/>
  <c r="O12" i="16"/>
  <c r="G13" i="16"/>
  <c r="I13" i="16"/>
  <c r="M13" i="16"/>
  <c r="O13" i="16"/>
  <c r="G14" i="16"/>
  <c r="M14" i="16"/>
  <c r="D7" i="17"/>
  <c r="F7" i="17"/>
  <c r="J7" i="17"/>
  <c r="L7" i="17"/>
  <c r="P7" i="17"/>
  <c r="G8" i="17"/>
  <c r="M8" i="17"/>
  <c r="D9" i="17"/>
  <c r="F9" i="17"/>
  <c r="J9" i="17"/>
  <c r="L9" i="17"/>
  <c r="P9" i="17"/>
  <c r="G10" i="17"/>
  <c r="M10" i="17"/>
  <c r="D11" i="17"/>
  <c r="F11" i="17"/>
  <c r="J11" i="17"/>
  <c r="L11" i="17"/>
  <c r="P11" i="17"/>
  <c r="F12" i="17"/>
  <c r="J12" i="17"/>
  <c r="L12" i="17"/>
  <c r="P12" i="17"/>
  <c r="F13" i="17"/>
  <c r="J13" i="17"/>
  <c r="L13" i="17"/>
  <c r="P13" i="17"/>
  <c r="J14" i="17"/>
  <c r="P14" i="17"/>
  <c r="C7" i="18"/>
  <c r="G7" i="18"/>
  <c r="I7" i="18"/>
  <c r="M7" i="18"/>
  <c r="D8" i="18"/>
  <c r="J8" i="18"/>
  <c r="P8" i="18"/>
  <c r="G9" i="18"/>
  <c r="M9" i="18"/>
  <c r="C10" i="18"/>
  <c r="I10" i="18"/>
  <c r="O10" i="18"/>
  <c r="D11" i="18"/>
  <c r="J11" i="18"/>
  <c r="P11" i="18"/>
  <c r="J12" i="18"/>
  <c r="P12" i="18"/>
  <c r="J13" i="18"/>
  <c r="P13" i="18"/>
  <c r="J14" i="18"/>
  <c r="P14" i="18"/>
  <c r="P9" i="18"/>
  <c r="G7" i="19"/>
  <c r="M7" i="19"/>
  <c r="F8" i="19"/>
  <c r="L8" i="19"/>
  <c r="G9" i="19"/>
  <c r="M9" i="19"/>
  <c r="F10" i="19"/>
  <c r="L10" i="19"/>
  <c r="G11" i="19"/>
  <c r="M11" i="19"/>
  <c r="G12" i="19"/>
  <c r="M12" i="19"/>
  <c r="G13" i="19"/>
  <c r="M13" i="19"/>
  <c r="G14" i="19"/>
  <c r="M14" i="19"/>
  <c r="D7" i="20"/>
  <c r="J7" i="20"/>
  <c r="P7" i="20"/>
  <c r="C8" i="20"/>
  <c r="I8" i="20"/>
  <c r="O8" i="20"/>
  <c r="D9" i="20"/>
  <c r="J9" i="20"/>
  <c r="O9" i="20"/>
  <c r="D10" i="20"/>
  <c r="J10" i="20"/>
  <c r="P10" i="20"/>
  <c r="G11" i="20"/>
  <c r="I11" i="20"/>
  <c r="M11" i="20"/>
  <c r="O11" i="20"/>
  <c r="G12" i="20"/>
  <c r="I12" i="20"/>
  <c r="M12" i="20"/>
  <c r="O12" i="20"/>
  <c r="G13" i="20"/>
  <c r="I13" i="20"/>
  <c r="M13" i="20"/>
  <c r="O13" i="20"/>
  <c r="G14" i="20"/>
  <c r="M14" i="20"/>
  <c r="D7" i="21"/>
  <c r="F7" i="21"/>
  <c r="J7" i="21"/>
  <c r="L7" i="21"/>
  <c r="P7" i="21"/>
  <c r="G8" i="21"/>
  <c r="M8" i="21"/>
  <c r="D9" i="21"/>
  <c r="F9" i="21"/>
  <c r="J9" i="21"/>
  <c r="L9" i="21"/>
  <c r="P9" i="21"/>
  <c r="G10" i="21"/>
  <c r="M10" i="21"/>
  <c r="D11" i="21"/>
  <c r="F11" i="21"/>
  <c r="J11" i="21"/>
  <c r="L11" i="21"/>
  <c r="P11" i="21"/>
  <c r="F12" i="21"/>
  <c r="J12" i="21"/>
  <c r="L12" i="21"/>
  <c r="P12" i="21"/>
  <c r="F13" i="21"/>
  <c r="J13" i="21"/>
  <c r="L13" i="21"/>
  <c r="P13" i="21"/>
  <c r="J14" i="21"/>
  <c r="P14" i="21"/>
  <c r="C7" i="22"/>
  <c r="G7" i="22"/>
  <c r="I7" i="22"/>
  <c r="M7" i="22"/>
  <c r="D8" i="22"/>
  <c r="J8" i="22"/>
  <c r="P8" i="22"/>
  <c r="G9" i="22"/>
  <c r="M9" i="22"/>
  <c r="C10" i="22"/>
  <c r="I10" i="22"/>
  <c r="O10" i="22"/>
  <c r="D11" i="22"/>
  <c r="J11" i="22"/>
  <c r="P11" i="22"/>
  <c r="J12" i="22"/>
  <c r="P12" i="22"/>
  <c r="J13" i="22"/>
  <c r="P13" i="22"/>
  <c r="J14" i="22"/>
  <c r="P14" i="22"/>
  <c r="P9" i="22"/>
  <c r="G7" i="23"/>
  <c r="M7" i="23"/>
  <c r="F8" i="23"/>
  <c r="L8" i="23"/>
  <c r="G9" i="23"/>
  <c r="M9" i="23"/>
  <c r="C10" i="24"/>
  <c r="D10" i="24"/>
  <c r="O10" i="24"/>
  <c r="P10" i="24"/>
  <c r="F11" i="24"/>
  <c r="G11" i="24"/>
  <c r="L11" i="24"/>
  <c r="M11" i="24"/>
  <c r="F12" i="24"/>
  <c r="G12" i="24"/>
  <c r="L12" i="24"/>
  <c r="M12" i="24"/>
  <c r="F13" i="24"/>
  <c r="G13" i="24"/>
  <c r="L13" i="24"/>
  <c r="M13" i="24"/>
  <c r="F14" i="24"/>
  <c r="G14" i="24"/>
  <c r="L14" i="24"/>
  <c r="M14" i="24"/>
  <c r="P9" i="24"/>
  <c r="O9" i="24"/>
  <c r="F14" i="25"/>
  <c r="F13" i="25"/>
  <c r="F12" i="25"/>
  <c r="F11" i="25"/>
  <c r="F9" i="25"/>
  <c r="F7" i="25"/>
  <c r="L14" i="25"/>
  <c r="L13" i="25"/>
  <c r="L12" i="25"/>
  <c r="L11" i="25"/>
  <c r="L9" i="25"/>
  <c r="L7" i="25"/>
  <c r="C7" i="25"/>
  <c r="D7" i="25"/>
  <c r="I7" i="25"/>
  <c r="J7" i="25"/>
  <c r="O7" i="25"/>
  <c r="P7" i="25"/>
  <c r="L8" i="25"/>
  <c r="M8" i="25"/>
  <c r="G9" i="25"/>
  <c r="M9" i="25"/>
  <c r="F10" i="25"/>
  <c r="G10" i="25"/>
  <c r="C11" i="25"/>
  <c r="D11" i="25"/>
  <c r="I11" i="25"/>
  <c r="J11" i="25"/>
  <c r="O11" i="25"/>
  <c r="P11" i="25"/>
  <c r="I12" i="25"/>
  <c r="J12" i="25"/>
  <c r="O12" i="25"/>
  <c r="P12" i="25"/>
  <c r="I13" i="25"/>
  <c r="J13" i="25"/>
  <c r="O13" i="25"/>
  <c r="P13" i="25"/>
  <c r="I14" i="25"/>
  <c r="J14" i="25"/>
  <c r="O14" i="25"/>
  <c r="P14" i="25"/>
  <c r="F7" i="26"/>
  <c r="G7" i="26"/>
  <c r="L7" i="26"/>
  <c r="M7" i="26"/>
  <c r="C8" i="26"/>
  <c r="D8" i="26"/>
  <c r="O8" i="26"/>
  <c r="P8" i="26"/>
  <c r="F9" i="26"/>
  <c r="G9" i="26"/>
  <c r="L9" i="26"/>
  <c r="M9" i="26"/>
  <c r="F7" i="27"/>
  <c r="G7" i="27"/>
  <c r="L7" i="27"/>
  <c r="M7" i="27"/>
  <c r="C8" i="27"/>
  <c r="D8" i="27"/>
  <c r="O8" i="27"/>
  <c r="P8" i="27"/>
  <c r="F9" i="27"/>
  <c r="G9" i="27"/>
  <c r="L9" i="27"/>
  <c r="M9" i="27"/>
  <c r="C10" i="29"/>
  <c r="D10" i="29"/>
  <c r="O10" i="29"/>
  <c r="P10" i="29"/>
  <c r="F11" i="29"/>
  <c r="G11" i="29"/>
  <c r="L11" i="29"/>
  <c r="M11" i="29"/>
  <c r="F12" i="29"/>
  <c r="G12" i="29"/>
  <c r="L12" i="29"/>
  <c r="M12" i="29"/>
  <c r="F13" i="29"/>
  <c r="G13" i="29"/>
  <c r="L13" i="29"/>
  <c r="M13" i="29"/>
  <c r="F14" i="29"/>
  <c r="G14" i="29"/>
  <c r="L14" i="29"/>
  <c r="M14" i="29"/>
  <c r="P9" i="29"/>
  <c r="O9" i="29"/>
  <c r="F14" i="30"/>
  <c r="F13" i="30"/>
  <c r="F12" i="30"/>
  <c r="F11" i="30"/>
  <c r="F9" i="30"/>
  <c r="F7" i="30"/>
  <c r="L14" i="30"/>
  <c r="L13" i="30"/>
  <c r="L12" i="30"/>
  <c r="L11" i="30"/>
  <c r="L9" i="30"/>
  <c r="L7" i="30"/>
  <c r="C7" i="30"/>
  <c r="D7" i="30"/>
  <c r="I7" i="30"/>
  <c r="J7" i="30"/>
  <c r="O7" i="30"/>
  <c r="P7" i="30"/>
  <c r="L8" i="30"/>
  <c r="M8" i="30"/>
  <c r="G9" i="30"/>
  <c r="M9" i="30"/>
  <c r="F10" i="30"/>
  <c r="G10" i="30"/>
  <c r="C11" i="30"/>
  <c r="D11" i="30"/>
  <c r="I11" i="30"/>
  <c r="J11" i="30"/>
  <c r="O11" i="30"/>
  <c r="P11" i="30"/>
  <c r="I12" i="30"/>
  <c r="J12" i="30"/>
  <c r="O12" i="30"/>
  <c r="P12" i="30"/>
  <c r="I13" i="30"/>
  <c r="J13" i="30"/>
  <c r="O13" i="30"/>
  <c r="P13" i="30"/>
  <c r="I14" i="30"/>
  <c r="J14" i="30"/>
  <c r="O14" i="30"/>
  <c r="P14" i="30"/>
  <c r="F7" i="31"/>
  <c r="G7" i="31"/>
  <c r="L7" i="31"/>
  <c r="M7" i="31"/>
  <c r="C8" i="31"/>
  <c r="D8" i="31"/>
  <c r="O8" i="31"/>
  <c r="P8" i="31"/>
  <c r="F9" i="31"/>
  <c r="G9" i="31"/>
  <c r="L9" i="31"/>
  <c r="M9" i="31"/>
  <c r="C10" i="31"/>
  <c r="D10" i="31"/>
  <c r="O10" i="31"/>
  <c r="P10" i="31"/>
  <c r="F11" i="31"/>
  <c r="G11" i="31"/>
  <c r="L11" i="31"/>
  <c r="M11" i="31"/>
  <c r="F12" i="31"/>
  <c r="G12" i="31"/>
  <c r="L12" i="31"/>
  <c r="M12" i="31"/>
  <c r="F13" i="31"/>
  <c r="G13" i="31"/>
  <c r="L13" i="31"/>
  <c r="M13" i="31"/>
  <c r="F14" i="31"/>
  <c r="G14" i="31"/>
  <c r="L14" i="31"/>
  <c r="M14" i="31"/>
  <c r="F14" i="32"/>
  <c r="F13" i="32"/>
  <c r="F12" i="32"/>
  <c r="F11" i="32"/>
  <c r="F9" i="32"/>
  <c r="F7" i="32"/>
  <c r="L14" i="32"/>
  <c r="L13" i="32"/>
  <c r="L12" i="32"/>
  <c r="L11" i="32"/>
  <c r="L9" i="32"/>
  <c r="L7" i="32"/>
  <c r="C7" i="32"/>
  <c r="D7" i="32"/>
  <c r="I7" i="32"/>
  <c r="J7" i="32"/>
  <c r="O7" i="32"/>
  <c r="P7" i="32"/>
  <c r="L8" i="32"/>
  <c r="M8" i="32"/>
  <c r="G9" i="32"/>
  <c r="M9" i="32"/>
  <c r="F10" i="32"/>
  <c r="G10" i="32"/>
  <c r="C11" i="32"/>
  <c r="D11" i="32"/>
  <c r="I11" i="32"/>
  <c r="J11" i="32"/>
  <c r="O11" i="32"/>
  <c r="P11" i="32"/>
  <c r="I12" i="32"/>
  <c r="J12" i="32"/>
  <c r="O12" i="32"/>
  <c r="P12" i="32"/>
  <c r="I13" i="32"/>
  <c r="J13" i="32"/>
  <c r="O13" i="32"/>
  <c r="P13" i="32"/>
  <c r="I14" i="32"/>
  <c r="J14" i="32"/>
  <c r="O14" i="32"/>
  <c r="P14" i="32"/>
  <c r="F7" i="33"/>
  <c r="G7" i="33"/>
  <c r="L7" i="33"/>
  <c r="M7" i="33"/>
  <c r="C8" i="33"/>
  <c r="D8" i="33"/>
  <c r="O8" i="33"/>
  <c r="P8" i="33"/>
  <c r="F9" i="33"/>
  <c r="G9" i="33"/>
  <c r="L9" i="33"/>
  <c r="M9" i="33"/>
  <c r="C10" i="35"/>
  <c r="D10" i="35"/>
  <c r="O10" i="35"/>
  <c r="P10" i="35"/>
  <c r="F11" i="35"/>
  <c r="G11" i="35"/>
  <c r="L11" i="35"/>
  <c r="M11" i="35"/>
  <c r="F12" i="35"/>
  <c r="G12" i="35"/>
  <c r="L12" i="35"/>
  <c r="M12" i="35"/>
  <c r="F13" i="35"/>
  <c r="G13" i="35"/>
  <c r="L13" i="35"/>
  <c r="M13" i="35"/>
  <c r="F14" i="35"/>
  <c r="G14" i="35"/>
  <c r="L14" i="35"/>
  <c r="M14" i="35"/>
  <c r="P9" i="35"/>
  <c r="O9" i="35"/>
  <c r="F14" i="36"/>
  <c r="F13" i="36"/>
  <c r="F12" i="36"/>
  <c r="F11" i="36"/>
  <c r="F9" i="36"/>
  <c r="F7" i="36"/>
  <c r="L14" i="36"/>
  <c r="L13" i="36"/>
  <c r="L12" i="36"/>
  <c r="L11" i="36"/>
  <c r="M10" i="36"/>
  <c r="L9" i="36"/>
  <c r="L7" i="36"/>
  <c r="C7" i="36"/>
  <c r="D7" i="36"/>
  <c r="I7" i="36"/>
  <c r="J7" i="36"/>
  <c r="O7" i="36"/>
  <c r="P7" i="36"/>
  <c r="L8" i="36"/>
  <c r="M8" i="36"/>
  <c r="G9" i="36"/>
  <c r="M9" i="36"/>
  <c r="F10" i="36"/>
  <c r="G10" i="36"/>
  <c r="F8" i="38"/>
  <c r="G8" i="38"/>
  <c r="L10" i="38"/>
  <c r="M10" i="38"/>
  <c r="J10" i="38"/>
  <c r="I10" i="38"/>
  <c r="F14" i="39"/>
  <c r="F13" i="39"/>
  <c r="F12" i="39"/>
  <c r="F11" i="39"/>
  <c r="F9" i="39"/>
  <c r="F7" i="39"/>
  <c r="L14" i="39"/>
  <c r="L13" i="39"/>
  <c r="L12" i="39"/>
  <c r="L11" i="39"/>
  <c r="L9" i="39"/>
  <c r="L7" i="39"/>
  <c r="M10" i="39"/>
  <c r="C7" i="39"/>
  <c r="D7" i="39"/>
  <c r="I7" i="39"/>
  <c r="J7" i="39"/>
  <c r="O7" i="39"/>
  <c r="P7" i="39"/>
  <c r="L8" i="39"/>
  <c r="M8" i="39"/>
  <c r="G9" i="39"/>
  <c r="M9" i="39"/>
  <c r="F10" i="39"/>
  <c r="G10" i="39"/>
  <c r="F7" i="41"/>
  <c r="G7" i="41"/>
  <c r="L7" i="41"/>
  <c r="M7" i="41"/>
  <c r="C8" i="41"/>
  <c r="D8" i="41"/>
  <c r="O8" i="41"/>
  <c r="P8" i="41"/>
  <c r="F9" i="41"/>
  <c r="G9" i="41"/>
  <c r="L9" i="41"/>
  <c r="M9" i="41"/>
  <c r="C10" i="41"/>
  <c r="D10" i="41"/>
  <c r="O10" i="41"/>
  <c r="P10" i="41"/>
  <c r="F11" i="41"/>
  <c r="G11" i="41"/>
  <c r="L11" i="41"/>
  <c r="M11" i="41"/>
  <c r="F12" i="41"/>
  <c r="G12" i="41"/>
  <c r="L12" i="41"/>
  <c r="M12" i="41"/>
  <c r="F13" i="41"/>
  <c r="G13" i="41"/>
  <c r="L13" i="41"/>
  <c r="M13" i="41"/>
  <c r="F14" i="41"/>
  <c r="G14" i="41"/>
  <c r="L14" i="41"/>
  <c r="M14" i="41"/>
  <c r="C7" i="42"/>
  <c r="I7" i="42"/>
  <c r="O7" i="42"/>
  <c r="D8" i="42"/>
  <c r="J8" i="42"/>
  <c r="P8" i="42"/>
  <c r="C9" i="42"/>
  <c r="I9" i="42"/>
  <c r="O9" i="42"/>
  <c r="D10" i="42"/>
  <c r="J10" i="42"/>
  <c r="P10" i="42"/>
  <c r="I11" i="42"/>
  <c r="O11" i="42"/>
  <c r="I12" i="42"/>
  <c r="O12" i="42"/>
  <c r="I13" i="42"/>
  <c r="P13" i="42"/>
  <c r="F14" i="43"/>
  <c r="F13" i="43"/>
  <c r="F12" i="43"/>
  <c r="F11" i="43"/>
  <c r="F9" i="43"/>
  <c r="F7" i="43"/>
  <c r="L14" i="43"/>
  <c r="L13" i="43"/>
  <c r="L12" i="43"/>
  <c r="L11" i="43"/>
  <c r="L9" i="43"/>
  <c r="L7" i="43"/>
  <c r="C7" i="43"/>
  <c r="D7" i="43"/>
  <c r="I7" i="43"/>
  <c r="J7" i="43"/>
  <c r="O7" i="43"/>
  <c r="P7" i="43"/>
  <c r="L8" i="43"/>
  <c r="M8" i="43"/>
  <c r="G9" i="43"/>
  <c r="M9" i="43"/>
  <c r="F10" i="43"/>
  <c r="G10" i="43"/>
  <c r="C11" i="43"/>
  <c r="D11" i="43"/>
  <c r="I11" i="43"/>
  <c r="J11" i="43"/>
  <c r="O11" i="43"/>
  <c r="P11" i="43"/>
  <c r="I12" i="43"/>
  <c r="J12" i="43"/>
  <c r="O12" i="43"/>
  <c r="P12" i="43"/>
  <c r="I13" i="43"/>
  <c r="J13" i="43"/>
  <c r="O13" i="43"/>
  <c r="P13" i="43"/>
  <c r="I14" i="43"/>
  <c r="J14" i="43"/>
  <c r="O14" i="43"/>
  <c r="P14" i="43"/>
  <c r="F8" i="45"/>
  <c r="G8" i="45"/>
  <c r="C9" i="45"/>
  <c r="D9" i="45"/>
  <c r="I9" i="45"/>
  <c r="J9" i="45"/>
  <c r="O9" i="45"/>
  <c r="P9" i="45"/>
  <c r="L10" i="45"/>
  <c r="M10" i="45"/>
  <c r="F7" i="47"/>
  <c r="G7" i="47"/>
  <c r="L7" i="47"/>
  <c r="M7" i="47"/>
  <c r="C8" i="47"/>
  <c r="D8" i="47"/>
  <c r="O8" i="47"/>
  <c r="P8" i="47"/>
  <c r="F9" i="47"/>
  <c r="G9" i="47"/>
  <c r="L9" i="47"/>
  <c r="M9" i="47"/>
  <c r="C10" i="47"/>
  <c r="D10" i="47"/>
  <c r="O10" i="47"/>
  <c r="P10" i="47"/>
  <c r="F11" i="47"/>
  <c r="G11" i="47"/>
  <c r="L11" i="47"/>
  <c r="M11" i="47"/>
  <c r="F12" i="47"/>
  <c r="G12" i="47"/>
  <c r="L12" i="47"/>
  <c r="M12" i="47"/>
  <c r="F13" i="47"/>
  <c r="G13" i="47"/>
  <c r="L13" i="47"/>
  <c r="M13" i="47"/>
  <c r="F14" i="47"/>
  <c r="G14" i="47"/>
  <c r="L14" i="47"/>
  <c r="M14" i="47"/>
  <c r="D10" i="23"/>
  <c r="F10" i="23"/>
  <c r="J10" i="23"/>
  <c r="L10" i="23"/>
  <c r="P10" i="23"/>
  <c r="C11" i="23"/>
  <c r="G11" i="23"/>
  <c r="I11" i="23"/>
  <c r="M11" i="23"/>
  <c r="O11" i="23"/>
  <c r="G12" i="23"/>
  <c r="I12" i="23"/>
  <c r="M12" i="23"/>
  <c r="O12" i="23"/>
  <c r="G13" i="23"/>
  <c r="I13" i="23"/>
  <c r="M13" i="23"/>
  <c r="O13" i="23"/>
  <c r="G14" i="23"/>
  <c r="I14" i="23"/>
  <c r="M14" i="23"/>
  <c r="O14" i="23"/>
  <c r="D7" i="24"/>
  <c r="J7" i="24"/>
  <c r="P7" i="24"/>
  <c r="C8" i="24"/>
  <c r="I8" i="24"/>
  <c r="O8" i="24"/>
  <c r="D9" i="24"/>
  <c r="J9" i="24"/>
  <c r="C7" i="26"/>
  <c r="I7" i="26"/>
  <c r="C10" i="26"/>
  <c r="I10" i="26"/>
  <c r="O10" i="26"/>
  <c r="D11" i="26"/>
  <c r="J11" i="26"/>
  <c r="P11" i="26"/>
  <c r="J12" i="26"/>
  <c r="P12" i="26"/>
  <c r="J13" i="26"/>
  <c r="P13" i="26"/>
  <c r="J14" i="26"/>
  <c r="P14" i="26"/>
  <c r="P9" i="26"/>
  <c r="C7" i="27"/>
  <c r="I7" i="27"/>
  <c r="C10" i="27"/>
  <c r="I10" i="27"/>
  <c r="O10" i="27"/>
  <c r="D11" i="27"/>
  <c r="J11" i="27"/>
  <c r="P11" i="27"/>
  <c r="J12" i="27"/>
  <c r="P12" i="27"/>
  <c r="J13" i="27"/>
  <c r="P13" i="27"/>
  <c r="J14" i="27"/>
  <c r="P14" i="27"/>
  <c r="P9" i="27"/>
  <c r="G7" i="28"/>
  <c r="M7" i="28"/>
  <c r="F8" i="28"/>
  <c r="L8" i="28"/>
  <c r="G9" i="28"/>
  <c r="M9" i="28"/>
  <c r="F10" i="28"/>
  <c r="L10" i="28"/>
  <c r="G11" i="28"/>
  <c r="M11" i="28"/>
  <c r="G12" i="28"/>
  <c r="M12" i="28"/>
  <c r="G13" i="28"/>
  <c r="M13" i="28"/>
  <c r="G14" i="28"/>
  <c r="M14" i="28"/>
  <c r="D7" i="29"/>
  <c r="J7" i="29"/>
  <c r="P7" i="29"/>
  <c r="C8" i="29"/>
  <c r="I8" i="29"/>
  <c r="O8" i="29"/>
  <c r="D9" i="29"/>
  <c r="J9" i="29"/>
  <c r="C7" i="31"/>
  <c r="I7" i="31"/>
  <c r="O7" i="31"/>
  <c r="C9" i="31"/>
  <c r="I9" i="31"/>
  <c r="O9" i="31"/>
  <c r="I11" i="31"/>
  <c r="O11" i="31"/>
  <c r="I12" i="31"/>
  <c r="O12" i="31"/>
  <c r="I13" i="31"/>
  <c r="O13" i="31"/>
  <c r="C7" i="33"/>
  <c r="I7" i="33"/>
  <c r="C10" i="33"/>
  <c r="I10" i="33"/>
  <c r="O10" i="33"/>
  <c r="D11" i="33"/>
  <c r="J11" i="33"/>
  <c r="P11" i="33"/>
  <c r="J12" i="33"/>
  <c r="P12" i="33"/>
  <c r="J13" i="33"/>
  <c r="P13" i="33"/>
  <c r="J14" i="33"/>
  <c r="P14" i="33"/>
  <c r="P9" i="33"/>
  <c r="G7" i="34"/>
  <c r="M7" i="34"/>
  <c r="F8" i="34"/>
  <c r="L8" i="34"/>
  <c r="G9" i="34"/>
  <c r="M9" i="34"/>
  <c r="F10" i="34"/>
  <c r="L10" i="34"/>
  <c r="G11" i="34"/>
  <c r="M11" i="34"/>
  <c r="G12" i="34"/>
  <c r="M12" i="34"/>
  <c r="G13" i="34"/>
  <c r="M13" i="34"/>
  <c r="G14" i="34"/>
  <c r="M14" i="34"/>
  <c r="D7" i="35"/>
  <c r="J7" i="35"/>
  <c r="P7" i="35"/>
  <c r="C8" i="35"/>
  <c r="I8" i="35"/>
  <c r="O8" i="35"/>
  <c r="D9" i="35"/>
  <c r="J9" i="35"/>
  <c r="C7" i="37"/>
  <c r="I7" i="37"/>
  <c r="O7" i="37"/>
  <c r="D8" i="37"/>
  <c r="C9" i="37"/>
  <c r="J9" i="37"/>
  <c r="I9" i="37"/>
  <c r="H23" i="37"/>
  <c r="H10" i="37" s="1"/>
  <c r="F14" i="38"/>
  <c r="F13" i="38"/>
  <c r="F12" i="38"/>
  <c r="F11" i="38"/>
  <c r="F7" i="38"/>
  <c r="L14" i="38"/>
  <c r="L13" i="38"/>
  <c r="L12" i="38"/>
  <c r="L11" i="38"/>
  <c r="L7" i="38"/>
  <c r="C7" i="38"/>
  <c r="D7" i="38"/>
  <c r="I7" i="38"/>
  <c r="J7" i="38"/>
  <c r="O7" i="38"/>
  <c r="P7" i="38"/>
  <c r="L8" i="38"/>
  <c r="M8" i="38"/>
  <c r="G10" i="38"/>
  <c r="C11" i="38"/>
  <c r="D11" i="38"/>
  <c r="I11" i="38"/>
  <c r="J11" i="38"/>
  <c r="O11" i="38"/>
  <c r="P11" i="38"/>
  <c r="I12" i="38"/>
  <c r="J12" i="38"/>
  <c r="O12" i="38"/>
  <c r="P12" i="38"/>
  <c r="I13" i="38"/>
  <c r="J13" i="38"/>
  <c r="O13" i="38"/>
  <c r="P13" i="38"/>
  <c r="I14" i="38"/>
  <c r="J14" i="38"/>
  <c r="O14" i="38"/>
  <c r="P14" i="38"/>
  <c r="G7" i="39"/>
  <c r="M7" i="39"/>
  <c r="F8" i="39"/>
  <c r="G8" i="39"/>
  <c r="C9" i="39"/>
  <c r="D9" i="39"/>
  <c r="I9" i="39"/>
  <c r="J9" i="39"/>
  <c r="O9" i="39"/>
  <c r="P9" i="39"/>
  <c r="G11" i="39"/>
  <c r="M11" i="39"/>
  <c r="G12" i="39"/>
  <c r="M12" i="39"/>
  <c r="G13" i="39"/>
  <c r="M13" i="39"/>
  <c r="G14" i="39"/>
  <c r="M14" i="39"/>
  <c r="P10" i="39"/>
  <c r="O10" i="39"/>
  <c r="C7" i="40"/>
  <c r="I7" i="40"/>
  <c r="O7" i="40"/>
  <c r="D8" i="40"/>
  <c r="J8" i="40"/>
  <c r="P8" i="40"/>
  <c r="C9" i="40"/>
  <c r="I9" i="40"/>
  <c r="O9" i="40"/>
  <c r="D10" i="40"/>
  <c r="J10" i="40"/>
  <c r="P10" i="40"/>
  <c r="I11" i="40"/>
  <c r="O11" i="40"/>
  <c r="I12" i="40"/>
  <c r="O12" i="40"/>
  <c r="I13" i="40"/>
  <c r="O13" i="40"/>
  <c r="I8" i="41"/>
  <c r="J8" i="41"/>
  <c r="I10" i="41"/>
  <c r="J10" i="41"/>
  <c r="J10" i="36"/>
  <c r="L10" i="36"/>
  <c r="P10" i="36"/>
  <c r="C11" i="36"/>
  <c r="G11" i="36"/>
  <c r="I11" i="36"/>
  <c r="M11" i="36"/>
  <c r="O11" i="36"/>
  <c r="G12" i="36"/>
  <c r="I12" i="36"/>
  <c r="M12" i="36"/>
  <c r="O12" i="36"/>
  <c r="G13" i="36"/>
  <c r="I13" i="36"/>
  <c r="M13" i="36"/>
  <c r="O13" i="36"/>
  <c r="G14" i="36"/>
  <c r="I14" i="36"/>
  <c r="M14" i="36"/>
  <c r="O14" i="36"/>
  <c r="D7" i="37"/>
  <c r="J7" i="37"/>
  <c r="P7" i="37"/>
  <c r="C8" i="37"/>
  <c r="I8" i="37"/>
  <c r="O8" i="37"/>
  <c r="D9" i="37"/>
  <c r="C10" i="37"/>
  <c r="O10" i="37"/>
  <c r="D11" i="37"/>
  <c r="J11" i="37"/>
  <c r="P11" i="37"/>
  <c r="J12" i="37"/>
  <c r="P12" i="37"/>
  <c r="J13" i="37"/>
  <c r="P13" i="37"/>
  <c r="J14" i="37"/>
  <c r="P14" i="37"/>
  <c r="G9" i="38"/>
  <c r="M9" i="38"/>
  <c r="F10" i="38"/>
  <c r="N22" i="38"/>
  <c r="N9" i="38" s="1"/>
  <c r="N8" i="38"/>
  <c r="L10" i="39"/>
  <c r="D7" i="40"/>
  <c r="J7" i="40"/>
  <c r="P7" i="40"/>
  <c r="C8" i="40"/>
  <c r="I8" i="40"/>
  <c r="O8" i="40"/>
  <c r="D9" i="40"/>
  <c r="J9" i="40"/>
  <c r="P9" i="40"/>
  <c r="C10" i="40"/>
  <c r="I10" i="40"/>
  <c r="O10" i="40"/>
  <c r="D11" i="40"/>
  <c r="J11" i="40"/>
  <c r="P11" i="40"/>
  <c r="J12" i="40"/>
  <c r="P12" i="40"/>
  <c r="J13" i="40"/>
  <c r="P13" i="40"/>
  <c r="J14" i="40"/>
  <c r="P14" i="40"/>
  <c r="C7" i="41"/>
  <c r="I7" i="41"/>
  <c r="O7" i="41"/>
  <c r="C9" i="41"/>
  <c r="I9" i="41"/>
  <c r="O9" i="41"/>
  <c r="I11" i="41"/>
  <c r="O11" i="41"/>
  <c r="I12" i="41"/>
  <c r="O12" i="41"/>
  <c r="I13" i="41"/>
  <c r="O13" i="41"/>
  <c r="D7" i="42"/>
  <c r="J7" i="42"/>
  <c r="P7" i="42"/>
  <c r="C8" i="42"/>
  <c r="I8" i="42"/>
  <c r="O8" i="42"/>
  <c r="D9" i="42"/>
  <c r="J9" i="42"/>
  <c r="P9" i="42"/>
  <c r="C10" i="42"/>
  <c r="I10" i="42"/>
  <c r="O10" i="42"/>
  <c r="D11" i="42"/>
  <c r="J11" i="42"/>
  <c r="P11" i="42"/>
  <c r="J12" i="42"/>
  <c r="P12" i="42"/>
  <c r="J13" i="42"/>
  <c r="G7" i="43"/>
  <c r="M7" i="43"/>
  <c r="F8" i="43"/>
  <c r="G8" i="43"/>
  <c r="C9" i="43"/>
  <c r="D9" i="43"/>
  <c r="I9" i="43"/>
  <c r="J9" i="43"/>
  <c r="O9" i="43"/>
  <c r="P9" i="43"/>
  <c r="L10" i="43"/>
  <c r="M10" i="43"/>
  <c r="G11" i="43"/>
  <c r="M11" i="43"/>
  <c r="G12" i="43"/>
  <c r="M12" i="43"/>
  <c r="G13" i="43"/>
  <c r="M13" i="43"/>
  <c r="G14" i="43"/>
  <c r="M14" i="43"/>
  <c r="F12" i="45"/>
  <c r="F11" i="45"/>
  <c r="F9" i="45"/>
  <c r="F7" i="45"/>
  <c r="L11" i="45"/>
  <c r="L9" i="45"/>
  <c r="L7" i="45"/>
  <c r="C7" i="45"/>
  <c r="D7" i="45"/>
  <c r="I7" i="45"/>
  <c r="J7" i="45"/>
  <c r="O7" i="45"/>
  <c r="P7" i="45"/>
  <c r="L8" i="45"/>
  <c r="M8" i="45"/>
  <c r="G9" i="45"/>
  <c r="M9" i="45"/>
  <c r="F10" i="45"/>
  <c r="G10" i="45"/>
  <c r="C11" i="45"/>
  <c r="D11" i="45"/>
  <c r="I11" i="45"/>
  <c r="J11" i="45"/>
  <c r="O11" i="45"/>
  <c r="P11" i="45"/>
  <c r="J12" i="45"/>
  <c r="I12" i="45"/>
  <c r="O13" i="42"/>
  <c r="G14" i="42"/>
  <c r="I14" i="42"/>
  <c r="M14" i="42"/>
  <c r="O14" i="42"/>
  <c r="G7" i="44"/>
  <c r="M7" i="44"/>
  <c r="F8" i="44"/>
  <c r="L8" i="44"/>
  <c r="G9" i="44"/>
  <c r="M9" i="44"/>
  <c r="F10" i="44"/>
  <c r="L10" i="44"/>
  <c r="G11" i="44"/>
  <c r="M11" i="44"/>
  <c r="G12" i="44"/>
  <c r="M12" i="44"/>
  <c r="G13" i="44"/>
  <c r="M13" i="44"/>
  <c r="G14" i="44"/>
  <c r="M14" i="44"/>
  <c r="L12" i="45"/>
  <c r="M12" i="45"/>
  <c r="F13" i="45"/>
  <c r="G13" i="45"/>
  <c r="L13" i="45"/>
  <c r="M13" i="45"/>
  <c r="F14" i="45"/>
  <c r="G14" i="45"/>
  <c r="L14" i="45"/>
  <c r="M14" i="45"/>
  <c r="C7" i="46"/>
  <c r="I7" i="46"/>
  <c r="O7" i="46"/>
  <c r="D8" i="46"/>
  <c r="J8" i="46"/>
  <c r="P8" i="46"/>
  <c r="C9" i="46"/>
  <c r="I9" i="46"/>
  <c r="O9" i="46"/>
  <c r="D10" i="46"/>
  <c r="J10" i="46"/>
  <c r="P10" i="46"/>
  <c r="I11" i="46"/>
  <c r="O11" i="46"/>
  <c r="I12" i="46"/>
  <c r="O12" i="46"/>
  <c r="I13" i="46"/>
  <c r="O13" i="46"/>
  <c r="I8" i="47"/>
  <c r="J8" i="47"/>
  <c r="I10" i="47"/>
  <c r="J10" i="47"/>
  <c r="O12" i="45"/>
  <c r="I13" i="45"/>
  <c r="O13" i="45"/>
  <c r="D7" i="46"/>
  <c r="J7" i="46"/>
  <c r="P7" i="46"/>
  <c r="C8" i="46"/>
  <c r="I8" i="46"/>
  <c r="O8" i="46"/>
  <c r="D9" i="46"/>
  <c r="J9" i="46"/>
  <c r="P9" i="46"/>
  <c r="C10" i="46"/>
  <c r="I10" i="46"/>
  <c r="O10" i="46"/>
  <c r="D11" i="46"/>
  <c r="J11" i="46"/>
  <c r="P11" i="46"/>
  <c r="J12" i="46"/>
  <c r="P12" i="46"/>
  <c r="J13" i="46"/>
  <c r="P13" i="46"/>
  <c r="J14" i="46"/>
  <c r="P14" i="46"/>
  <c r="C7" i="47"/>
  <c r="I7" i="47"/>
  <c r="O7" i="47"/>
  <c r="C9" i="47"/>
  <c r="I9" i="47"/>
  <c r="O9" i="47"/>
  <c r="I11" i="47"/>
  <c r="O11" i="47"/>
  <c r="I12" i="47"/>
  <c r="O12" i="47"/>
  <c r="I13" i="47"/>
  <c r="O13" i="47"/>
  <c r="M11" i="4" l="1"/>
  <c r="M13" i="5"/>
  <c r="M12" i="6"/>
  <c r="M13" i="1"/>
  <c r="K12" i="6"/>
  <c r="J11" i="7"/>
  <c r="K13" i="1"/>
  <c r="H11" i="1"/>
  <c r="M6" i="4"/>
  <c r="M7" i="2"/>
  <c r="I11" i="1"/>
  <c r="E11" i="4"/>
  <c r="C11" i="6"/>
  <c r="I11" i="5"/>
  <c r="M13" i="4"/>
  <c r="H11" i="7"/>
  <c r="K13" i="5"/>
  <c r="E7" i="2"/>
  <c r="M6" i="6"/>
  <c r="E7" i="4"/>
  <c r="E7" i="6"/>
  <c r="M7" i="4"/>
  <c r="M12" i="1"/>
  <c r="M7" i="6"/>
  <c r="C11" i="2"/>
  <c r="K12" i="1"/>
  <c r="C11" i="4"/>
  <c r="M6" i="2"/>
  <c r="P8" i="38"/>
  <c r="O8" i="38"/>
  <c r="I10" i="37"/>
  <c r="J10" i="37"/>
  <c r="G9" i="7"/>
  <c r="F9" i="7"/>
  <c r="B9" i="7"/>
  <c r="C9" i="7" s="1"/>
  <c r="L9" i="7"/>
  <c r="D9" i="7"/>
  <c r="E6" i="7"/>
  <c r="K6" i="6"/>
  <c r="H13" i="6"/>
  <c r="H12" i="6"/>
  <c r="J6" i="6"/>
  <c r="G9" i="5"/>
  <c r="F9" i="5"/>
  <c r="B9" i="5"/>
  <c r="C9" i="5" s="1"/>
  <c r="L9" i="5"/>
  <c r="M9" i="5" s="1"/>
  <c r="D9" i="5"/>
  <c r="E9" i="5" s="1"/>
  <c r="E6" i="5"/>
  <c r="K6" i="4"/>
  <c r="H13" i="4"/>
  <c r="H12" i="4"/>
  <c r="J6" i="4"/>
  <c r="G9" i="3"/>
  <c r="F9" i="3"/>
  <c r="B9" i="3"/>
  <c r="C9" i="3" s="1"/>
  <c r="L9" i="3"/>
  <c r="D9" i="3"/>
  <c r="E6" i="3"/>
  <c r="K6" i="2"/>
  <c r="H13" i="2"/>
  <c r="H12" i="2"/>
  <c r="J6" i="2"/>
  <c r="G9" i="1"/>
  <c r="F9" i="1"/>
  <c r="B9" i="1"/>
  <c r="C9" i="1" s="1"/>
  <c r="L9" i="1"/>
  <c r="D9" i="1"/>
  <c r="E6" i="1"/>
  <c r="M14" i="7"/>
  <c r="C7" i="7"/>
  <c r="L8" i="7"/>
  <c r="M8" i="7" s="1"/>
  <c r="F8" i="7"/>
  <c r="D8" i="7"/>
  <c r="B8" i="7"/>
  <c r="C8" i="7" s="1"/>
  <c r="G8" i="7"/>
  <c r="J7" i="7"/>
  <c r="I14" i="6"/>
  <c r="H14" i="6"/>
  <c r="K14" i="6"/>
  <c r="K11" i="6"/>
  <c r="L10" i="6"/>
  <c r="F10" i="6"/>
  <c r="D10" i="6"/>
  <c r="B10" i="6"/>
  <c r="C10" i="6" s="1"/>
  <c r="G10" i="6"/>
  <c r="H7" i="6"/>
  <c r="M14" i="5"/>
  <c r="C7" i="5"/>
  <c r="L8" i="5"/>
  <c r="M8" i="5" s="1"/>
  <c r="F8" i="5"/>
  <c r="D8" i="5"/>
  <c r="B8" i="5"/>
  <c r="C8" i="5" s="1"/>
  <c r="G8" i="5"/>
  <c r="J7" i="5"/>
  <c r="I14" i="4"/>
  <c r="H14" i="4"/>
  <c r="K14" i="4"/>
  <c r="K11" i="4"/>
  <c r="L10" i="4"/>
  <c r="F10" i="4"/>
  <c r="D10" i="4"/>
  <c r="B10" i="4"/>
  <c r="C10" i="4" s="1"/>
  <c r="G10" i="4"/>
  <c r="H7" i="4"/>
  <c r="M14" i="3"/>
  <c r="C7" i="3"/>
  <c r="L8" i="3"/>
  <c r="M8" i="3" s="1"/>
  <c r="F8" i="3"/>
  <c r="D8" i="3"/>
  <c r="B8" i="3"/>
  <c r="C8" i="3" s="1"/>
  <c r="G8" i="3"/>
  <c r="J7" i="3"/>
  <c r="I14" i="2"/>
  <c r="H14" i="2"/>
  <c r="K14" i="2"/>
  <c r="K11" i="2"/>
  <c r="L10" i="2"/>
  <c r="F10" i="2"/>
  <c r="D10" i="2"/>
  <c r="B10" i="2"/>
  <c r="C10" i="2" s="1"/>
  <c r="G10" i="2"/>
  <c r="H7" i="2"/>
  <c r="M14" i="1"/>
  <c r="C7" i="1"/>
  <c r="L8" i="1"/>
  <c r="M8" i="1" s="1"/>
  <c r="F8" i="1"/>
  <c r="D8" i="1"/>
  <c r="B8" i="1"/>
  <c r="C8" i="1" s="1"/>
  <c r="G8" i="1"/>
  <c r="J7" i="1"/>
  <c r="O9" i="38"/>
  <c r="P9" i="38"/>
  <c r="K6" i="7"/>
  <c r="H13" i="7"/>
  <c r="H12" i="7"/>
  <c r="J6" i="7"/>
  <c r="H11" i="6"/>
  <c r="G9" i="6"/>
  <c r="F9" i="6"/>
  <c r="B9" i="6"/>
  <c r="C9" i="6" s="1"/>
  <c r="L9" i="6"/>
  <c r="D9" i="6"/>
  <c r="E9" i="6" s="1"/>
  <c r="K6" i="5"/>
  <c r="H13" i="5"/>
  <c r="H12" i="5"/>
  <c r="J6" i="5"/>
  <c r="H11" i="4"/>
  <c r="G9" i="4"/>
  <c r="F9" i="4"/>
  <c r="B9" i="4"/>
  <c r="C9" i="4" s="1"/>
  <c r="L9" i="4"/>
  <c r="D9" i="4"/>
  <c r="K6" i="3"/>
  <c r="H13" i="3"/>
  <c r="H12" i="3"/>
  <c r="J6" i="3"/>
  <c r="H11" i="2"/>
  <c r="G9" i="2"/>
  <c r="F9" i="2"/>
  <c r="B9" i="2"/>
  <c r="C9" i="2" s="1"/>
  <c r="L9" i="2"/>
  <c r="M9" i="2" s="1"/>
  <c r="D9" i="2"/>
  <c r="K6" i="1"/>
  <c r="H13" i="1"/>
  <c r="H12" i="1"/>
  <c r="J6" i="1"/>
  <c r="I14" i="7"/>
  <c r="H14" i="7"/>
  <c r="K14" i="7"/>
  <c r="K11" i="7"/>
  <c r="C11" i="7"/>
  <c r="E7" i="7"/>
  <c r="M7" i="7"/>
  <c r="L10" i="7"/>
  <c r="F10" i="7"/>
  <c r="D10" i="7"/>
  <c r="B10" i="7"/>
  <c r="C10" i="7" s="1"/>
  <c r="G10" i="7"/>
  <c r="H7" i="7"/>
  <c r="M14" i="6"/>
  <c r="C7" i="6"/>
  <c r="L8" i="6"/>
  <c r="F8" i="6"/>
  <c r="D8" i="6"/>
  <c r="B8" i="6"/>
  <c r="C8" i="6" s="1"/>
  <c r="G8" i="6"/>
  <c r="K7" i="6"/>
  <c r="J7" i="6"/>
  <c r="I14" i="5"/>
  <c r="H14" i="5"/>
  <c r="K14" i="5"/>
  <c r="K11" i="5"/>
  <c r="C11" i="5"/>
  <c r="E7" i="5"/>
  <c r="M7" i="5"/>
  <c r="L10" i="5"/>
  <c r="F10" i="5"/>
  <c r="D10" i="5"/>
  <c r="B10" i="5"/>
  <c r="C10" i="5" s="1"/>
  <c r="G10" i="5"/>
  <c r="H7" i="5"/>
  <c r="M14" i="4"/>
  <c r="C7" i="4"/>
  <c r="L8" i="4"/>
  <c r="F8" i="4"/>
  <c r="D8" i="4"/>
  <c r="B8" i="4"/>
  <c r="C8" i="4" s="1"/>
  <c r="G8" i="4"/>
  <c r="K7" i="4"/>
  <c r="J7" i="4"/>
  <c r="I14" i="3"/>
  <c r="H14" i="3"/>
  <c r="K14" i="3"/>
  <c r="K11" i="3"/>
  <c r="C11" i="3"/>
  <c r="E7" i="3"/>
  <c r="M7" i="3"/>
  <c r="L10" i="3"/>
  <c r="F10" i="3"/>
  <c r="D10" i="3"/>
  <c r="B10" i="3"/>
  <c r="C10" i="3" s="1"/>
  <c r="G10" i="3"/>
  <c r="H7" i="3"/>
  <c r="M14" i="2"/>
  <c r="C7" i="2"/>
  <c r="L8" i="2"/>
  <c r="F8" i="2"/>
  <c r="D8" i="2"/>
  <c r="B8" i="2"/>
  <c r="C8" i="2" s="1"/>
  <c r="G8" i="2"/>
  <c r="K7" i="2"/>
  <c r="J7" i="2"/>
  <c r="I14" i="1"/>
  <c r="H14" i="1"/>
  <c r="K14" i="1"/>
  <c r="K11" i="1"/>
  <c r="C11" i="1"/>
  <c r="E7" i="1"/>
  <c r="M7" i="1"/>
  <c r="L10" i="1"/>
  <c r="F10" i="1"/>
  <c r="D10" i="1"/>
  <c r="B10" i="1"/>
  <c r="C10" i="1" s="1"/>
  <c r="G10" i="1"/>
  <c r="H7" i="1"/>
  <c r="E8" i="5" l="1"/>
  <c r="M9" i="6"/>
  <c r="E9" i="3"/>
  <c r="M9" i="3"/>
  <c r="E9" i="2"/>
  <c r="M9" i="7"/>
  <c r="E10" i="2"/>
  <c r="E10" i="4"/>
  <c r="E10" i="6"/>
  <c r="M10" i="2"/>
  <c r="M10" i="4"/>
  <c r="M10" i="6"/>
  <c r="E9" i="4"/>
  <c r="M9" i="4"/>
  <c r="E8" i="1"/>
  <c r="E8" i="3"/>
  <c r="E8" i="7"/>
  <c r="E9" i="1"/>
  <c r="E9" i="7"/>
  <c r="J10" i="1"/>
  <c r="H10" i="1"/>
  <c r="I10" i="1"/>
  <c r="K10" i="1"/>
  <c r="E10" i="1"/>
  <c r="M10" i="1"/>
  <c r="J8" i="2"/>
  <c r="H8" i="2"/>
  <c r="K8" i="2"/>
  <c r="I8" i="2"/>
  <c r="E8" i="2"/>
  <c r="M8" i="2"/>
  <c r="J10" i="3"/>
  <c r="H10" i="3"/>
  <c r="I10" i="3"/>
  <c r="K10" i="3"/>
  <c r="E10" i="3"/>
  <c r="M10" i="3"/>
  <c r="J8" i="4"/>
  <c r="H8" i="4"/>
  <c r="K8" i="4"/>
  <c r="I8" i="4"/>
  <c r="E8" i="4"/>
  <c r="M8" i="4"/>
  <c r="J10" i="5"/>
  <c r="H10" i="5"/>
  <c r="I10" i="5"/>
  <c r="K10" i="5"/>
  <c r="E10" i="5"/>
  <c r="M10" i="5"/>
  <c r="J8" i="6"/>
  <c r="H8" i="6"/>
  <c r="K8" i="6"/>
  <c r="I8" i="6"/>
  <c r="E8" i="6"/>
  <c r="M8" i="6"/>
  <c r="J10" i="7"/>
  <c r="H10" i="7"/>
  <c r="I10" i="7"/>
  <c r="K10" i="7"/>
  <c r="E10" i="7"/>
  <c r="M10" i="7"/>
  <c r="K9" i="2"/>
  <c r="I9" i="2"/>
  <c r="J9" i="2"/>
  <c r="H9" i="2"/>
  <c r="K9" i="4"/>
  <c r="I9" i="4"/>
  <c r="J9" i="4"/>
  <c r="H9" i="4"/>
  <c r="K9" i="6"/>
  <c r="I9" i="6"/>
  <c r="J9" i="6"/>
  <c r="H9" i="6"/>
  <c r="M9" i="1"/>
  <c r="J8" i="1"/>
  <c r="H8" i="1"/>
  <c r="K8" i="1"/>
  <c r="I8" i="1"/>
  <c r="J10" i="2"/>
  <c r="H10" i="2"/>
  <c r="I10" i="2"/>
  <c r="K10" i="2"/>
  <c r="J8" i="3"/>
  <c r="H8" i="3"/>
  <c r="K8" i="3"/>
  <c r="I8" i="3"/>
  <c r="J10" i="4"/>
  <c r="H10" i="4"/>
  <c r="I10" i="4"/>
  <c r="K10" i="4"/>
  <c r="J8" i="5"/>
  <c r="H8" i="5"/>
  <c r="K8" i="5"/>
  <c r="I8" i="5"/>
  <c r="J10" i="6"/>
  <c r="H10" i="6"/>
  <c r="I10" i="6"/>
  <c r="K10" i="6"/>
  <c r="J8" i="7"/>
  <c r="H8" i="7"/>
  <c r="K8" i="7"/>
  <c r="I8" i="7"/>
  <c r="K9" i="1"/>
  <c r="I9" i="1"/>
  <c r="J9" i="1"/>
  <c r="H9" i="1"/>
  <c r="K9" i="3"/>
  <c r="I9" i="3"/>
  <c r="J9" i="3"/>
  <c r="H9" i="3"/>
  <c r="K9" i="5"/>
  <c r="I9" i="5"/>
  <c r="J9" i="5"/>
  <c r="H9" i="5"/>
  <c r="K9" i="7"/>
  <c r="I9" i="7"/>
  <c r="J9" i="7"/>
  <c r="H9" i="7"/>
</calcChain>
</file>

<file path=xl/comments1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3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4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5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6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7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8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9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0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1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2.xml><?xml version="1.0" encoding="utf-8"?>
<comments xmlns="http://schemas.openxmlformats.org/spreadsheetml/2006/main">
  <authors>
    <author>Боброва Татьяна Викторовна</author>
  </authors>
  <commentList>
    <comment ref="L16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30.04.2016г.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3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4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5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6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7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8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19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0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1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2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3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4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5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6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7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8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comments29.xml><?xml version="1.0" encoding="utf-8"?>
<comments xmlns="http://schemas.openxmlformats.org/spreadsheetml/2006/main">
  <authors>
    <author>Боброва Татьяна Викторовна</author>
  </authors>
  <commentList>
    <comment ref="L18" authorId="0">
      <text>
        <r>
          <rPr>
            <b/>
            <sz val="9"/>
            <color indexed="81"/>
            <rFont val="Tahoma"/>
            <family val="2"/>
            <charset val="204"/>
          </rPr>
          <t>Боброва Татьяна Викторовна:</t>
        </r>
        <r>
          <rPr>
            <sz val="9"/>
            <color indexed="81"/>
            <rFont val="Tahoma"/>
            <family val="2"/>
            <charset val="204"/>
          </rPr>
          <t xml:space="preserve">
по состоянию на 01.05.2016г.
</t>
        </r>
      </text>
    </comment>
  </commentList>
</comments>
</file>

<file path=xl/sharedStrings.xml><?xml version="1.0" encoding="utf-8"?>
<sst xmlns="http://schemas.openxmlformats.org/spreadsheetml/2006/main" count="41262" uniqueCount="304">
  <si>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03.01.2018г.)</t>
  </si>
  <si>
    <t>Регион</t>
  </si>
  <si>
    <t>Дизельное топливо (летнее)</t>
  </si>
  <si>
    <t>ПБА</t>
  </si>
  <si>
    <t>Сравнение ПБА с ценой на АИ-92 (АИ-95)</t>
  </si>
  <si>
    <t>Курсы валют</t>
  </si>
  <si>
    <t>А-92-К5</t>
  </si>
  <si>
    <t>Разница c РБ</t>
  </si>
  <si>
    <t>АИ-95 ЕВРО</t>
  </si>
  <si>
    <t>Сравнение АИ-95с ценой на Аи-92</t>
  </si>
  <si>
    <t>АИ-98</t>
  </si>
  <si>
    <t>ДТ</t>
  </si>
  <si>
    <t>Разница в цене к прейскуранту в дол. США</t>
  </si>
  <si>
    <t>Сравнение с ценой на Аи-92</t>
  </si>
  <si>
    <t>Сравнение с ценой на Аи-95</t>
  </si>
  <si>
    <t>Республика Беларусь 
(цены установлены в долларах США)</t>
  </si>
  <si>
    <t>Республика Беларусь
(цены переведены по курсу НБ)</t>
  </si>
  <si>
    <t>www.nbrb.by</t>
  </si>
  <si>
    <t>доллар</t>
  </si>
  <si>
    <t>Россия (Москва)</t>
  </si>
  <si>
    <t>рос.рубль</t>
  </si>
  <si>
    <t>Россия (Брянск. обл)</t>
  </si>
  <si>
    <t xml:space="preserve">Россия (Смоленск. Обл) </t>
  </si>
  <si>
    <t xml:space="preserve">Россия (Псковск. обл) </t>
  </si>
  <si>
    <t>Украина</t>
  </si>
  <si>
    <t>гривна</t>
  </si>
  <si>
    <t xml:space="preserve">Латвия  </t>
  </si>
  <si>
    <t>Литва</t>
  </si>
  <si>
    <t>евро</t>
  </si>
  <si>
    <t>Польша</t>
  </si>
  <si>
    <t>злотый</t>
  </si>
  <si>
    <t xml:space="preserve">Республика Беларусь </t>
  </si>
  <si>
    <t>www.belorusneft.by/sitebeloil/ru/center/azs/</t>
  </si>
  <si>
    <t>www.benzin-price.ru/price.php?region_id=77</t>
  </si>
  <si>
    <t>http://natrakte.ru/</t>
  </si>
  <si>
    <t xml:space="preserve">Россия (Брянск. Обл) </t>
  </si>
  <si>
    <t>www.benzin-price.ru/price.php?region_id=32</t>
  </si>
  <si>
    <t>http://www.gazpromlpg.ru/?id=415</t>
  </si>
  <si>
    <t>www.benzin-price.ru/price.php?region_id=67</t>
  </si>
  <si>
    <t>http://region-cm.ru/node/36</t>
  </si>
  <si>
    <t>www.benzin-price.ru/price.php?region_id=60</t>
  </si>
  <si>
    <t>www.vseazs.com/</t>
  </si>
  <si>
    <t>Латвия Евро EUR</t>
  </si>
  <si>
    <t>www.lukoil.lv/lv/galvena_lapa</t>
  </si>
  <si>
    <t>http://www.fuel-prices-europe.info/</t>
  </si>
  <si>
    <t>http://autotraveler.ru/latvia/#.WOOTMl7SnSs</t>
  </si>
  <si>
    <t>Литва Евро EUR</t>
  </si>
  <si>
    <t>www.lukoil.lt/ru/osnovnaja_stranica</t>
  </si>
  <si>
    <t>http://autotraveler.ru/lithuania/#.Vs2LGH2LRkg</t>
  </si>
  <si>
    <t>Польша , злотый</t>
  </si>
  <si>
    <t>www.e-petrol.ru/rynek-krajowy/ceny-stacje-paliw</t>
  </si>
  <si>
    <t>http://autotraveler.ru/poland/#.VyhQfdKLTcs</t>
  </si>
  <si>
    <t>период</t>
  </si>
  <si>
    <t>95+</t>
  </si>
  <si>
    <t>98+</t>
  </si>
  <si>
    <t>ДТ+</t>
  </si>
  <si>
    <t>Газ</t>
  </si>
  <si>
    <t>2016-04-04 - 2016-04-10</t>
  </si>
  <si>
    <t>34.54</t>
  </si>
  <si>
    <t>37.33</t>
  </si>
  <si>
    <t>38.60</t>
  </si>
  <si>
    <t>43.33</t>
  </si>
  <si>
    <t>34.92</t>
  </si>
  <si>
    <t>36.11</t>
  </si>
  <si>
    <t>2016-04-11 - 2016-04-17</t>
  </si>
  <si>
    <t>34.42</t>
  </si>
  <si>
    <t>37.46</t>
  </si>
  <si>
    <t>38.77</t>
  </si>
  <si>
    <t>43.48</t>
  </si>
  <si>
    <t>34.98</t>
  </si>
  <si>
    <t>36.01</t>
  </si>
  <si>
    <t>2016-04-18 - 2016-04-24</t>
  </si>
  <si>
    <t>34.67</t>
  </si>
  <si>
    <t>37.35</t>
  </si>
  <si>
    <t>38.62</t>
  </si>
  <si>
    <t>42.20</t>
  </si>
  <si>
    <t>43.46</t>
  </si>
  <si>
    <t>34.87</t>
  </si>
  <si>
    <t>36.24</t>
  </si>
  <si>
    <t>2016-04-25 - 2016-05-01</t>
  </si>
  <si>
    <t>34.30</t>
  </si>
  <si>
    <t>37.20</t>
  </si>
  <si>
    <t>38.57</t>
  </si>
  <si>
    <t>43.43</t>
  </si>
  <si>
    <t>34.75</t>
  </si>
  <si>
    <t>36.08</t>
  </si>
  <si>
    <t>2016-05-02 - 2016-05-08</t>
  </si>
  <si>
    <t>34.51</t>
  </si>
  <si>
    <t>37.38</t>
  </si>
  <si>
    <t>38.53</t>
  </si>
  <si>
    <t>34.84</t>
  </si>
  <si>
    <t>36.16</t>
  </si>
  <si>
    <t>2016-05-09 - 2016-05-15</t>
  </si>
  <si>
    <t>34.57</t>
  </si>
  <si>
    <t>37.41</t>
  </si>
  <si>
    <t>42.23</t>
  </si>
  <si>
    <t>43.47</t>
  </si>
  <si>
    <t>34.79</t>
  </si>
  <si>
    <t>36.04</t>
  </si>
  <si>
    <t>2016-05-16 - 2016-05-22</t>
  </si>
  <si>
    <t>37.34</t>
  </si>
  <si>
    <t>42.04</t>
  </si>
  <si>
    <t>43.67</t>
  </si>
  <si>
    <t>34.86</t>
  </si>
  <si>
    <t>2016-05-23 - 2016-05-29</t>
  </si>
  <si>
    <t>34.65</t>
  </si>
  <si>
    <t>37.50</t>
  </si>
  <si>
    <t>38.72</t>
  </si>
  <si>
    <t>42.17</t>
  </si>
  <si>
    <t>43.60</t>
  </si>
  <si>
    <t>34.96</t>
  </si>
  <si>
    <t>35.89</t>
  </si>
  <si>
    <t>32.93</t>
  </si>
  <si>
    <t>35.82</t>
  </si>
  <si>
    <t>33.50</t>
  </si>
  <si>
    <t> 80 </t>
  </si>
  <si>
    <t> 92 </t>
  </si>
  <si>
    <t> 92+ </t>
  </si>
  <si>
    <t> 95 </t>
  </si>
  <si>
    <t> 95+ </t>
  </si>
  <si>
    <t> 98 </t>
  </si>
  <si>
    <t> 98+ </t>
  </si>
  <si>
    <t> ДТ </t>
  </si>
  <si>
    <t> ДТ+ </t>
  </si>
  <si>
    <t> Пропан </t>
  </si>
  <si>
    <t> Метан </t>
  </si>
  <si>
    <t>АЗС</t>
  </si>
  <si>
    <t>Источник</t>
  </si>
  <si>
    <t>   </t>
  </si>
  <si>
    <t> 33.75 </t>
  </si>
  <si>
    <t> 36.79 </t>
  </si>
  <si>
    <t>36.79 </t>
  </si>
  <si>
    <t> 34.90 </t>
  </si>
  <si>
    <t> 15.90 </t>
  </si>
  <si>
    <r>
      <t xml:space="preserve">EUR </t>
    </r>
    <r>
      <rPr>
        <vertAlign val="superscript"/>
        <sz val="12"/>
        <color indexed="8"/>
        <rFont val="Times New Roman"/>
        <family val="2"/>
        <charset val="204"/>
      </rPr>
      <t>*</t>
    </r>
  </si>
  <si>
    <t>95 ecto</t>
  </si>
  <si>
    <t>1.039</t>
  </si>
  <si>
    <t>Montuotojų g. 2A, Mažeikiai</t>
  </si>
  <si>
    <t>95 ecto plus</t>
  </si>
  <si>
    <t>1.069</t>
  </si>
  <si>
    <t>Geležinkelio g. 5, Marijampolė</t>
  </si>
  <si>
    <t>0.959</t>
  </si>
  <si>
    <t>J.Tumo-Vaižganto g. 102, Plungė</t>
  </si>
  <si>
    <t>D ecto</t>
  </si>
  <si>
    <t>0.901</t>
  </si>
  <si>
    <t>Tilžės 59, Šilutė</t>
  </si>
  <si>
    <t>0.389</t>
  </si>
  <si>
    <t xml:space="preserve">2 АЗС </t>
  </si>
  <si>
    <t>ДМ</t>
  </si>
  <si>
    <t>0.509</t>
  </si>
  <si>
    <t xml:space="preserve">7 АЗС </t>
  </si>
  <si>
    <t>1.079</t>
  </si>
  <si>
    <t>1.095</t>
  </si>
  <si>
    <t xml:space="preserve">3 АЗС </t>
  </si>
  <si>
    <t>E85</t>
  </si>
  <si>
    <t>1.018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</si>
  <si>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08.01.2018г.)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</si>
  <si>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15.01.2018г.)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</si>
  <si>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22.01.2018г.)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</si>
  <si>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29.01.2018г.)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</si>
  <si>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05.02.2018г.)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</si>
  <si>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12.02.2018г.)</t>
  </si>
  <si>
    <t>Средние цены за 1 литр нефтепродуктов, реализуемых через АЗС соседних с Республикой Беларусь государств 
(в пересчете на доллары США по курсу НБ РБ)</t>
  </si>
  <si>
    <t>Дата формирования отчета:</t>
  </si>
  <si>
    <t>АИ-92</t>
  </si>
  <si>
    <t>АИ-95</t>
  </si>
  <si>
    <t>Примечание</t>
  </si>
  <si>
    <t>Цена</t>
  </si>
  <si>
    <t>Разница с РБ</t>
  </si>
  <si>
    <t>$</t>
  </si>
  <si>
    <t>%</t>
  </si>
  <si>
    <t>РБ</t>
  </si>
  <si>
    <t xml:space="preserve"> - </t>
  </si>
  <si>
    <t>Цена на дату сост. табл., ПБА- средн. по Гом. обл.</t>
  </si>
  <si>
    <t>РФ (Москва)</t>
  </si>
  <si>
    <t>Средняя цена за предыдущую неделю</t>
  </si>
  <si>
    <t>РФ (Брянск. обл)</t>
  </si>
  <si>
    <t xml:space="preserve">РФ (Смоленск. обл) </t>
  </si>
  <si>
    <t xml:space="preserve">РФ (Псковск. обл) </t>
  </si>
  <si>
    <t>Цена на дату составления таблицы в Черниг. обл.</t>
  </si>
  <si>
    <t>Цена на дату, предшеств. дню формир. табл.</t>
  </si>
  <si>
    <t>Данные для расчета</t>
  </si>
  <si>
    <t>Цена в валюте продавца (АЗС)</t>
  </si>
  <si>
    <t>Сайт</t>
  </si>
  <si>
    <t>Дополнительные сайты</t>
  </si>
  <si>
    <t>РБ, BYN</t>
  </si>
  <si>
    <t>РФ (Москва), RUB</t>
  </si>
  <si>
    <t>www.benzin-price.ru/stat_60days.php?region_id=77</t>
  </si>
  <si>
    <t>РФ (Брянск. Обл), RUB</t>
  </si>
  <si>
    <t>www.benzin-price.ru/stat_60days.php?region_id=32</t>
  </si>
  <si>
    <t>РФ (Смол. Обл), RUB</t>
  </si>
  <si>
    <t>www.benzin-price.ru/stat_60days.php?region_id=67</t>
  </si>
  <si>
    <t>РФ (Псковск. обл), RUB</t>
  </si>
  <si>
    <t>www.benzin-price.ru/stat_60days.php?region_id=60</t>
  </si>
  <si>
    <t>Украина, UAH</t>
  </si>
  <si>
    <t>Латвия, EUR</t>
  </si>
  <si>
    <t>www.fuel-prices-europe.info/</t>
  </si>
  <si>
    <t>Литва, EUR</t>
  </si>
  <si>
    <t>Польша, PLN</t>
  </si>
  <si>
    <t>при наличии нескольких видов топлива (например, Аи 98 и АИ98+, АИ95 и АИ95экто) указана минимальная из цен на топливо, соответствующее сезону продаж (зимой зимнее, летом - летнее)
если на сайте нет средней цены, но есть макс и мин, то средняя рассчитывается, как среднее значение между макс и мин</t>
  </si>
  <si>
    <t>Курсы валют к белорусскому рублю на дату формирования отчета</t>
  </si>
  <si>
    <t>BYN</t>
  </si>
  <si>
    <t>100 Гривен, UAH</t>
  </si>
  <si>
    <t>http://www.nbrb.by/statistics/rates/ratesDaily.asp</t>
  </si>
  <si>
    <t>Доллар, USD</t>
  </si>
  <si>
    <t>Евро, EUR</t>
  </si>
  <si>
    <t>10 Злотых, PLN</t>
  </si>
  <si>
    <t>100 рублей РФ, RUB</t>
  </si>
  <si>
    <t>желтым выделены ячейки для внесения информации</t>
  </si>
  <si>
    <t>www.globalpetrolprices.com</t>
  </si>
  <si>
    <t>Дополнительные сайты 2</t>
  </si>
  <si>
    <t>Дополнительные сайты 3</t>
  </si>
  <si>
    <t>Дополнительные сайты 4</t>
  </si>
  <si>
    <t>Дополнительные сайты 5</t>
  </si>
  <si>
    <t>Дополнительные сайты 6</t>
  </si>
  <si>
    <t>https://www.abw.by/fuel/</t>
  </si>
  <si>
    <t>http://bamap.org/information/fuelprices/fuelineur/</t>
  </si>
  <si>
    <t>https://www.shell.lv/ru_lv/shell-fuel/fuel-price.html</t>
  </si>
  <si>
    <t>https://www.e-petrol.ru/</t>
  </si>
  <si>
    <t>http://www.benzin-price.ru/stat_month.php?region_id=77</t>
  </si>
  <si>
    <t>http://www.benzin-price.ru/stat_month.php?region_id=32</t>
  </si>
  <si>
    <t>http://www.benzin-price.ru/stat_month.php?region_id=67</t>
  </si>
  <si>
    <t>http://www.benzin-price.ru/stat_month.php?region_id=60</t>
  </si>
  <si>
    <t>http://neftemarket.net/retail-market/65-values-of-average-retail-prices-of-petroleum-products-in-ukraine-and-their-dynamics</t>
  </si>
  <si>
    <t>https://multigo.ru/benzin/54.785205;32.045898/1</t>
  </si>
  <si>
    <t>http://www.benzin-price.ru/stat_60days.php?region_id=77</t>
  </si>
  <si>
    <t>http://www.benzin-cena.ru/benzin/39-rossija-ceni</t>
  </si>
  <si>
    <t>http://www.benzin-cena.ru/benzin/77-ukraina-ceni</t>
  </si>
  <si>
    <t>http://www.benzin-cena.ru/benzin/4-mir-ceni-v-evro</t>
  </si>
  <si>
    <t xml:space="preserve">РФ (средняя по указанным областям) 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</si>
  <si>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13.01.2017г.)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</si>
  <si>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01.02.2017г.)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</si>
  <si>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01.03.2017г.)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</si>
  <si>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13.03.2017г.)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</si>
  <si>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03.04.2017г.)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</si>
  <si>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11.04.2017г.)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</si>
  <si>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17.04.2017г.)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</si>
  <si>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18.05.2017г.)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</si>
  <si>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02.06.2017г.)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</si>
  <si>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07.08.2017г.)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</si>
  <si>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31.08.2017г.)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</si>
  <si>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25.09.2017г.)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</si>
  <si>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12.10.2017г.)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</si>
  <si>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15.11.2017г.)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</si>
  <si>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22.11.2017г.)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</si>
  <si>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27.11.2017г.)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</si>
  <si>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04.12.2017г.)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</si>
  <si>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11.12.2017г.)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</si>
  <si>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18.12.2017г.)</t>
  </si>
  <si>
    <t>Средние цены за 1 литр нефтепродуктов, реализуемых через МАЗС соседних с Республикой Беларусь государств (в пересчете на доллары США по курсу НБ РБ на 26.12.2017г.)</t>
  </si>
  <si>
    <t>желтым выделены ячейки для корректировки информации</t>
  </si>
  <si>
    <t>АИ-98/100</t>
  </si>
  <si>
    <t>Дата</t>
  </si>
  <si>
    <t>UAH</t>
  </si>
  <si>
    <t>USD</t>
  </si>
  <si>
    <t>EUR</t>
  </si>
  <si>
    <t>PLN</t>
  </si>
  <si>
    <t>RUB</t>
  </si>
  <si>
    <t>РБ_АИ-92</t>
  </si>
  <si>
    <t>РБ_АИ-95</t>
  </si>
  <si>
    <t>РБ_АИ-98/100</t>
  </si>
  <si>
    <t>РБ_ДТ</t>
  </si>
  <si>
    <t>РБ_ПБА</t>
  </si>
  <si>
    <t>Москва_АИ-92</t>
  </si>
  <si>
    <t>Москва_АИ-95</t>
  </si>
  <si>
    <t>Москва_АИ-98/100</t>
  </si>
  <si>
    <t>Москва_ДТ</t>
  </si>
  <si>
    <t>Москва_ПБА</t>
  </si>
  <si>
    <t>Брянск_АИ-92</t>
  </si>
  <si>
    <t>Брянск_АИ-95</t>
  </si>
  <si>
    <t>Брянск_АИ-98/100</t>
  </si>
  <si>
    <t>Брянск_ДТ</t>
  </si>
  <si>
    <t>Брянск_ПБА</t>
  </si>
  <si>
    <t>Смоленск_АИ-92</t>
  </si>
  <si>
    <t>Смоленск_АИ-95</t>
  </si>
  <si>
    <t>Смоленск_АИ-98/100</t>
  </si>
  <si>
    <t>Смоленск_ДТ</t>
  </si>
  <si>
    <t>Смоленск_ПБА</t>
  </si>
  <si>
    <t>Псков_АИ-92</t>
  </si>
  <si>
    <t>Псков_АИ-95</t>
  </si>
  <si>
    <t>Псков_АИ-98/100</t>
  </si>
  <si>
    <t>Псков_ДТ</t>
  </si>
  <si>
    <t>Псков_ПБА</t>
  </si>
  <si>
    <t>Украина_АИ-92</t>
  </si>
  <si>
    <t>Украина_АИ-95</t>
  </si>
  <si>
    <t>Украина_АИ-98/100</t>
  </si>
  <si>
    <t>Украина_ДТ</t>
  </si>
  <si>
    <t>Украина_ПБА</t>
  </si>
  <si>
    <t>Латвия_АИ-95</t>
  </si>
  <si>
    <t>Латвия_АИ-98/100</t>
  </si>
  <si>
    <t>Латвия_ДТ</t>
  </si>
  <si>
    <t>Латвия_ПБА</t>
  </si>
  <si>
    <t>Литва_АИ-95</t>
  </si>
  <si>
    <t>Литва_АИ-98/100</t>
  </si>
  <si>
    <t>Литва_ДТ</t>
  </si>
  <si>
    <t>Литва_ПБА</t>
  </si>
  <si>
    <t>Польша_АИ-95</t>
  </si>
  <si>
    <t>Польша_АИ-98/100</t>
  </si>
  <si>
    <t>Польша_ДТ</t>
  </si>
  <si>
    <t>Польша_ПБА</t>
  </si>
  <si>
    <t>http://www.benzin-price.ru/stat_60days.php?region_id=32</t>
  </si>
  <si>
    <t>http://www.benzin-price.ru/stat_60days.php?region_id=67</t>
  </si>
  <si>
    <t>http://www.benzin-price.ru/stat_60days.php?region_id=60</t>
  </si>
  <si>
    <t>Разница с предыдущей неделей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</si>
</sst>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%"/>
    <numFmt numFmtId="165" formatCode="#,##0.0000"/>
    <numFmt numFmtId="166" formatCode="#,##0.00000"/>
    <numFmt numFmtId="167" formatCode="0.0"/>
    <numFmt numFmtId="168" formatCode="#,##0.000"/>
    <numFmt numFmtId="169" formatCode="0.000"/>
    <numFmt numFmtId="170" formatCode="#,##0.00_ ;[Red]\-#,##0.00\ "/>
    <numFmt numFmtId="171" formatCode="#,##0.0_ ;[Red]\-#,##0.0\ "/>
    <numFmt numFmtId="172" formatCode="0.0000"/>
  </numFmts>
  <fonts count="38" x14ac:knownFonts="1">
    <font>
      <sz val="11"/>
      <color theme="1"/>
      <name val="Times New Roman"/>
      <family val="2"/>
      <charset val="204"/>
    </font>
    <font>
      <sz val="12"/>
      <color theme="1"/>
      <name val="Times New Roman"/>
      <family val="2"/>
      <charset val="204"/>
    </font>
    <font>
      <sz val="12"/>
      <color theme="1"/>
      <name val="Times New Roman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2"/>
      <color indexed="12"/>
      <name val="Times New Roman"/>
      <family val="1"/>
      <charset val="204"/>
    </font>
    <font>
      <sz val="10"/>
      <color indexed="12"/>
      <name val="Times New Roman"/>
      <family val="1"/>
      <charset val="204"/>
    </font>
    <font>
      <b/>
      <sz val="14"/>
      <color indexed="12"/>
      <name val="Times New Roman"/>
      <family val="1"/>
      <charset val="204"/>
    </font>
    <font>
      <b/>
      <sz val="12"/>
      <color indexed="12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u/>
      <sz val="10"/>
      <color indexed="12"/>
      <name val="Arial Cyr"/>
      <family val="2"/>
      <charset val="204"/>
    </font>
    <font>
      <b/>
      <sz val="10"/>
      <name val="Times New Roman"/>
      <family val="1"/>
      <charset val="204"/>
    </font>
    <font>
      <sz val="16"/>
      <name val="Times New Roman"/>
      <family val="1"/>
      <charset val="204"/>
    </font>
    <font>
      <u/>
      <sz val="10"/>
      <name val="Arial Cyr"/>
      <family val="2"/>
      <charset val="204"/>
    </font>
    <font>
      <sz val="9"/>
      <name val="Tahoma"/>
      <family val="2"/>
      <charset val="204"/>
    </font>
    <font>
      <b/>
      <sz val="12"/>
      <color indexed="60"/>
      <name val="Times New Roman"/>
      <family val="1"/>
      <charset val="204"/>
    </font>
    <font>
      <u/>
      <sz val="10"/>
      <name val="Times New Roman"/>
      <family val="1"/>
      <charset val="204"/>
    </font>
    <font>
      <sz val="9"/>
      <color indexed="12"/>
      <name val="Tahoma"/>
      <family val="2"/>
      <charset val="204"/>
    </font>
    <font>
      <b/>
      <sz val="11"/>
      <color indexed="8"/>
      <name val="Times New Roman"/>
      <family val="2"/>
      <charset val="204"/>
    </font>
    <font>
      <sz val="12"/>
      <color indexed="8"/>
      <name val="Times New Roman"/>
      <family val="2"/>
      <charset val="204"/>
    </font>
    <font>
      <vertAlign val="superscript"/>
      <sz val="12"/>
      <color indexed="8"/>
      <name val="Times New Roman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Times New Roman"/>
      <family val="1"/>
      <charset val="204"/>
    </font>
    <font>
      <sz val="10"/>
      <color indexed="12"/>
      <name val="Arial"/>
      <family val="2"/>
      <charset val="204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9"/>
      <name val="Arial"/>
      <family val="2"/>
      <charset val="204"/>
    </font>
    <font>
      <u/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u/>
      <sz val="12"/>
      <color indexed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12"/>
      <color theme="1"/>
      <name val="Times New Roman"/>
      <family val="2"/>
      <charset val="204"/>
    </font>
    <font>
      <sz val="12"/>
      <color rgb="FF000000"/>
      <name val="Verdana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7">
    <xf numFmtId="0" fontId="0" fillId="0" borderId="0"/>
    <xf numFmtId="0" fontId="5" fillId="0" borderId="0"/>
    <xf numFmtId="0" fontId="12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5" fillId="0" borderId="0"/>
  </cellStyleXfs>
  <cellXfs count="529">
    <xf numFmtId="0" fontId="0" fillId="0" borderId="0" xfId="0"/>
    <xf numFmtId="0" fontId="6" fillId="0" borderId="0" xfId="1" applyFont="1" applyBorder="1"/>
    <xf numFmtId="0" fontId="6" fillId="0" borderId="0" xfId="1" applyFont="1" applyBorder="1" applyAlignment="1">
      <alignment horizontal="right"/>
    </xf>
    <xf numFmtId="0" fontId="7" fillId="0" borderId="0" xfId="1" applyFont="1" applyBorder="1"/>
    <xf numFmtId="0" fontId="7" fillId="0" borderId="1" xfId="1" applyFont="1" applyBorder="1" applyAlignment="1"/>
    <xf numFmtId="0" fontId="7" fillId="0" borderId="0" xfId="1" applyFont="1"/>
    <xf numFmtId="0" fontId="9" fillId="0" borderId="2" xfId="1" applyFont="1" applyFill="1" applyBorder="1" applyAlignment="1">
      <alignment horizontal="left" vertical="center"/>
    </xf>
    <xf numFmtId="0" fontId="9" fillId="0" borderId="2" xfId="1" applyFont="1" applyFill="1" applyBorder="1" applyAlignment="1">
      <alignment horizontal="center" vertical="center"/>
    </xf>
    <xf numFmtId="0" fontId="5" fillId="0" borderId="0" xfId="1" applyFont="1" applyFill="1"/>
    <xf numFmtId="0" fontId="5" fillId="0" borderId="0" xfId="1" applyFont="1"/>
    <xf numFmtId="0" fontId="6" fillId="0" borderId="5" xfId="1" applyFont="1" applyFill="1" applyBorder="1" applyAlignment="1">
      <alignment horizontal="center" vertical="center" wrapText="1"/>
    </xf>
    <xf numFmtId="2" fontId="5" fillId="0" borderId="0" xfId="1" applyNumberFormat="1" applyFont="1"/>
    <xf numFmtId="0" fontId="6" fillId="0" borderId="5" xfId="1" applyFont="1" applyBorder="1" applyAlignment="1">
      <alignment wrapText="1"/>
    </xf>
    <xf numFmtId="2" fontId="6" fillId="4" borderId="5" xfId="1" applyNumberFormat="1" applyFont="1" applyFill="1" applyBorder="1" applyAlignment="1">
      <alignment horizontal="center" vertical="center" wrapText="1"/>
    </xf>
    <xf numFmtId="2" fontId="6" fillId="2" borderId="5" xfId="1" applyNumberFormat="1" applyFont="1" applyFill="1" applyBorder="1" applyAlignment="1">
      <alignment horizontal="center" vertical="center" wrapText="1"/>
    </xf>
    <xf numFmtId="0" fontId="6" fillId="2" borderId="5" xfId="1" applyFont="1" applyFill="1" applyBorder="1" applyAlignment="1">
      <alignment horizontal="center" vertical="center" wrapText="1"/>
    </xf>
    <xf numFmtId="0" fontId="6" fillId="4" borderId="5" xfId="1" applyFont="1" applyFill="1" applyBorder="1" applyAlignment="1">
      <alignment horizontal="center" vertical="center"/>
    </xf>
    <xf numFmtId="0" fontId="6" fillId="2" borderId="8" xfId="1" applyFont="1" applyFill="1" applyBorder="1" applyAlignment="1">
      <alignment horizontal="center" vertical="center" wrapText="1"/>
    </xf>
    <xf numFmtId="0" fontId="10" fillId="3" borderId="9" xfId="1" applyFont="1" applyFill="1" applyBorder="1" applyAlignment="1"/>
    <xf numFmtId="2" fontId="6" fillId="0" borderId="5" xfId="1" applyNumberFormat="1" applyFont="1" applyFill="1" applyBorder="1" applyAlignment="1">
      <alignment horizontal="center" vertical="center"/>
    </xf>
    <xf numFmtId="164" fontId="6" fillId="0" borderId="5" xfId="1" applyNumberFormat="1" applyFont="1" applyFill="1" applyBorder="1" applyAlignment="1">
      <alignment horizontal="center" vertical="center"/>
    </xf>
    <xf numFmtId="164" fontId="6" fillId="2" borderId="10" xfId="1" applyNumberFormat="1" applyFont="1" applyFill="1" applyBorder="1" applyAlignment="1">
      <alignment horizontal="center" vertical="center"/>
    </xf>
    <xf numFmtId="165" fontId="11" fillId="5" borderId="11" xfId="1" applyNumberFormat="1" applyFont="1" applyFill="1" applyBorder="1" applyAlignment="1"/>
    <xf numFmtId="0" fontId="12" fillId="0" borderId="0" xfId="2" applyAlignment="1" applyProtection="1"/>
    <xf numFmtId="0" fontId="6" fillId="0" borderId="5" xfId="1" applyFont="1" applyFill="1" applyBorder="1"/>
    <xf numFmtId="2" fontId="6" fillId="0" borderId="5" xfId="1" applyNumberFormat="1" applyFont="1" applyFill="1" applyBorder="1" applyAlignment="1">
      <alignment horizontal="center"/>
    </xf>
    <xf numFmtId="164" fontId="6" fillId="0" borderId="5" xfId="3" applyNumberFormat="1" applyFont="1" applyFill="1" applyBorder="1" applyAlignment="1">
      <alignment horizontal="center"/>
    </xf>
    <xf numFmtId="164" fontId="6" fillId="0" borderId="5" xfId="1" applyNumberFormat="1" applyFont="1" applyFill="1" applyBorder="1" applyAlignment="1">
      <alignment horizontal="center"/>
    </xf>
    <xf numFmtId="164" fontId="6" fillId="2" borderId="12" xfId="1" applyNumberFormat="1" applyFont="1" applyFill="1" applyBorder="1" applyAlignment="1">
      <alignment horizontal="center" vertical="center"/>
    </xf>
    <xf numFmtId="165" fontId="11" fillId="0" borderId="11" xfId="1" applyNumberFormat="1" applyFont="1" applyFill="1" applyBorder="1" applyAlignment="1"/>
    <xf numFmtId="0" fontId="6" fillId="0" borderId="5" xfId="1" applyFont="1" applyBorder="1"/>
    <xf numFmtId="164" fontId="6" fillId="2" borderId="12" xfId="1" applyNumberFormat="1" applyFont="1" applyFill="1" applyBorder="1" applyAlignment="1">
      <alignment horizontal="center"/>
    </xf>
    <xf numFmtId="0" fontId="13" fillId="0" borderId="0" xfId="1" applyFont="1"/>
    <xf numFmtId="0" fontId="14" fillId="0" borderId="0" xfId="1" applyFont="1"/>
    <xf numFmtId="165" fontId="5" fillId="0" borderId="0" xfId="1" applyNumberFormat="1" applyFont="1"/>
    <xf numFmtId="164" fontId="6" fillId="2" borderId="13" xfId="1" applyNumberFormat="1" applyFont="1" applyFill="1" applyBorder="1" applyAlignment="1">
      <alignment horizontal="center"/>
    </xf>
    <xf numFmtId="165" fontId="11" fillId="0" borderId="14" xfId="1" applyNumberFormat="1" applyFont="1" applyFill="1" applyBorder="1" applyAlignment="1"/>
    <xf numFmtId="166" fontId="5" fillId="0" borderId="0" xfId="1" applyNumberFormat="1" applyFont="1"/>
    <xf numFmtId="0" fontId="10" fillId="0" borderId="2" xfId="1" applyFont="1" applyFill="1" applyBorder="1"/>
    <xf numFmtId="0" fontId="11" fillId="0" borderId="2" xfId="1" applyFont="1" applyFill="1" applyBorder="1"/>
    <xf numFmtId="164" fontId="10" fillId="0" borderId="2" xfId="1" applyNumberFormat="1" applyFont="1" applyFill="1" applyBorder="1" applyAlignment="1">
      <alignment horizontal="center" vertical="center"/>
    </xf>
    <xf numFmtId="0" fontId="11" fillId="0" borderId="8" xfId="1" applyFont="1" applyFill="1" applyBorder="1"/>
    <xf numFmtId="0" fontId="15" fillId="0" borderId="0" xfId="2" applyFont="1" applyAlignment="1" applyProtection="1"/>
    <xf numFmtId="167" fontId="16" fillId="0" borderId="0" xfId="1" applyNumberFormat="1" applyFont="1"/>
    <xf numFmtId="0" fontId="10" fillId="6" borderId="5" xfId="1" applyFont="1" applyFill="1" applyBorder="1"/>
    <xf numFmtId="4" fontId="11" fillId="5" borderId="2" xfId="1" applyNumberFormat="1" applyFont="1" applyFill="1" applyBorder="1"/>
    <xf numFmtId="4" fontId="10" fillId="0" borderId="2" xfId="1" applyNumberFormat="1" applyFont="1" applyFill="1" applyBorder="1"/>
    <xf numFmtId="4" fontId="10" fillId="0" borderId="2" xfId="1" applyNumberFormat="1" applyFont="1" applyFill="1" applyBorder="1" applyAlignment="1">
      <alignment horizontal="center" vertical="center"/>
    </xf>
    <xf numFmtId="4" fontId="11" fillId="7" borderId="8" xfId="1" applyNumberFormat="1" applyFont="1" applyFill="1" applyBorder="1"/>
    <xf numFmtId="167" fontId="12" fillId="0" borderId="0" xfId="2" applyNumberFormat="1" applyFill="1" applyAlignment="1" applyProtection="1"/>
    <xf numFmtId="4" fontId="10" fillId="0" borderId="5" xfId="1" applyNumberFormat="1" applyFont="1" applyFill="1" applyBorder="1"/>
    <xf numFmtId="4" fontId="11" fillId="0" borderId="2" xfId="1" applyNumberFormat="1" applyFont="1" applyFill="1" applyBorder="1"/>
    <xf numFmtId="4" fontId="10" fillId="0" borderId="5" xfId="1" applyNumberFormat="1" applyFont="1" applyFill="1" applyBorder="1" applyAlignment="1">
      <alignment horizontal="center" vertical="center"/>
    </xf>
    <xf numFmtId="4" fontId="11" fillId="0" borderId="8" xfId="1" applyNumberFormat="1" applyFont="1" applyFill="1" applyBorder="1"/>
    <xf numFmtId="0" fontId="10" fillId="0" borderId="5" xfId="1" applyFont="1" applyFill="1" applyBorder="1"/>
    <xf numFmtId="167" fontId="12" fillId="0" borderId="0" xfId="2" applyNumberFormat="1" applyAlignment="1" applyProtection="1"/>
    <xf numFmtId="4" fontId="11" fillId="5" borderId="5" xfId="1" applyNumberFormat="1" applyFont="1" applyFill="1" applyBorder="1"/>
    <xf numFmtId="4" fontId="17" fillId="0" borderId="8" xfId="1" applyNumberFormat="1" applyFont="1" applyFill="1" applyBorder="1"/>
    <xf numFmtId="4" fontId="11" fillId="5" borderId="5" xfId="1" applyNumberFormat="1" applyFont="1" applyFill="1" applyBorder="1" applyAlignment="1">
      <alignment horizontal="right"/>
    </xf>
    <xf numFmtId="4" fontId="11" fillId="0" borderId="5" xfId="1" applyNumberFormat="1" applyFont="1" applyFill="1" applyBorder="1"/>
    <xf numFmtId="4" fontId="11" fillId="5" borderId="8" xfId="1" applyNumberFormat="1" applyFont="1" applyFill="1" applyBorder="1"/>
    <xf numFmtId="0" fontId="10" fillId="5" borderId="5" xfId="1" applyFont="1" applyFill="1" applyBorder="1"/>
    <xf numFmtId="4" fontId="11" fillId="5" borderId="0" xfId="1" applyNumberFormat="1" applyFont="1" applyFill="1"/>
    <xf numFmtId="4" fontId="11" fillId="5" borderId="12" xfId="1" applyNumberFormat="1" applyFont="1" applyFill="1" applyBorder="1"/>
    <xf numFmtId="167" fontId="10" fillId="0" borderId="5" xfId="1" applyNumberFormat="1" applyFont="1" applyFill="1" applyBorder="1"/>
    <xf numFmtId="2" fontId="15" fillId="0" borderId="0" xfId="2" applyNumberFormat="1" applyFont="1" applyAlignment="1" applyProtection="1"/>
    <xf numFmtId="4" fontId="10" fillId="8" borderId="5" xfId="1" applyNumberFormat="1" applyFont="1" applyFill="1" applyBorder="1"/>
    <xf numFmtId="168" fontId="11" fillId="9" borderId="5" xfId="1" applyNumberFormat="1" applyFont="1" applyFill="1" applyBorder="1"/>
    <xf numFmtId="168" fontId="11" fillId="9" borderId="12" xfId="1" applyNumberFormat="1" applyFont="1" applyFill="1" applyBorder="1"/>
    <xf numFmtId="169" fontId="10" fillId="9" borderId="5" xfId="1" applyNumberFormat="1" applyFont="1" applyFill="1" applyBorder="1"/>
    <xf numFmtId="0" fontId="12" fillId="9" borderId="0" xfId="2" applyFill="1" applyAlignment="1" applyProtection="1"/>
    <xf numFmtId="2" fontId="12" fillId="0" borderId="1" xfId="2" applyNumberFormat="1" applyBorder="1" applyAlignment="1" applyProtection="1"/>
    <xf numFmtId="2" fontId="18" fillId="0" borderId="0" xfId="1" applyNumberFormat="1" applyFont="1"/>
    <xf numFmtId="0" fontId="6" fillId="5" borderId="5" xfId="1" applyFont="1" applyFill="1" applyBorder="1"/>
    <xf numFmtId="4" fontId="6" fillId="8" borderId="5" xfId="1" applyNumberFormat="1" applyFont="1" applyFill="1" applyBorder="1"/>
    <xf numFmtId="4" fontId="6" fillId="0" borderId="5" xfId="1" applyNumberFormat="1" applyFont="1" applyFill="1" applyBorder="1"/>
    <xf numFmtId="168" fontId="9" fillId="7" borderId="5" xfId="1" applyNumberFormat="1" applyFont="1" applyFill="1" applyBorder="1"/>
    <xf numFmtId="4" fontId="6" fillId="7" borderId="5" xfId="1" applyNumberFormat="1" applyFont="1" applyFill="1" applyBorder="1"/>
    <xf numFmtId="4" fontId="6" fillId="7" borderId="5" xfId="1" applyNumberFormat="1" applyFont="1" applyFill="1" applyBorder="1" applyAlignment="1">
      <alignment horizontal="center" vertical="center"/>
    </xf>
    <xf numFmtId="2" fontId="6" fillId="0" borderId="5" xfId="1" applyNumberFormat="1" applyFont="1" applyFill="1" applyBorder="1"/>
    <xf numFmtId="2" fontId="12" fillId="0" borderId="0" xfId="2" applyNumberFormat="1" applyAlignment="1" applyProtection="1"/>
    <xf numFmtId="167" fontId="19" fillId="0" borderId="0" xfId="1" applyNumberFormat="1" applyFont="1"/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20" fillId="10" borderId="0" xfId="0" applyFont="1" applyFill="1" applyAlignment="1">
      <alignment horizontal="center" vertical="center" wrapText="1"/>
    </xf>
    <xf numFmtId="0" fontId="12" fillId="10" borderId="0" xfId="2" applyFill="1" applyAlignment="1" applyProtection="1">
      <alignment horizontal="center" vertical="center" wrapText="1"/>
    </xf>
    <xf numFmtId="0" fontId="0" fillId="11" borderId="0" xfId="0" applyFill="1" applyAlignment="1">
      <alignment vertical="center" wrapText="1"/>
    </xf>
    <xf numFmtId="0" fontId="2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1" fontId="0" fillId="0" borderId="0" xfId="0" applyNumberFormat="1"/>
    <xf numFmtId="0" fontId="25" fillId="0" borderId="0" xfId="1" applyFont="1" applyBorder="1" applyAlignment="1">
      <alignment vertical="center" wrapText="1"/>
    </xf>
    <xf numFmtId="0" fontId="26" fillId="0" borderId="0" xfId="1" applyFont="1"/>
    <xf numFmtId="0" fontId="25" fillId="0" borderId="0" xfId="1" applyFont="1" applyBorder="1" applyAlignment="1">
      <alignment horizontal="center" vertical="center" wrapText="1"/>
    </xf>
    <xf numFmtId="0" fontId="26" fillId="0" borderId="0" xfId="1" applyFont="1" applyBorder="1" applyAlignment="1">
      <alignment vertical="center"/>
    </xf>
    <xf numFmtId="0" fontId="26" fillId="0" borderId="0" xfId="1" applyFont="1" applyAlignment="1">
      <alignment vertical="center"/>
    </xf>
    <xf numFmtId="0" fontId="27" fillId="13" borderId="22" xfId="1" applyFont="1" applyFill="1" applyBorder="1" applyAlignment="1">
      <alignment horizontal="center" vertical="center" wrapText="1"/>
    </xf>
    <xf numFmtId="2" fontId="27" fillId="13" borderId="25" xfId="1" applyNumberFormat="1" applyFont="1" applyFill="1" applyBorder="1" applyAlignment="1">
      <alignment horizontal="center" vertical="center" wrapText="1"/>
    </xf>
    <xf numFmtId="2" fontId="27" fillId="13" borderId="26" xfId="1" applyNumberFormat="1" applyFont="1" applyFill="1" applyBorder="1" applyAlignment="1">
      <alignment horizontal="center" vertical="center" wrapText="1"/>
    </xf>
    <xf numFmtId="2" fontId="27" fillId="13" borderId="14" xfId="1" applyNumberFormat="1" applyFont="1" applyFill="1" applyBorder="1" applyAlignment="1">
      <alignment horizontal="center" vertical="center" wrapText="1"/>
    </xf>
    <xf numFmtId="0" fontId="27" fillId="0" borderId="28" xfId="1" applyFont="1" applyBorder="1" applyAlignment="1">
      <alignment vertical="center" wrapText="1"/>
    </xf>
    <xf numFmtId="170" fontId="27" fillId="0" borderId="22" xfId="1" applyNumberFormat="1" applyFont="1" applyFill="1" applyBorder="1" applyAlignment="1">
      <alignment horizontal="right" vertical="center"/>
    </xf>
    <xf numFmtId="2" fontId="27" fillId="0" borderId="2" xfId="1" applyNumberFormat="1" applyFont="1" applyFill="1" applyBorder="1" applyAlignment="1">
      <alignment horizontal="center" vertical="center"/>
    </xf>
    <xf numFmtId="167" fontId="27" fillId="0" borderId="9" xfId="1" applyNumberFormat="1" applyFont="1" applyFill="1" applyBorder="1" applyAlignment="1">
      <alignment horizontal="center" vertical="center"/>
    </xf>
    <xf numFmtId="164" fontId="27" fillId="0" borderId="28" xfId="1" applyNumberFormat="1" applyFont="1" applyFill="1" applyBorder="1" applyAlignment="1">
      <alignment horizontal="left" vertical="center"/>
    </xf>
    <xf numFmtId="0" fontId="27" fillId="0" borderId="21" xfId="1" applyFont="1" applyFill="1" applyBorder="1" applyAlignment="1">
      <alignment vertical="center"/>
    </xf>
    <xf numFmtId="170" fontId="27" fillId="0" borderId="5" xfId="1" applyNumberFormat="1" applyFont="1" applyFill="1" applyBorder="1" applyAlignment="1">
      <alignment horizontal="right" vertical="center"/>
    </xf>
    <xf numFmtId="171" fontId="27" fillId="0" borderId="11" xfId="1" applyNumberFormat="1" applyFont="1" applyFill="1" applyBorder="1" applyAlignment="1">
      <alignment horizontal="right" vertical="center"/>
    </xf>
    <xf numFmtId="4" fontId="27" fillId="0" borderId="21" xfId="1" applyNumberFormat="1" applyFont="1" applyFill="1" applyBorder="1" applyAlignment="1">
      <alignment horizontal="left" vertical="center"/>
    </xf>
    <xf numFmtId="0" fontId="27" fillId="0" borderId="21" xfId="1" applyFont="1" applyBorder="1" applyAlignment="1">
      <alignment vertical="center"/>
    </xf>
    <xf numFmtId="170" fontId="27" fillId="0" borderId="22" xfId="1" applyNumberFormat="1" applyFont="1" applyFill="1" applyBorder="1" applyAlignment="1">
      <alignment horizontal="center" vertical="center"/>
    </xf>
    <xf numFmtId="170" fontId="27" fillId="0" borderId="5" xfId="1" applyNumberFormat="1" applyFont="1" applyFill="1" applyBorder="1" applyAlignment="1">
      <alignment horizontal="center" vertical="center"/>
    </xf>
    <xf numFmtId="170" fontId="27" fillId="0" borderId="11" xfId="1" applyNumberFormat="1" applyFont="1" applyFill="1" applyBorder="1" applyAlignment="1">
      <alignment horizontal="center" vertical="center"/>
    </xf>
    <xf numFmtId="0" fontId="27" fillId="0" borderId="24" xfId="1" applyFont="1" applyBorder="1" applyAlignment="1">
      <alignment vertical="center"/>
    </xf>
    <xf numFmtId="170" fontId="27" fillId="0" borderId="25" xfId="1" applyNumberFormat="1" applyFont="1" applyFill="1" applyBorder="1" applyAlignment="1">
      <alignment horizontal="center" vertical="center"/>
    </xf>
    <xf numFmtId="170" fontId="27" fillId="0" borderId="26" xfId="1" applyNumberFormat="1" applyFont="1" applyFill="1" applyBorder="1" applyAlignment="1">
      <alignment horizontal="center" vertical="center"/>
    </xf>
    <xf numFmtId="170" fontId="27" fillId="0" borderId="14" xfId="1" applyNumberFormat="1" applyFont="1" applyFill="1" applyBorder="1" applyAlignment="1">
      <alignment horizontal="center" vertical="center"/>
    </xf>
    <xf numFmtId="170" fontId="27" fillId="0" borderId="25" xfId="1" applyNumberFormat="1" applyFont="1" applyFill="1" applyBorder="1" applyAlignment="1">
      <alignment horizontal="right" vertical="center"/>
    </xf>
    <xf numFmtId="170" fontId="27" fillId="0" borderId="26" xfId="1" applyNumberFormat="1" applyFont="1" applyFill="1" applyBorder="1" applyAlignment="1">
      <alignment horizontal="right" vertical="center"/>
    </xf>
    <xf numFmtId="171" fontId="27" fillId="0" borderId="14" xfId="1" applyNumberFormat="1" applyFont="1" applyFill="1" applyBorder="1" applyAlignment="1">
      <alignment horizontal="right" vertical="center"/>
    </xf>
    <xf numFmtId="4" fontId="27" fillId="0" borderId="24" xfId="1" applyNumberFormat="1" applyFont="1" applyFill="1" applyBorder="1" applyAlignment="1">
      <alignment horizontal="left" vertical="center"/>
    </xf>
    <xf numFmtId="0" fontId="27" fillId="0" borderId="0" xfId="1" applyFont="1" applyBorder="1"/>
    <xf numFmtId="2" fontId="27" fillId="0" borderId="0" xfId="1" applyNumberFormat="1" applyFont="1" applyFill="1" applyBorder="1" applyAlignment="1">
      <alignment horizontal="center" vertical="center"/>
    </xf>
    <xf numFmtId="164" fontId="27" fillId="0" borderId="0" xfId="1" applyNumberFormat="1" applyFont="1" applyFill="1" applyBorder="1" applyAlignment="1">
      <alignment horizontal="center" vertical="center"/>
    </xf>
    <xf numFmtId="164" fontId="27" fillId="0" borderId="0" xfId="3" applyNumberFormat="1" applyFont="1" applyFill="1" applyBorder="1" applyAlignment="1">
      <alignment horizontal="center" vertical="center"/>
    </xf>
    <xf numFmtId="0" fontId="25" fillId="0" borderId="0" xfId="1" applyFont="1" applyBorder="1" applyAlignment="1">
      <alignment vertical="center"/>
    </xf>
    <xf numFmtId="164" fontId="27" fillId="0" borderId="0" xfId="1" applyNumberFormat="1" applyFont="1" applyFill="1" applyBorder="1" applyAlignment="1">
      <alignment vertical="center"/>
    </xf>
    <xf numFmtId="0" fontId="27" fillId="0" borderId="0" xfId="1" applyFont="1" applyBorder="1" applyAlignment="1">
      <alignment vertical="center"/>
    </xf>
    <xf numFmtId="0" fontId="27" fillId="13" borderId="29" xfId="1" applyFont="1" applyFill="1" applyBorder="1" applyAlignment="1">
      <alignment horizontal="center" vertical="center" wrapText="1"/>
    </xf>
    <xf numFmtId="0" fontId="27" fillId="13" borderId="30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8" fillId="0" borderId="0" xfId="1" applyFont="1" applyAlignment="1">
      <alignment vertical="center"/>
    </xf>
    <xf numFmtId="0" fontId="27" fillId="0" borderId="28" xfId="1" applyFont="1" applyFill="1" applyBorder="1"/>
    <xf numFmtId="0" fontId="27" fillId="12" borderId="34" xfId="1" applyFont="1" applyFill="1" applyBorder="1"/>
    <xf numFmtId="0" fontId="27" fillId="0" borderId="2" xfId="1" applyFont="1" applyFill="1" applyBorder="1" applyAlignment="1">
      <alignment horizontal="center"/>
    </xf>
    <xf numFmtId="0" fontId="27" fillId="0" borderId="9" xfId="1" applyFont="1" applyFill="1" applyBorder="1" applyAlignment="1">
      <alignment horizontal="center"/>
    </xf>
    <xf numFmtId="0" fontId="27" fillId="0" borderId="35" xfId="1" applyFont="1" applyFill="1" applyBorder="1" applyAlignment="1">
      <alignment horizontal="center"/>
    </xf>
    <xf numFmtId="0" fontId="12" fillId="0" borderId="34" xfId="2" applyFill="1" applyBorder="1" applyAlignment="1" applyProtection="1"/>
    <xf numFmtId="164" fontId="27" fillId="0" borderId="9" xfId="1" applyNumberFormat="1" applyFont="1" applyFill="1" applyBorder="1" applyAlignment="1">
      <alignment horizontal="center" vertical="center"/>
    </xf>
    <xf numFmtId="167" fontId="29" fillId="0" borderId="0" xfId="1" applyNumberFormat="1" applyFont="1"/>
    <xf numFmtId="0" fontId="28" fillId="0" borderId="0" xfId="1" applyFont="1"/>
    <xf numFmtId="0" fontId="27" fillId="0" borderId="21" xfId="1" applyFont="1" applyFill="1" applyBorder="1"/>
    <xf numFmtId="4" fontId="27" fillId="12" borderId="22" xfId="1" applyNumberFormat="1" applyFont="1" applyFill="1" applyBorder="1"/>
    <xf numFmtId="0" fontId="27" fillId="0" borderId="5" xfId="1" applyFont="1" applyFill="1" applyBorder="1" applyAlignment="1">
      <alignment horizontal="center"/>
    </xf>
    <xf numFmtId="0" fontId="27" fillId="0" borderId="11" xfId="1" applyFont="1" applyFill="1" applyBorder="1" applyAlignment="1">
      <alignment horizontal="center"/>
    </xf>
    <xf numFmtId="0" fontId="27" fillId="0" borderId="36" xfId="1" applyFont="1" applyFill="1" applyBorder="1" applyAlignment="1">
      <alignment horizontal="center"/>
    </xf>
    <xf numFmtId="0" fontId="12" fillId="0" borderId="22" xfId="2" applyFill="1" applyBorder="1" applyAlignment="1" applyProtection="1"/>
    <xf numFmtId="4" fontId="27" fillId="0" borderId="11" xfId="1" applyNumberFormat="1" applyFont="1" applyFill="1" applyBorder="1" applyAlignment="1">
      <alignment horizontal="center" vertical="center"/>
    </xf>
    <xf numFmtId="167" fontId="30" fillId="0" borderId="0" xfId="4" applyNumberFormat="1" applyFont="1" applyFill="1" applyAlignment="1" applyProtection="1"/>
    <xf numFmtId="167" fontId="30" fillId="0" borderId="0" xfId="4" applyNumberFormat="1" applyFont="1" applyAlignment="1" applyProtection="1"/>
    <xf numFmtId="4" fontId="27" fillId="12" borderId="22" xfId="1" applyNumberFormat="1" applyFont="1" applyFill="1" applyBorder="1" applyAlignment="1">
      <alignment horizontal="right"/>
    </xf>
    <xf numFmtId="4" fontId="27" fillId="0" borderId="22" xfId="1" applyNumberFormat="1" applyFont="1" applyFill="1" applyBorder="1" applyAlignment="1">
      <alignment horizontal="center"/>
    </xf>
    <xf numFmtId="168" fontId="27" fillId="12" borderId="22" xfId="1" applyNumberFormat="1" applyFont="1" applyFill="1" applyBorder="1"/>
    <xf numFmtId="2" fontId="12" fillId="0" borderId="11" xfId="2" applyNumberFormat="1" applyFill="1" applyBorder="1" applyAlignment="1" applyProtection="1"/>
    <xf numFmtId="0" fontId="30" fillId="0" borderId="0" xfId="4" applyFont="1" applyAlignment="1" applyProtection="1"/>
    <xf numFmtId="0" fontId="27" fillId="0" borderId="24" xfId="1" applyFont="1" applyFill="1" applyBorder="1"/>
    <xf numFmtId="4" fontId="27" fillId="0" borderId="25" xfId="1" applyNumberFormat="1" applyFont="1" applyFill="1" applyBorder="1" applyAlignment="1">
      <alignment horizontal="center"/>
    </xf>
    <xf numFmtId="0" fontId="27" fillId="0" borderId="26" xfId="1" applyFont="1" applyFill="1" applyBorder="1" applyAlignment="1">
      <alignment horizontal="center"/>
    </xf>
    <xf numFmtId="0" fontId="27" fillId="0" borderId="14" xfId="1" applyFont="1" applyFill="1" applyBorder="1" applyAlignment="1">
      <alignment horizontal="center"/>
    </xf>
    <xf numFmtId="168" fontId="27" fillId="12" borderId="25" xfId="1" applyNumberFormat="1" applyFont="1" applyFill="1" applyBorder="1"/>
    <xf numFmtId="0" fontId="27" fillId="0" borderId="37" xfId="1" applyFont="1" applyFill="1" applyBorder="1" applyAlignment="1">
      <alignment horizontal="center"/>
    </xf>
    <xf numFmtId="2" fontId="12" fillId="0" borderId="25" xfId="2" applyNumberFormat="1" applyFill="1" applyBorder="1" applyAlignment="1" applyProtection="1"/>
    <xf numFmtId="0" fontId="12" fillId="0" borderId="14" xfId="2" applyFill="1" applyBorder="1" applyAlignment="1" applyProtection="1"/>
    <xf numFmtId="167" fontId="31" fillId="0" borderId="0" xfId="1" applyNumberFormat="1" applyFont="1"/>
    <xf numFmtId="0" fontId="27" fillId="0" borderId="0" xfId="0" applyFont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27" fillId="0" borderId="0" xfId="1" applyFont="1"/>
    <xf numFmtId="0" fontId="27" fillId="13" borderId="31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0" borderId="0" xfId="0" applyFont="1" applyBorder="1" applyAlignment="1">
      <alignment vertical="center" wrapText="1"/>
    </xf>
    <xf numFmtId="0" fontId="27" fillId="0" borderId="0" xfId="0" applyFont="1" applyBorder="1" applyAlignment="1">
      <alignment horizontal="center" vertical="center" wrapText="1"/>
    </xf>
    <xf numFmtId="0" fontId="27" fillId="0" borderId="34" xfId="0" applyFont="1" applyBorder="1" applyAlignment="1">
      <alignment vertical="center" wrapText="1"/>
    </xf>
    <xf numFmtId="165" fontId="27" fillId="12" borderId="22" xfId="1" applyNumberFormat="1" applyFont="1" applyFill="1" applyBorder="1"/>
    <xf numFmtId="0" fontId="12" fillId="0" borderId="0" xfId="2" applyBorder="1" applyAlignment="1" applyProtection="1">
      <alignment vertical="center" wrapText="1"/>
    </xf>
    <xf numFmtId="0" fontId="27" fillId="0" borderId="22" xfId="0" applyFont="1" applyBorder="1" applyAlignment="1">
      <alignment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33" fillId="0" borderId="0" xfId="1" applyFont="1"/>
    <xf numFmtId="0" fontId="27" fillId="0" borderId="25" xfId="0" applyFont="1" applyBorder="1" applyAlignment="1">
      <alignment vertical="center" wrapText="1"/>
    </xf>
    <xf numFmtId="0" fontId="34" fillId="0" borderId="0" xfId="2" applyFont="1" applyBorder="1" applyAlignment="1" applyProtection="1">
      <alignment horizontal="center" vertical="center" wrapText="1"/>
    </xf>
    <xf numFmtId="0" fontId="28" fillId="0" borderId="0" xfId="1" applyFont="1" applyFill="1" applyAlignment="1"/>
    <xf numFmtId="0" fontId="32" fillId="0" borderId="0" xfId="0" applyFont="1" applyAlignment="1">
      <alignment vertical="center" wrapText="1"/>
    </xf>
    <xf numFmtId="0" fontId="4" fillId="0" borderId="0" xfId="5" applyFont="1" applyAlignment="1">
      <alignment vertical="center"/>
    </xf>
    <xf numFmtId="0" fontId="35" fillId="0" borderId="0" xfId="5" applyFont="1" applyAlignment="1">
      <alignment vertical="center" wrapText="1"/>
    </xf>
    <xf numFmtId="0" fontId="27" fillId="13" borderId="33" xfId="1" applyFont="1" applyFill="1" applyBorder="1" applyAlignment="1">
      <alignment horizontal="center" vertical="center" wrapText="1"/>
    </xf>
    <xf numFmtId="164" fontId="27" fillId="0" borderId="35" xfId="1" applyNumberFormat="1" applyFont="1" applyFill="1" applyBorder="1" applyAlignment="1">
      <alignment horizontal="center" vertical="center"/>
    </xf>
    <xf numFmtId="0" fontId="0" fillId="0" borderId="5" xfId="0" applyBorder="1"/>
    <xf numFmtId="0" fontId="28" fillId="0" borderId="11" xfId="1" applyFont="1" applyBorder="1"/>
    <xf numFmtId="4" fontId="27" fillId="0" borderId="36" xfId="1" applyNumberFormat="1" applyFont="1" applyFill="1" applyBorder="1" applyAlignment="1">
      <alignment horizontal="center" vertical="center"/>
    </xf>
    <xf numFmtId="0" fontId="28" fillId="0" borderId="5" xfId="1" applyFont="1" applyBorder="1"/>
    <xf numFmtId="2" fontId="12" fillId="0" borderId="36" xfId="2" applyNumberFormat="1" applyFill="1" applyBorder="1" applyAlignment="1" applyProtection="1"/>
    <xf numFmtId="0" fontId="12" fillId="0" borderId="5" xfId="2" applyBorder="1" applyAlignment="1" applyProtection="1"/>
    <xf numFmtId="0" fontId="12" fillId="0" borderId="11" xfId="2" applyBorder="1" applyAlignment="1" applyProtection="1"/>
    <xf numFmtId="0" fontId="30" fillId="0" borderId="5" xfId="4" applyFont="1" applyBorder="1" applyAlignment="1" applyProtection="1"/>
    <xf numFmtId="0" fontId="12" fillId="0" borderId="37" xfId="2" applyFill="1" applyBorder="1" applyAlignment="1" applyProtection="1"/>
    <xf numFmtId="0" fontId="26" fillId="0" borderId="26" xfId="1" applyFont="1" applyBorder="1"/>
    <xf numFmtId="0" fontId="12" fillId="0" borderId="26" xfId="2" applyBorder="1" applyAlignment="1" applyProtection="1"/>
    <xf numFmtId="0" fontId="12" fillId="0" borderId="14" xfId="2" applyBorder="1" applyAlignment="1" applyProtection="1"/>
    <xf numFmtId="0" fontId="27" fillId="0" borderId="38" xfId="1" applyFont="1" applyBorder="1" applyAlignment="1"/>
    <xf numFmtId="4" fontId="12" fillId="0" borderId="11" xfId="2" applyNumberFormat="1" applyFill="1" applyBorder="1" applyAlignment="1" applyProtection="1">
      <alignment horizontal="center" vertical="center"/>
    </xf>
    <xf numFmtId="0" fontId="27" fillId="13" borderId="39" xfId="1" applyFont="1" applyFill="1" applyBorder="1" applyAlignment="1">
      <alignment horizontal="center" vertical="center" wrapText="1"/>
    </xf>
    <xf numFmtId="165" fontId="36" fillId="0" borderId="5" xfId="0" applyNumberFormat="1" applyFont="1" applyBorder="1"/>
    <xf numFmtId="165" fontId="36" fillId="12" borderId="5" xfId="0" applyNumberFormat="1" applyFont="1" applyFill="1" applyBorder="1"/>
    <xf numFmtId="165" fontId="36" fillId="12" borderId="0" xfId="0" applyNumberFormat="1" applyFont="1" applyFill="1"/>
    <xf numFmtId="165" fontId="36" fillId="12" borderId="5" xfId="0" applyNumberFormat="1" applyFont="1" applyFill="1" applyBorder="1" applyAlignment="1">
      <alignment wrapText="1"/>
    </xf>
    <xf numFmtId="0" fontId="27" fillId="0" borderId="28" xfId="0" applyFont="1" applyBorder="1" applyAlignment="1">
      <alignment vertical="center" wrapText="1"/>
    </xf>
    <xf numFmtId="0" fontId="36" fillId="12" borderId="8" xfId="0" applyFont="1" applyFill="1" applyBorder="1"/>
    <xf numFmtId="0" fontId="27" fillId="0" borderId="21" xfId="0" applyFont="1" applyBorder="1" applyAlignment="1">
      <alignment vertical="center" wrapText="1"/>
    </xf>
    <xf numFmtId="0" fontId="36" fillId="12" borderId="12" xfId="0" applyFont="1" applyFill="1" applyBorder="1"/>
    <xf numFmtId="165" fontId="36" fillId="12" borderId="12" xfId="0" applyNumberFormat="1" applyFont="1" applyFill="1" applyBorder="1"/>
    <xf numFmtId="0" fontId="27" fillId="0" borderId="24" xfId="0" applyFont="1" applyBorder="1" applyAlignment="1">
      <alignment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4" fontId="27" fillId="12" borderId="25" xfId="1" applyNumberFormat="1" applyFont="1" applyFill="1" applyBorder="1"/>
    <xf numFmtId="170" fontId="25" fillId="0" borderId="22" xfId="1" applyNumberFormat="1" applyFont="1" applyFill="1" applyBorder="1" applyAlignment="1">
      <alignment horizontal="right" vertical="center"/>
    </xf>
    <xf numFmtId="170" fontId="25" fillId="0" borderId="5" xfId="1" applyNumberFormat="1" applyFont="1" applyFill="1" applyBorder="1" applyAlignment="1">
      <alignment horizontal="right" vertical="center"/>
    </xf>
    <xf numFmtId="171" fontId="25" fillId="0" borderId="11" xfId="1" applyNumberFormat="1" applyFont="1" applyFill="1" applyBorder="1" applyAlignment="1">
      <alignment horizontal="right" vertical="center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21" xfId="1" applyFont="1" applyBorder="1" applyAlignment="1">
      <alignment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" fillId="12" borderId="8" xfId="0" applyFont="1" applyFill="1" applyBorder="1"/>
    <xf numFmtId="0" fontId="2" fillId="12" borderId="12" xfId="0" applyFont="1" applyFill="1" applyBorder="1"/>
    <xf numFmtId="165" fontId="2" fillId="12" borderId="12" xfId="0" applyNumberFormat="1" applyFont="1" applyFill="1" applyBorder="1"/>
    <xf numFmtId="0" fontId="9" fillId="0" borderId="2" xfId="1" applyFont="1" applyFill="1" applyBorder="1" applyAlignment="1">
      <alignment horizontal="center" vertical="center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1" fillId="12" borderId="12" xfId="0" applyFont="1" applyFill="1" applyBorder="1" applyAlignment="1">
      <alignment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168" fontId="17" fillId="9" borderId="5" xfId="1" applyNumberFormat="1" applyFont="1" applyFill="1" applyBorder="1"/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1" fillId="12" borderId="12" xfId="0" applyFont="1" applyFill="1" applyBorder="1"/>
    <xf numFmtId="165" fontId="1" fillId="12" borderId="12" xfId="0" applyNumberFormat="1" applyFont="1" applyFill="1" applyBorder="1"/>
    <xf numFmtId="0" fontId="1" fillId="12" borderId="8" xfId="0" applyFont="1" applyFill="1" applyBorder="1"/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172" fontId="1" fillId="12" borderId="8" xfId="0" applyNumberFormat="1" applyFont="1" applyFill="1" applyBorder="1"/>
    <xf numFmtId="172" fontId="1" fillId="12" borderId="12" xfId="0" applyNumberFormat="1" applyFont="1" applyFill="1" applyBorder="1"/>
    <xf numFmtId="172" fontId="1" fillId="12" borderId="12" xfId="0" applyNumberFormat="1" applyFont="1" applyFill="1" applyBorder="1" applyAlignment="1">
      <alignment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37" fillId="0" borderId="0" xfId="0" applyFont="1"/>
    <xf numFmtId="14" fontId="0" fillId="0" borderId="0" xfId="0" applyNumberFormat="1"/>
    <xf numFmtId="0" fontId="0" fillId="0" borderId="0" xfId="0" applyNumberFormat="1"/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16" xfId="1" applyFont="1" applyFill="1" applyBorder="1" applyAlignment="1">
      <alignment horizontal="center" vertical="center" wrapText="1"/>
    </xf>
    <xf numFmtId="0" fontId="37" fillId="12" borderId="0" xfId="0" applyFont="1" applyFill="1"/>
    <xf numFmtId="14" fontId="0" fillId="12" borderId="0" xfId="0" applyNumberFormat="1" applyFill="1"/>
    <xf numFmtId="0" fontId="0" fillId="12" borderId="0" xfId="0" applyNumberFormat="1" applyFill="1"/>
    <xf numFmtId="0" fontId="0" fillId="12" borderId="0" xfId="0" applyFill="1"/>
    <xf numFmtId="0" fontId="25" fillId="0" borderId="0" xfId="1" applyFont="1" applyBorder="1" applyAlignment="1">
      <alignment horizontal="center" vertical="center" wrapText="1"/>
    </xf>
    <xf numFmtId="0" fontId="27" fillId="13" borderId="16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2" fontId="27" fillId="13" borderId="14" xfId="1" applyNumberFormat="1" applyFont="1" applyFill="1" applyBorder="1" applyAlignment="1">
      <alignment horizontal="center" vertical="center" wrapText="1"/>
    </xf>
    <xf numFmtId="14" fontId="26" fillId="0" borderId="0" xfId="1" applyNumberFormat="1" applyFont="1" applyAlignment="1">
      <alignment vertical="center"/>
    </xf>
    <xf numFmtId="0" fontId="26" fillId="0" borderId="0" xfId="1" quotePrefix="1" applyFont="1" applyAlignment="1">
      <alignment vertical="center"/>
    </xf>
    <xf numFmtId="0" fontId="27" fillId="13" borderId="17" xfId="1" applyFont="1" applyFill="1" applyBorder="1" applyAlignment="1">
      <alignment horizontal="center" vertical="center" wrapText="1"/>
    </xf>
    <xf numFmtId="2" fontId="27" fillId="13" borderId="25" xfId="1" applyNumberFormat="1" applyFont="1" applyFill="1" applyBorder="1" applyAlignment="1">
      <alignment horizontal="center" vertical="center" wrapText="1"/>
    </xf>
    <xf numFmtId="2" fontId="27" fillId="13" borderId="26" xfId="1" applyNumberFormat="1" applyFont="1" applyFill="1" applyBorder="1" applyAlignment="1">
      <alignment horizontal="center" vertical="center" wrapText="1"/>
    </xf>
    <xf numFmtId="170" fontId="26" fillId="0" borderId="5" xfId="1" applyNumberFormat="1" applyFont="1" applyBorder="1" applyAlignment="1">
      <alignment vertical="center"/>
    </xf>
    <xf numFmtId="170" fontId="26" fillId="0" borderId="22" xfId="1" applyNumberFormat="1" applyFont="1" applyBorder="1" applyAlignment="1">
      <alignment vertical="center"/>
    </xf>
    <xf numFmtId="170" fontId="26" fillId="0" borderId="11" xfId="1" applyNumberFormat="1" applyFont="1" applyBorder="1" applyAlignment="1">
      <alignment vertical="center"/>
    </xf>
    <xf numFmtId="170" fontId="26" fillId="0" borderId="25" xfId="1" applyNumberFormat="1" applyFont="1" applyBorder="1" applyAlignment="1">
      <alignment vertical="center"/>
    </xf>
    <xf numFmtId="170" fontId="26" fillId="0" borderId="26" xfId="1" applyNumberFormat="1" applyFont="1" applyBorder="1" applyAlignment="1">
      <alignment vertical="center"/>
    </xf>
    <xf numFmtId="170" fontId="26" fillId="0" borderId="14" xfId="1" applyNumberFormat="1" applyFont="1" applyBorder="1" applyAlignment="1">
      <alignment vertical="center"/>
    </xf>
    <xf numFmtId="170" fontId="26" fillId="0" borderId="34" xfId="1" applyNumberFormat="1" applyFont="1" applyBorder="1" applyAlignment="1">
      <alignment vertical="center"/>
    </xf>
    <xf numFmtId="170" fontId="26" fillId="0" borderId="2" xfId="1" applyNumberFormat="1" applyFont="1" applyBorder="1" applyAlignment="1">
      <alignment vertical="center"/>
    </xf>
    <xf numFmtId="170" fontId="26" fillId="0" borderId="9" xfId="1" applyNumberFormat="1" applyFont="1" applyBorder="1" applyAlignment="1">
      <alignment vertical="center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16" xfId="1" applyFont="1" applyFill="1" applyBorder="1" applyAlignment="1">
      <alignment horizontal="center" vertical="center" wrapText="1"/>
    </xf>
    <xf numFmtId="2" fontId="27" fillId="13" borderId="25" xfId="1" applyNumberFormat="1" applyFont="1" applyFill="1" applyBorder="1" applyAlignment="1">
      <alignment horizontal="center" vertical="center" wrapText="1"/>
    </xf>
    <xf numFmtId="2" fontId="27" fillId="13" borderId="26" xfId="1" applyNumberFormat="1" applyFont="1" applyFill="1" applyBorder="1" applyAlignment="1">
      <alignment horizontal="center" vertical="center" wrapText="1"/>
    </xf>
    <xf numFmtId="2" fontId="27" fillId="13" borderId="14" xfId="1" applyNumberFormat="1" applyFont="1" applyFill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13" borderId="16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2" fontId="27" fillId="13" borderId="25" xfId="1" applyNumberFormat="1" applyFont="1" applyFill="1" applyBorder="1" applyAlignment="1">
      <alignment horizontal="center" vertical="center" wrapText="1"/>
    </xf>
    <xf numFmtId="2" fontId="27" fillId="13" borderId="26" xfId="1" applyNumberFormat="1" applyFont="1" applyFill="1" applyBorder="1" applyAlignment="1">
      <alignment horizontal="center" vertical="center" wrapText="1"/>
    </xf>
    <xf numFmtId="2" fontId="27" fillId="13" borderId="14" xfId="1" applyNumberFormat="1" applyFont="1" applyFill="1" applyBorder="1" applyAlignment="1">
      <alignment horizontal="center" vertical="center" wrapText="1"/>
    </xf>
    <xf numFmtId="0" fontId="10" fillId="3" borderId="4" xfId="1" applyFont="1" applyFill="1" applyBorder="1" applyAlignment="1">
      <alignment vertical="center" wrapText="1"/>
    </xf>
    <xf numFmtId="0" fontId="5" fillId="0" borderId="7" xfId="1" applyFont="1" applyBorder="1" applyAlignment="1">
      <alignment vertical="center" wrapText="1"/>
    </xf>
    <xf numFmtId="0" fontId="8" fillId="0" borderId="1" xfId="1" applyFont="1" applyBorder="1" applyAlignment="1">
      <alignment horizontal="center" vertical="center" wrapText="1"/>
    </xf>
    <xf numFmtId="0" fontId="6" fillId="0" borderId="2" xfId="1" applyFont="1" applyFill="1" applyBorder="1" applyAlignment="1">
      <alignment horizontal="center" vertical="center" wrapText="1"/>
    </xf>
    <xf numFmtId="0" fontId="7" fillId="0" borderId="5" xfId="1" applyFont="1" applyFill="1" applyBorder="1" applyAlignment="1">
      <alignment horizontal="center" vertical="center" wrapText="1"/>
    </xf>
    <xf numFmtId="0" fontId="9" fillId="0" borderId="2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/>
    </xf>
    <xf numFmtId="0" fontId="7" fillId="0" borderId="5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 wrapText="1"/>
    </xf>
    <xf numFmtId="0" fontId="7" fillId="0" borderId="6" xfId="1" applyFont="1" applyBorder="1" applyAlignment="1">
      <alignment horizontal="center" vertical="center" wrapText="1"/>
    </xf>
    <xf numFmtId="0" fontId="25" fillId="0" borderId="0" xfId="1" applyFont="1" applyBorder="1" applyAlignment="1">
      <alignment horizontal="center" vertical="center" wrapText="1"/>
    </xf>
    <xf numFmtId="0" fontId="27" fillId="0" borderId="15" xfId="1" applyFont="1" applyBorder="1" applyAlignment="1">
      <alignment horizontal="right" vertical="center" wrapText="1"/>
    </xf>
    <xf numFmtId="14" fontId="27" fillId="12" borderId="0" xfId="1" applyNumberFormat="1" applyFont="1" applyFill="1" applyBorder="1" applyAlignment="1">
      <alignment horizontal="left" vertical="center" wrapText="1"/>
    </xf>
    <xf numFmtId="0" fontId="27" fillId="13" borderId="16" xfId="1" applyFont="1" applyFill="1" applyBorder="1" applyAlignment="1">
      <alignment horizontal="center" vertical="center" wrapText="1"/>
    </xf>
    <xf numFmtId="0" fontId="27" fillId="13" borderId="21" xfId="1" applyFont="1" applyFill="1" applyBorder="1" applyAlignment="1">
      <alignment horizontal="center" vertical="center" wrapText="1"/>
    </xf>
    <xf numFmtId="0" fontId="27" fillId="13" borderId="24" xfId="1" applyFont="1" applyFill="1" applyBorder="1" applyAlignment="1">
      <alignment horizontal="center" vertical="center" wrapText="1"/>
    </xf>
    <xf numFmtId="0" fontId="27" fillId="13" borderId="17" xfId="1" applyFont="1" applyFill="1" applyBorder="1" applyAlignment="1">
      <alignment horizontal="center" vertical="center"/>
    </xf>
    <xf numFmtId="0" fontId="27" fillId="13" borderId="18" xfId="1" applyFont="1" applyFill="1" applyBorder="1" applyAlignment="1">
      <alignment horizontal="center" vertical="center"/>
    </xf>
    <xf numFmtId="0" fontId="27" fillId="13" borderId="19" xfId="1" applyFont="1" applyFill="1" applyBorder="1" applyAlignment="1">
      <alignment horizontal="center" vertical="center"/>
    </xf>
    <xf numFmtId="0" fontId="27" fillId="13" borderId="30" xfId="1" applyFont="1" applyFill="1" applyBorder="1" applyAlignment="1">
      <alignment horizontal="center" vertical="center"/>
    </xf>
    <xf numFmtId="0" fontId="27" fillId="13" borderId="31" xfId="1" applyFont="1" applyFill="1" applyBorder="1" applyAlignment="1">
      <alignment horizontal="center" vertical="center"/>
    </xf>
    <xf numFmtId="0" fontId="27" fillId="13" borderId="32" xfId="1" applyFont="1" applyFill="1" applyBorder="1" applyAlignment="1">
      <alignment horizontal="center" vertical="center"/>
    </xf>
    <xf numFmtId="0" fontId="27" fillId="13" borderId="33" xfId="1" applyFont="1" applyFill="1" applyBorder="1" applyAlignment="1">
      <alignment horizontal="center" vertical="center"/>
    </xf>
    <xf numFmtId="0" fontId="27" fillId="0" borderId="38" xfId="1" applyFont="1" applyBorder="1" applyAlignment="1">
      <alignment horizontal="left" wrapText="1"/>
    </xf>
    <xf numFmtId="0" fontId="27" fillId="0" borderId="38" xfId="1" applyFont="1" applyBorder="1" applyAlignment="1">
      <alignment horizontal="left"/>
    </xf>
    <xf numFmtId="0" fontId="27" fillId="13" borderId="20" xfId="1" applyFont="1" applyFill="1" applyBorder="1" applyAlignment="1">
      <alignment horizontal="center" vertical="center"/>
    </xf>
    <xf numFmtId="0" fontId="27" fillId="13" borderId="23" xfId="1" applyFont="1" applyFill="1" applyBorder="1" applyAlignment="1">
      <alignment horizontal="center" vertical="center"/>
    </xf>
    <xf numFmtId="0" fontId="27" fillId="13" borderId="27" xfId="1" applyFont="1" applyFill="1" applyBorder="1" applyAlignment="1">
      <alignment horizontal="center" vertical="center"/>
    </xf>
    <xf numFmtId="0" fontId="27" fillId="13" borderId="5" xfId="1" applyFont="1" applyFill="1" applyBorder="1" applyAlignment="1">
      <alignment horizontal="center" vertical="center" wrapText="1"/>
    </xf>
    <xf numFmtId="0" fontId="27" fillId="13" borderId="11" xfId="1" applyFont="1" applyFill="1" applyBorder="1" applyAlignment="1">
      <alignment horizontal="center" vertical="center" wrapText="1"/>
    </xf>
    <xf numFmtId="0" fontId="27" fillId="13" borderId="31" xfId="1" applyFont="1" applyFill="1" applyBorder="1" applyAlignment="1">
      <alignment horizontal="center" vertical="center" wrapText="1"/>
    </xf>
    <xf numFmtId="0" fontId="27" fillId="13" borderId="32" xfId="1" applyFont="1" applyFill="1" applyBorder="1" applyAlignment="1">
      <alignment horizontal="center" vertical="center" wrapText="1"/>
    </xf>
    <xf numFmtId="0" fontId="12" fillId="0" borderId="2" xfId="2" applyBorder="1" applyAlignment="1" applyProtection="1">
      <alignment horizontal="center" vertical="center" wrapText="1"/>
    </xf>
    <xf numFmtId="0" fontId="12" fillId="0" borderId="9" xfId="2" applyBorder="1" applyAlignment="1" applyProtection="1">
      <alignment horizontal="center" vertical="center" wrapText="1"/>
    </xf>
    <xf numFmtId="0" fontId="12" fillId="0" borderId="5" xfId="2" applyBorder="1" applyAlignment="1" applyProtection="1">
      <alignment horizontal="center" vertical="center" wrapText="1"/>
    </xf>
    <xf numFmtId="0" fontId="12" fillId="0" borderId="11" xfId="2" applyBorder="1" applyAlignment="1" applyProtection="1">
      <alignment horizontal="center" vertical="center" wrapText="1"/>
    </xf>
    <xf numFmtId="0" fontId="12" fillId="0" borderId="26" xfId="2" applyBorder="1" applyAlignment="1" applyProtection="1">
      <alignment horizontal="center" vertical="center" wrapText="1"/>
    </xf>
    <xf numFmtId="0" fontId="12" fillId="0" borderId="14" xfId="2" applyBorder="1" applyAlignment="1" applyProtection="1">
      <alignment horizontal="center" vertical="center" wrapText="1"/>
    </xf>
    <xf numFmtId="0" fontId="28" fillId="12" borderId="0" xfId="1" applyFont="1" applyFill="1" applyAlignment="1">
      <alignment horizontal="left"/>
    </xf>
    <xf numFmtId="0" fontId="12" fillId="0" borderId="8" xfId="2" applyBorder="1" applyAlignment="1" applyProtection="1">
      <alignment horizontal="center" vertical="center" wrapText="1"/>
    </xf>
    <xf numFmtId="0" fontId="12" fillId="0" borderId="12" xfId="2" applyBorder="1" applyAlignment="1" applyProtection="1">
      <alignment horizontal="center" vertical="center" wrapText="1"/>
    </xf>
    <xf numFmtId="0" fontId="12" fillId="0" borderId="13" xfId="2" applyBorder="1" applyAlignment="1" applyProtection="1">
      <alignment horizontal="center" vertical="center" wrapText="1"/>
    </xf>
    <xf numFmtId="0" fontId="27" fillId="13" borderId="40" xfId="1" applyFont="1" applyFill="1" applyBorder="1" applyAlignment="1">
      <alignment horizontal="center" vertical="center" wrapText="1"/>
    </xf>
    <xf numFmtId="0" fontId="27" fillId="13" borderId="0" xfId="1" applyFont="1" applyFill="1" applyBorder="1" applyAlignment="1">
      <alignment horizontal="center" vertical="center" wrapText="1"/>
    </xf>
    <xf numFmtId="0" fontId="27" fillId="13" borderId="41" xfId="1" applyFont="1" applyFill="1" applyBorder="1" applyAlignment="1">
      <alignment horizontal="center" vertical="center" wrapText="1"/>
    </xf>
    <xf numFmtId="2" fontId="27" fillId="13" borderId="25" xfId="1" applyNumberFormat="1" applyFont="1" applyFill="1" applyBorder="1" applyAlignment="1">
      <alignment horizontal="center" vertical="center" wrapText="1"/>
    </xf>
    <xf numFmtId="2" fontId="27" fillId="13" borderId="26" xfId="1" applyNumberFormat="1" applyFont="1" applyFill="1" applyBorder="1" applyAlignment="1">
      <alignment horizontal="center" vertical="center" wrapText="1"/>
    </xf>
    <xf numFmtId="2" fontId="27" fillId="13" borderId="14" xfId="1" applyNumberFormat="1" applyFont="1" applyFill="1" applyBorder="1" applyAlignment="1">
      <alignment horizontal="center" vertical="center" wrapText="1"/>
    </xf>
  </cellXfs>
  <cellStyles count="7">
    <cellStyle name="Гиперссылка" xfId="2" builtinId="8"/>
    <cellStyle name="Гиперссылка 2" xfId="4"/>
    <cellStyle name="Обычный" xfId="0" builtinId="0"/>
    <cellStyle name="Обычный 2" xfId="1"/>
    <cellStyle name="Обычный 2 2" xfId="6"/>
    <cellStyle name="Обычный 3" xfId="5"/>
    <cellStyle name="Процентный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www.lukoil.lt/ru/avtozapravochnye_stancii_azs_/karta_azs?filterID=32,87" TargetMode="External"/><Relationship Id="rId1" Type="http://schemas.openxmlformats.org/officeDocument/2006/relationships/image" Target="../media/image1.png"/><Relationship Id="rId5" Type="http://schemas.openxmlformats.org/officeDocument/2006/relationships/hyperlink" Target="http://www.lukoil.lt/ru/avtozapravochnye_stancii_azs_/karta_azs?filterID=86,87,111" TargetMode="External"/><Relationship Id="rId4" Type="http://schemas.openxmlformats.org/officeDocument/2006/relationships/hyperlink" Target="http://www.lukoil.lt/ru/avtozapravochnye_stancii_azs_/karta_azs?filterID=22,77,104,110,117,118,119" TargetMode="Externa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://www.lukoil.lt/ru/avtozapravochnye_stancii_azs_/karta_azs?filterID=32,87" TargetMode="Externa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http://www.lukoil.lt/ru/avtozapravochnye_stancii_azs_/karta_azs?filterID=32,87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36</xdr:row>
      <xdr:rowOff>0</xdr:rowOff>
    </xdr:from>
    <xdr:to>
      <xdr:col>5</xdr:col>
      <xdr:colOff>144780</xdr:colOff>
      <xdr:row>36</xdr:row>
      <xdr:rowOff>99060</xdr:rowOff>
    </xdr:to>
    <xdr:pic>
      <xdr:nvPicPr>
        <xdr:cNvPr id="2" name="Рисунок 1" descr="Отсортировано по этой колонке">
          <a:extLst>
            <a:ext uri="{FF2B5EF4-FFF2-40B4-BE49-F238E27FC236}">
              <a16:creationId xmlns:a16="http://schemas.microsoft.com/office/drawing/2014/main" xmlns="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62750" y="8334375"/>
          <a:ext cx="144780" cy="99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175260</xdr:colOff>
      <xdr:row>58</xdr:row>
      <xdr:rowOff>0</xdr:rowOff>
    </xdr:to>
    <xdr:pic>
      <xdr:nvPicPr>
        <xdr:cNvPr id="3" name="Рисунок 2" descr="http://www.lukoil.lt/images/map.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144375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175260</xdr:colOff>
      <xdr:row>62</xdr:row>
      <xdr:rowOff>0</xdr:rowOff>
    </xdr:to>
    <xdr:pic>
      <xdr:nvPicPr>
        <xdr:cNvPr id="4" name="Рисунок 3" descr="http://www.lukoil.lt/images/map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1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287780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0</xdr:col>
      <xdr:colOff>175260</xdr:colOff>
      <xdr:row>69</xdr:row>
      <xdr:rowOff>0</xdr:rowOff>
    </xdr:to>
    <xdr:pic>
      <xdr:nvPicPr>
        <xdr:cNvPr id="5" name="Рисунок 4" descr="http://www.lukoil.lt/images/map.png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1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0" y="14154150"/>
          <a:ext cx="175260" cy="190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0</xdr:col>
      <xdr:colOff>175260</xdr:colOff>
      <xdr:row>26</xdr:row>
      <xdr:rowOff>0</xdr:rowOff>
    </xdr:to>
    <xdr:pic>
      <xdr:nvPicPr>
        <xdr:cNvPr id="2" name="Рисунок 1" descr="http://www.lukoil.lt/images/map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4143375"/>
          <a:ext cx="175260" cy="1867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0</xdr:col>
      <xdr:colOff>175260</xdr:colOff>
      <xdr:row>26</xdr:row>
      <xdr:rowOff>0</xdr:rowOff>
    </xdr:to>
    <xdr:pic>
      <xdr:nvPicPr>
        <xdr:cNvPr id="2" name="Рисунок 1" descr="http://www.lukoil.lt/images/map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4143375"/>
          <a:ext cx="175260" cy="18677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comments" Target="../comments1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vmlDrawing" Target="../drawings/vmlDrawing1.v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drawing" Target="../drawings/drawing1.xm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comments" Target="../comments2.x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vmlDrawing" Target="../drawings/vmlDrawing2.v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drawing" Target="../drawings/drawing2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printerSettings" Target="../printerSettings/printerSettings2.bin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comments" Target="../comments3.x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vmlDrawing" Target="../drawings/vmlDrawing3.v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drawing" Target="../drawings/drawing3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printerSettings" Target="../printerSettings/printerSettings3.bin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comments" Target="../comments4.x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vmlDrawing" Target="../drawings/vmlDrawing4.v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drawing" Target="../drawings/drawing4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printerSettings" Target="../printerSettings/printerSettings4.bin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comments" Target="../comments5.x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vmlDrawing" Target="../drawings/vmlDrawing5.v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drawing" Target="../drawings/drawing5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printerSettings" Target="../printerSettings/printerSettings5.bin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6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6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6.bin"/><Relationship Id="rId40" Type="http://schemas.openxmlformats.org/officeDocument/2006/relationships/comments" Target="../comments6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7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7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7.bin"/><Relationship Id="rId40" Type="http://schemas.openxmlformats.org/officeDocument/2006/relationships/comments" Target="../comments7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8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8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8.bin"/><Relationship Id="rId40" Type="http://schemas.openxmlformats.org/officeDocument/2006/relationships/comments" Target="../comments8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9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9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9.bin"/><Relationship Id="rId40" Type="http://schemas.openxmlformats.org/officeDocument/2006/relationships/comments" Target="../comments9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0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0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0.bin"/><Relationship Id="rId40" Type="http://schemas.openxmlformats.org/officeDocument/2006/relationships/comments" Target="../comments10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1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1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1.bin"/><Relationship Id="rId40" Type="http://schemas.openxmlformats.org/officeDocument/2006/relationships/comments" Target="../comments11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2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2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2.bin"/><Relationship Id="rId40" Type="http://schemas.openxmlformats.org/officeDocument/2006/relationships/comments" Target="../comments12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3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3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3.bin"/><Relationship Id="rId40" Type="http://schemas.openxmlformats.org/officeDocument/2006/relationships/comments" Target="../comments13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4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4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4.bin"/><Relationship Id="rId40" Type="http://schemas.openxmlformats.org/officeDocument/2006/relationships/comments" Target="../comments14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5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5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5.bin"/><Relationship Id="rId40" Type="http://schemas.openxmlformats.org/officeDocument/2006/relationships/comments" Target="../comments15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6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6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6.bin"/><Relationship Id="rId40" Type="http://schemas.openxmlformats.org/officeDocument/2006/relationships/comments" Target="../comments16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7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7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7.bin"/><Relationship Id="rId40" Type="http://schemas.openxmlformats.org/officeDocument/2006/relationships/comments" Target="../comments17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8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8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8.bin"/><Relationship Id="rId40" Type="http://schemas.openxmlformats.org/officeDocument/2006/relationships/comments" Target="../comments18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19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19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19.bin"/><Relationship Id="rId40" Type="http://schemas.openxmlformats.org/officeDocument/2006/relationships/comments" Target="../comments19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0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0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0.bin"/><Relationship Id="rId40" Type="http://schemas.openxmlformats.org/officeDocument/2006/relationships/comments" Target="../comments20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1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1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1.bin"/><Relationship Id="rId40" Type="http://schemas.openxmlformats.org/officeDocument/2006/relationships/comments" Target="../comments21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2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2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2.bin"/><Relationship Id="rId40" Type="http://schemas.openxmlformats.org/officeDocument/2006/relationships/comments" Target="../comments22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3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3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3.bin"/><Relationship Id="rId40" Type="http://schemas.openxmlformats.org/officeDocument/2006/relationships/comments" Target="../comments23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4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4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4.bin"/><Relationship Id="rId40" Type="http://schemas.openxmlformats.org/officeDocument/2006/relationships/comments" Target="../comments24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5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5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5.bin"/><Relationship Id="rId40" Type="http://schemas.openxmlformats.org/officeDocument/2006/relationships/comments" Target="../comments25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osnovnaja_stranica" TargetMode="External"/><Relationship Id="rId26" Type="http://schemas.openxmlformats.org/officeDocument/2006/relationships/hyperlink" Target="http://www.lukoil.lt/ru/avtozapravochnye_stancii_azs_/karta_azs?filterID=86,87,111" TargetMode="External"/><Relationship Id="rId39" Type="http://schemas.openxmlformats.org/officeDocument/2006/relationships/vmlDrawing" Target="../drawings/vmlDrawing26.vm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54" TargetMode="External"/><Relationship Id="rId34" Type="http://schemas.openxmlformats.org/officeDocument/2006/relationships/hyperlink" Target="http://www.benzin-price.ru/price.php?region_id=32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v/lv/galvena_lapa" TargetMode="External"/><Relationship Id="rId25" Type="http://schemas.openxmlformats.org/officeDocument/2006/relationships/hyperlink" Target="http://www.lukoil.lt/ru/avtozapravochnye_stancii_azs_/karta_azs?filterID=67" TargetMode="External"/><Relationship Id="rId33" Type="http://schemas.openxmlformats.org/officeDocument/2006/relationships/hyperlink" Target="http://www.nbrb.by/" TargetMode="External"/><Relationship Id="rId38" Type="http://schemas.openxmlformats.org/officeDocument/2006/relationships/drawing" Target="../drawings/drawing26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67" TargetMode="External"/><Relationship Id="rId29" Type="http://schemas.openxmlformats.org/officeDocument/2006/relationships/hyperlink" Target="http://www.fuel-prices-europe.info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22,77,104,110,117,118,119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printerSettings" Target="../printerSettings/printerSettings26.bin"/><Relationship Id="rId40" Type="http://schemas.openxmlformats.org/officeDocument/2006/relationships/comments" Target="../comments26.x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32,87" TargetMode="External"/><Relationship Id="rId28" Type="http://schemas.openxmlformats.org/officeDocument/2006/relationships/hyperlink" Target="http://www.e-petrol.ru/rynek-krajowy/ceny-stacje-paliw" TargetMode="External"/><Relationship Id="rId36" Type="http://schemas.openxmlformats.org/officeDocument/2006/relationships/hyperlink" Target="http://autotraveler.ru/latvia/" TargetMode="Externa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65" TargetMode="External"/><Relationship Id="rId31" Type="http://schemas.openxmlformats.org/officeDocument/2006/relationships/hyperlink" Target="http://natrakte.ru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33" TargetMode="External"/><Relationship Id="rId27" Type="http://schemas.openxmlformats.org/officeDocument/2006/relationships/hyperlink" Target="http://www.lukoil.lt/ru/avtozapravochnye_stancii_azs_/karta_azs?filterID=65" TargetMode="External"/><Relationship Id="rId30" Type="http://schemas.openxmlformats.org/officeDocument/2006/relationships/hyperlink" Target="http://autotraveler.ru/lithuania/" TargetMode="External"/><Relationship Id="rId35" Type="http://schemas.openxmlformats.org/officeDocument/2006/relationships/hyperlink" Target="http://region-cm.ru/node/36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price.php?region_id=60&amp;sort=3&amp;brand_id=0&amp;price_mode=" TargetMode="External"/><Relationship Id="rId13" Type="http://schemas.openxmlformats.org/officeDocument/2006/relationships/hyperlink" Target="http://www.benzin-price.ru/price.php?region_id=60&amp;sort=9&amp;brand_id=0&amp;price_mode=" TargetMode="External"/><Relationship Id="rId18" Type="http://schemas.openxmlformats.org/officeDocument/2006/relationships/hyperlink" Target="http://www.lukoil.lt/ru/avtozapravochnye_stancii_azs_/karta_azs?filterID=67" TargetMode="External"/><Relationship Id="rId26" Type="http://schemas.openxmlformats.org/officeDocument/2006/relationships/hyperlink" Target="http://www.e-petrol.ru/rynek-krajowy/ceny-stacje-paliw" TargetMode="External"/><Relationship Id="rId3" Type="http://schemas.openxmlformats.org/officeDocument/2006/relationships/hyperlink" Target="http://www.benzin-price.ru/price.php?region_id=77" TargetMode="External"/><Relationship Id="rId21" Type="http://schemas.openxmlformats.org/officeDocument/2006/relationships/hyperlink" Target="http://www.lukoil.lt/ru/avtozapravochnye_stancii_azs_/karta_azs?filterID=32,87" TargetMode="External"/><Relationship Id="rId34" Type="http://schemas.openxmlformats.org/officeDocument/2006/relationships/hyperlink" Target="http://autotraveler.ru/latvia/" TargetMode="External"/><Relationship Id="rId7" Type="http://schemas.openxmlformats.org/officeDocument/2006/relationships/hyperlink" Target="http://www.benzin-price.ru/price.php?region_id=60&amp;sort=2&amp;brand_id=0&amp;price_mode=" TargetMode="External"/><Relationship Id="rId12" Type="http://schemas.openxmlformats.org/officeDocument/2006/relationships/hyperlink" Target="http://www.benzin-price.ru/price.php?region_id=60&amp;sort=8&amp;brand_id=0&amp;price_mode=" TargetMode="External"/><Relationship Id="rId17" Type="http://schemas.openxmlformats.org/officeDocument/2006/relationships/hyperlink" Target="http://www.lukoil.lt/ru/avtozapravochnye_stancii_azs_/karta_azs?filterID=65" TargetMode="External"/><Relationship Id="rId25" Type="http://schemas.openxmlformats.org/officeDocument/2006/relationships/hyperlink" Target="http://www.lukoil.lt/ru/avtozapravochnye_stancii_azs_/karta_azs?filterID=65" TargetMode="External"/><Relationship Id="rId33" Type="http://schemas.openxmlformats.org/officeDocument/2006/relationships/hyperlink" Target="http://region-cm.ru/node/36" TargetMode="External"/><Relationship Id="rId38" Type="http://schemas.openxmlformats.org/officeDocument/2006/relationships/comments" Target="../comments27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hyperlink" Target="http://www.vseazs.com/" TargetMode="External"/><Relationship Id="rId20" Type="http://schemas.openxmlformats.org/officeDocument/2006/relationships/hyperlink" Target="http://www.lukoil.lt/ru/avtozapravochnye_stancii_azs_/karta_azs?filterID=33" TargetMode="External"/><Relationship Id="rId29" Type="http://schemas.openxmlformats.org/officeDocument/2006/relationships/hyperlink" Target="http://natrakte.ru/" TargetMode="External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benzin-price.ru/price.php?region_id=60&amp;sort=1&amp;brand_id=0&amp;price_mode=" TargetMode="External"/><Relationship Id="rId11" Type="http://schemas.openxmlformats.org/officeDocument/2006/relationships/hyperlink" Target="http://www.benzin-price.ru/price.php?region_id=60&amp;sort=7&amp;brand_id=0&amp;price_mode=" TargetMode="External"/><Relationship Id="rId24" Type="http://schemas.openxmlformats.org/officeDocument/2006/relationships/hyperlink" Target="http://www.lukoil.lt/ru/avtozapravochnye_stancii_azs_/karta_azs?filterID=86,87,111" TargetMode="External"/><Relationship Id="rId32" Type="http://schemas.openxmlformats.org/officeDocument/2006/relationships/hyperlink" Target="http://www.benzin-price.ru/price.php?region_id=32" TargetMode="External"/><Relationship Id="rId37" Type="http://schemas.openxmlformats.org/officeDocument/2006/relationships/vmlDrawing" Target="../drawings/vmlDrawing27.vm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www.benzin-price.ru/price.php?region_id=60&amp;sort=11&amp;brand_id=0&amp;price_mode=" TargetMode="External"/><Relationship Id="rId23" Type="http://schemas.openxmlformats.org/officeDocument/2006/relationships/hyperlink" Target="http://www.lukoil.lt/ru/avtozapravochnye_stancii_azs_/karta_azs?filterID=67" TargetMode="External"/><Relationship Id="rId28" Type="http://schemas.openxmlformats.org/officeDocument/2006/relationships/hyperlink" Target="http://autotraveler.ru/lithuania/" TargetMode="External"/><Relationship Id="rId36" Type="http://schemas.openxmlformats.org/officeDocument/2006/relationships/drawing" Target="../drawings/drawing27.xml"/><Relationship Id="rId10" Type="http://schemas.openxmlformats.org/officeDocument/2006/relationships/hyperlink" Target="http://www.benzin-price.ru/price.php?region_id=60&amp;sort=6&amp;brand_id=0&amp;price_mode=" TargetMode="External"/><Relationship Id="rId19" Type="http://schemas.openxmlformats.org/officeDocument/2006/relationships/hyperlink" Target="http://www.lukoil.lt/ru/avtozapravochnye_stancii_azs_/karta_azs?filterID=54" TargetMode="External"/><Relationship Id="rId31" Type="http://schemas.openxmlformats.org/officeDocument/2006/relationships/hyperlink" Target="http://www.nbrb.by/" TargetMode="Externa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www.benzin-price.ru/price.php?region_id=60&amp;sort=5&amp;brand_id=0&amp;price_mode=" TargetMode="External"/><Relationship Id="rId14" Type="http://schemas.openxmlformats.org/officeDocument/2006/relationships/hyperlink" Target="http://www.benzin-price.ru/price.php?region_id=60&amp;sort=10&amp;brand_id=0&amp;price_mode=" TargetMode="External"/><Relationship Id="rId22" Type="http://schemas.openxmlformats.org/officeDocument/2006/relationships/hyperlink" Target="http://www.lukoil.lt/ru/avtozapravochnye_stancii_azs_/karta_azs?filterID=22,77,104,110,117,118,119" TargetMode="External"/><Relationship Id="rId27" Type="http://schemas.openxmlformats.org/officeDocument/2006/relationships/hyperlink" Target="http://www.fuel-prices-europe.info/" TargetMode="External"/><Relationship Id="rId30" Type="http://schemas.openxmlformats.org/officeDocument/2006/relationships/hyperlink" Target="http://www.gazpromlpg.ru/?id=415" TargetMode="External"/><Relationship Id="rId35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fuel-prices-europe.info/" TargetMode="External"/><Relationship Id="rId13" Type="http://schemas.openxmlformats.org/officeDocument/2006/relationships/hyperlink" Target="http://www.benzin-price.ru/price.php?region_id=32" TargetMode="External"/><Relationship Id="rId18" Type="http://schemas.openxmlformats.org/officeDocument/2006/relationships/vmlDrawing" Target="../drawings/vmlDrawing28.vml"/><Relationship Id="rId3" Type="http://schemas.openxmlformats.org/officeDocument/2006/relationships/hyperlink" Target="http://www.benzin-price.ru/price.php?region_id=77" TargetMode="External"/><Relationship Id="rId7" Type="http://schemas.openxmlformats.org/officeDocument/2006/relationships/hyperlink" Target="http://www.e-petrol.ru/rynek-krajowy/ceny-stacje-paliw" TargetMode="External"/><Relationship Id="rId12" Type="http://schemas.openxmlformats.org/officeDocument/2006/relationships/hyperlink" Target="http://www.nbrb.by/" TargetMode="External"/><Relationship Id="rId17" Type="http://schemas.openxmlformats.org/officeDocument/2006/relationships/drawing" Target="../drawings/drawing28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printerSettings" Target="../printerSettings/printerSettings28.bin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vseazs.com/" TargetMode="External"/><Relationship Id="rId11" Type="http://schemas.openxmlformats.org/officeDocument/2006/relationships/hyperlink" Target="http://www.gazpromlpg.ru/?id=415" TargetMode="Externa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autotraveler.ru/latvia/" TargetMode="External"/><Relationship Id="rId10" Type="http://schemas.openxmlformats.org/officeDocument/2006/relationships/hyperlink" Target="http://natrakte.ru/" TargetMode="External"/><Relationship Id="rId19" Type="http://schemas.openxmlformats.org/officeDocument/2006/relationships/comments" Target="../comments28.xm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autotraveler.ru/lithuania/" TargetMode="External"/><Relationship Id="rId14" Type="http://schemas.openxmlformats.org/officeDocument/2006/relationships/hyperlink" Target="http://region-cm.ru/node/36" TargetMode="Externa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fuel-prices-europe.info/" TargetMode="External"/><Relationship Id="rId13" Type="http://schemas.openxmlformats.org/officeDocument/2006/relationships/hyperlink" Target="http://www.benzin-price.ru/price.php?region_id=32" TargetMode="External"/><Relationship Id="rId18" Type="http://schemas.openxmlformats.org/officeDocument/2006/relationships/vmlDrawing" Target="../drawings/vmlDrawing29.vml"/><Relationship Id="rId3" Type="http://schemas.openxmlformats.org/officeDocument/2006/relationships/hyperlink" Target="http://www.benzin-price.ru/price.php?region_id=77" TargetMode="External"/><Relationship Id="rId7" Type="http://schemas.openxmlformats.org/officeDocument/2006/relationships/hyperlink" Target="http://www.e-petrol.ru/rynek-krajowy/ceny-stacje-paliw" TargetMode="External"/><Relationship Id="rId12" Type="http://schemas.openxmlformats.org/officeDocument/2006/relationships/hyperlink" Target="http://www.nbrb.by/" TargetMode="External"/><Relationship Id="rId17" Type="http://schemas.openxmlformats.org/officeDocument/2006/relationships/drawing" Target="../drawings/drawing29.xml"/><Relationship Id="rId2" Type="http://schemas.openxmlformats.org/officeDocument/2006/relationships/hyperlink" Target="http://www.belorusneft.by/sitebeloil/ru/center/azs/" TargetMode="External"/><Relationship Id="rId16" Type="http://schemas.openxmlformats.org/officeDocument/2006/relationships/printerSettings" Target="../printerSettings/printerSettings29.bin"/><Relationship Id="rId1" Type="http://schemas.openxmlformats.org/officeDocument/2006/relationships/hyperlink" Target="http://autotraveler.ru/poland/" TargetMode="External"/><Relationship Id="rId6" Type="http://schemas.openxmlformats.org/officeDocument/2006/relationships/hyperlink" Target="http://www.vseazs.com/" TargetMode="External"/><Relationship Id="rId11" Type="http://schemas.openxmlformats.org/officeDocument/2006/relationships/hyperlink" Target="http://www.gazpromlpg.ru/?id=415" TargetMode="External"/><Relationship Id="rId5" Type="http://schemas.openxmlformats.org/officeDocument/2006/relationships/hyperlink" Target="http://www.benzin-price.ru/price.php?region_id=60" TargetMode="External"/><Relationship Id="rId15" Type="http://schemas.openxmlformats.org/officeDocument/2006/relationships/hyperlink" Target="http://autotraveler.ru/latvia/" TargetMode="External"/><Relationship Id="rId10" Type="http://schemas.openxmlformats.org/officeDocument/2006/relationships/hyperlink" Target="http://natrakte.ru/" TargetMode="External"/><Relationship Id="rId19" Type="http://schemas.openxmlformats.org/officeDocument/2006/relationships/comments" Target="../comments29.xml"/><Relationship Id="rId4" Type="http://schemas.openxmlformats.org/officeDocument/2006/relationships/hyperlink" Target="http://www.benzin-price.ru/price.php?region_id=67" TargetMode="External"/><Relationship Id="rId9" Type="http://schemas.openxmlformats.org/officeDocument/2006/relationships/hyperlink" Target="http://autotraveler.ru/lithuania/" TargetMode="External"/><Relationship Id="rId14" Type="http://schemas.openxmlformats.org/officeDocument/2006/relationships/hyperlink" Target="http://region-cm.ru/node/36" TargetMode="Externa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3" Type="http://schemas.openxmlformats.org/officeDocument/2006/relationships/hyperlink" Target="http://www.benzin-price.ru/stat_60days.php?region_id=67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2" Type="http://schemas.openxmlformats.org/officeDocument/2006/relationships/hyperlink" Target="http://www.benzin-price.ru/stat_60days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printerSettings" Target="../printerSettings/printerSettings30.bin"/><Relationship Id="rId10" Type="http://schemas.openxmlformats.org/officeDocument/2006/relationships/hyperlink" Target="http://www.e-petrol.ru/rynek-krajowy/ceny-stacje-paliw" TargetMode="External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3" Type="http://schemas.openxmlformats.org/officeDocument/2006/relationships/hyperlink" Target="http://www.benzin-price.ru/stat_60days.php?region_id=67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2" Type="http://schemas.openxmlformats.org/officeDocument/2006/relationships/hyperlink" Target="http://www.benzin-price.ru/stat_60days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printerSettings" Target="../printerSettings/printerSettings31.bin"/><Relationship Id="rId10" Type="http://schemas.openxmlformats.org/officeDocument/2006/relationships/hyperlink" Target="http://www.e-petrol.ru/rynek-krajowy/ceny-stacje-paliw" TargetMode="External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3" Type="http://schemas.openxmlformats.org/officeDocument/2006/relationships/hyperlink" Target="http://www.benzin-price.ru/stat_60days.php?region_id=67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2" Type="http://schemas.openxmlformats.org/officeDocument/2006/relationships/hyperlink" Target="http://www.benzin-price.ru/stat_60days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printerSettings" Target="../printerSettings/printerSettings32.bin"/><Relationship Id="rId10" Type="http://schemas.openxmlformats.org/officeDocument/2006/relationships/hyperlink" Target="http://www.e-petrol.ru/rynek-krajowy/ceny-stacje-paliw" TargetMode="External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3" Type="http://schemas.openxmlformats.org/officeDocument/2006/relationships/hyperlink" Target="http://www.benzin-price.ru/stat_60days.php?region_id=67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2" Type="http://schemas.openxmlformats.org/officeDocument/2006/relationships/hyperlink" Target="http://www.benzin-price.ru/stat_60days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printerSettings" Target="../printerSettings/printerSettings33.bin"/><Relationship Id="rId10" Type="http://schemas.openxmlformats.org/officeDocument/2006/relationships/hyperlink" Target="http://www.e-petrol.ru/rynek-krajowy/ceny-stacje-paliw" TargetMode="External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3" Type="http://schemas.openxmlformats.org/officeDocument/2006/relationships/hyperlink" Target="http://www.benzin-price.ru/stat_60days.php?region_id=67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printerSettings" Target="../printerSettings/printerSettings34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35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36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37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38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39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40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41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60days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60days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60days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printerSettings" Target="../printerSettings/printerSettings42.bin"/><Relationship Id="rId4" Type="http://schemas.openxmlformats.org/officeDocument/2006/relationships/hyperlink" Target="http://www.benzin-price.ru/stat_60days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3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4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5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6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7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enzin-price.ru/stat_month.php?region_id=32" TargetMode="External"/><Relationship Id="rId13" Type="http://schemas.openxmlformats.org/officeDocument/2006/relationships/hyperlink" Target="http://www.fuel-prices-europe.info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lorusneft.by/sitebeloil/ru/center/azs/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www.vseazs.com/" TargetMode="External"/><Relationship Id="rId12" Type="http://schemas.openxmlformats.org/officeDocument/2006/relationships/hyperlink" Target="http://www.e-petrol.ru/rynek-krajowy/ceny-stacje-paliw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nbrb.by/statistics/rates/ratesDaily.asp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nbrb.by/" TargetMode="External"/><Relationship Id="rId6" Type="http://schemas.openxmlformats.org/officeDocument/2006/relationships/hyperlink" Target="http://www.benzin-price.ru/stat_month.php?region_id=60" TargetMode="External"/><Relationship Id="rId11" Type="http://schemas.openxmlformats.org/officeDocument/2006/relationships/hyperlink" Target="http://autotraveler.ru/poland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8.bin"/><Relationship Id="rId5" Type="http://schemas.openxmlformats.org/officeDocument/2006/relationships/hyperlink" Target="http://www.benzin-price.ru/stat_month.php?region_id=67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autotraveler.ru/lithuania/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77" TargetMode="External"/><Relationship Id="rId9" Type="http://schemas.openxmlformats.org/officeDocument/2006/relationships/hyperlink" Target="http://autotraveler.ru/latvia/" TargetMode="External"/><Relationship Id="rId14" Type="http://schemas.openxmlformats.org/officeDocument/2006/relationships/hyperlink" Target="http://www.fuel-prices-europe.info/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49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0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1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2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3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4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5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6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7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8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59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60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hyperlink" Target="http://autotraveler.ru/lithuania/" TargetMode="External"/><Relationship Id="rId13" Type="http://schemas.openxmlformats.org/officeDocument/2006/relationships/hyperlink" Target="http://www.nbrb.by/" TargetMode="External"/><Relationship Id="rId18" Type="http://schemas.openxmlformats.org/officeDocument/2006/relationships/hyperlink" Target="http://www.globalpetrolprices.com/" TargetMode="External"/><Relationship Id="rId26" Type="http://schemas.openxmlformats.org/officeDocument/2006/relationships/hyperlink" Target="https://www.abw.by/fuel/" TargetMode="External"/><Relationship Id="rId3" Type="http://schemas.openxmlformats.org/officeDocument/2006/relationships/hyperlink" Target="http://www.benzin-price.ru/stat_month.php?region_id=67" TargetMode="External"/><Relationship Id="rId21" Type="http://schemas.openxmlformats.org/officeDocument/2006/relationships/hyperlink" Target="https://www.e-petrol.ru/" TargetMode="External"/><Relationship Id="rId7" Type="http://schemas.openxmlformats.org/officeDocument/2006/relationships/hyperlink" Target="http://autotraveler.ru/latvia/" TargetMode="External"/><Relationship Id="rId12" Type="http://schemas.openxmlformats.org/officeDocument/2006/relationships/hyperlink" Target="http://www.fuel-prices-europe.info/" TargetMode="External"/><Relationship Id="rId17" Type="http://schemas.openxmlformats.org/officeDocument/2006/relationships/hyperlink" Target="http://www.globalpetrolprices.com/" TargetMode="External"/><Relationship Id="rId25" Type="http://schemas.openxmlformats.org/officeDocument/2006/relationships/hyperlink" Target="https://www.abw.by/fuel/" TargetMode="External"/><Relationship Id="rId2" Type="http://schemas.openxmlformats.org/officeDocument/2006/relationships/hyperlink" Target="http://www.benzin-price.ru/stat_month.php?region_id=77" TargetMode="External"/><Relationship Id="rId16" Type="http://schemas.openxmlformats.org/officeDocument/2006/relationships/hyperlink" Target="http://www.globalpetrolprices.com/" TargetMode="External"/><Relationship Id="rId20" Type="http://schemas.openxmlformats.org/officeDocument/2006/relationships/hyperlink" Target="https://www.e-petrol.ru/" TargetMode="External"/><Relationship Id="rId29" Type="http://schemas.openxmlformats.org/officeDocument/2006/relationships/hyperlink" Target="http://bamap.org/information/fuelprices/fuelineur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benzin-price.ru/stat_month.php?region_id=32" TargetMode="External"/><Relationship Id="rId11" Type="http://schemas.openxmlformats.org/officeDocument/2006/relationships/hyperlink" Target="http://www.fuel-prices-europe.info/" TargetMode="External"/><Relationship Id="rId24" Type="http://schemas.openxmlformats.org/officeDocument/2006/relationships/hyperlink" Target="https://www.abw.by/fuel/" TargetMode="External"/><Relationship Id="rId32" Type="http://schemas.openxmlformats.org/officeDocument/2006/relationships/printerSettings" Target="../printerSettings/printerSettings61.bin"/><Relationship Id="rId5" Type="http://schemas.openxmlformats.org/officeDocument/2006/relationships/hyperlink" Target="http://www.vseazs.com/" TargetMode="External"/><Relationship Id="rId15" Type="http://schemas.openxmlformats.org/officeDocument/2006/relationships/hyperlink" Target="http://www.globalpetrolprices.com/" TargetMode="External"/><Relationship Id="rId23" Type="http://schemas.openxmlformats.org/officeDocument/2006/relationships/hyperlink" Target="https://www.abw.by/fuel/" TargetMode="External"/><Relationship Id="rId28" Type="http://schemas.openxmlformats.org/officeDocument/2006/relationships/hyperlink" Target="http://bamap.org/information/fuelprices/fuelineur/" TargetMode="External"/><Relationship Id="rId10" Type="http://schemas.openxmlformats.org/officeDocument/2006/relationships/hyperlink" Target="http://www.e-petrol.ru/rynek-krajowy/ceny-stacje-paliw" TargetMode="External"/><Relationship Id="rId19" Type="http://schemas.openxmlformats.org/officeDocument/2006/relationships/hyperlink" Target="https://www.shell.lv/ru_lv/shell-fuel/fuel-price.html" TargetMode="External"/><Relationship Id="rId31" Type="http://schemas.openxmlformats.org/officeDocument/2006/relationships/hyperlink" Target="http://neftemarket.net/retail-market/65-values-of-average-retail-prices-of-petroleum-products-in-ukraine-and-their-dynamics" TargetMode="External"/><Relationship Id="rId4" Type="http://schemas.openxmlformats.org/officeDocument/2006/relationships/hyperlink" Target="http://www.benzin-price.ru/stat_month.php?region_id=60" TargetMode="External"/><Relationship Id="rId9" Type="http://schemas.openxmlformats.org/officeDocument/2006/relationships/hyperlink" Target="http://autotraveler.ru/poland/" TargetMode="External"/><Relationship Id="rId14" Type="http://schemas.openxmlformats.org/officeDocument/2006/relationships/hyperlink" Target="http://www.nbrb.by/statistics/rates/ratesDaily.asp" TargetMode="External"/><Relationship Id="rId22" Type="http://schemas.openxmlformats.org/officeDocument/2006/relationships/hyperlink" Target="https://www.e-petrol.ru/" TargetMode="External"/><Relationship Id="rId27" Type="http://schemas.openxmlformats.org/officeDocument/2006/relationships/hyperlink" Target="http://bamap.org/information/fuelprices/fuelineur/" TargetMode="External"/><Relationship Id="rId30" Type="http://schemas.openxmlformats.org/officeDocument/2006/relationships/hyperlink" Target="http://bamap.org/information/fuelprices/fuelineur/" TargetMode="Externa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brb.by/" TargetMode="External"/><Relationship Id="rId13" Type="http://schemas.openxmlformats.org/officeDocument/2006/relationships/hyperlink" Target="http://www.globalpetrolprices.com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neftemarket.net/retail-market/65-values-of-average-retail-prices-of-petroleum-products-in-ukraine-and-their-dynamics" TargetMode="External"/><Relationship Id="rId3" Type="http://schemas.openxmlformats.org/officeDocument/2006/relationships/hyperlink" Target="http://autotraveler.ru/lithuania/" TargetMode="External"/><Relationship Id="rId21" Type="http://schemas.openxmlformats.org/officeDocument/2006/relationships/hyperlink" Target="https://www.abw.by/fuel/" TargetMode="External"/><Relationship Id="rId7" Type="http://schemas.openxmlformats.org/officeDocument/2006/relationships/hyperlink" Target="http://www.fuel-prices-europe.info/" TargetMode="External"/><Relationship Id="rId12" Type="http://schemas.openxmlformats.org/officeDocument/2006/relationships/hyperlink" Target="http://www.globalpetrolprices.com/" TargetMode="External"/><Relationship Id="rId17" Type="http://schemas.openxmlformats.org/officeDocument/2006/relationships/hyperlink" Target="https://www.e-petrol.ru/" TargetMode="External"/><Relationship Id="rId25" Type="http://schemas.openxmlformats.org/officeDocument/2006/relationships/hyperlink" Target="http://bamap.org/information/fuelprices/fuelineur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e-petrol.ru/" TargetMode="External"/><Relationship Id="rId20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stat_month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://www.globalpetrolprices.com/" TargetMode="External"/><Relationship Id="rId24" Type="http://schemas.openxmlformats.org/officeDocument/2006/relationships/hyperlink" Target="http://bamap.org/information/fuelprices/fuelineur/" TargetMode="External"/><Relationship Id="rId5" Type="http://schemas.openxmlformats.org/officeDocument/2006/relationships/hyperlink" Target="http://www.e-petrol.ru/rynek-krajowy/ceny-stacje-paliw" TargetMode="External"/><Relationship Id="rId15" Type="http://schemas.openxmlformats.org/officeDocument/2006/relationships/hyperlink" Target="https://www.e-petrol.ru/" TargetMode="External"/><Relationship Id="rId23" Type="http://schemas.openxmlformats.org/officeDocument/2006/relationships/hyperlink" Target="http://bamap.org/information/fuelprices/fuelineur/" TargetMode="External"/><Relationship Id="rId28" Type="http://schemas.openxmlformats.org/officeDocument/2006/relationships/hyperlink" Target="http://www.vseazs.com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s://www.abw.by/fuel/" TargetMode="External"/><Relationship Id="rId31" Type="http://schemas.openxmlformats.org/officeDocument/2006/relationships/hyperlink" Target="http://www.benzin-price.ru/stat_month.php?region_id=67" TargetMode="External"/><Relationship Id="rId4" Type="http://schemas.openxmlformats.org/officeDocument/2006/relationships/hyperlink" Target="http://autotraveler.ru/poland/" TargetMode="External"/><Relationship Id="rId9" Type="http://schemas.openxmlformats.org/officeDocument/2006/relationships/hyperlink" Target="http://www.nbrb.by/statistics/rates/ratesDaily.asp" TargetMode="External"/><Relationship Id="rId14" Type="http://schemas.openxmlformats.org/officeDocument/2006/relationships/hyperlink" Target="https://www.shell.lv/ru_lv/shell-fuel/fuel-price.html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60" TargetMode="External"/><Relationship Id="rId30" Type="http://schemas.openxmlformats.org/officeDocument/2006/relationships/hyperlink" Target="http://www.benzin-price.ru/stat_month.php?region_id=32" TargetMode="Externa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brb.by/" TargetMode="External"/><Relationship Id="rId13" Type="http://schemas.openxmlformats.org/officeDocument/2006/relationships/hyperlink" Target="http://www.globalpetrolprices.com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neftemarket.net/retail-market/65-values-of-average-retail-prices-of-petroleum-products-in-ukraine-and-their-dynamics" TargetMode="External"/><Relationship Id="rId3" Type="http://schemas.openxmlformats.org/officeDocument/2006/relationships/hyperlink" Target="http://autotraveler.ru/lithuania/" TargetMode="External"/><Relationship Id="rId21" Type="http://schemas.openxmlformats.org/officeDocument/2006/relationships/hyperlink" Target="https://www.abw.by/fuel/" TargetMode="External"/><Relationship Id="rId7" Type="http://schemas.openxmlformats.org/officeDocument/2006/relationships/hyperlink" Target="http://www.fuel-prices-europe.info/" TargetMode="External"/><Relationship Id="rId12" Type="http://schemas.openxmlformats.org/officeDocument/2006/relationships/hyperlink" Target="http://www.globalpetrolprices.com/" TargetMode="External"/><Relationship Id="rId17" Type="http://schemas.openxmlformats.org/officeDocument/2006/relationships/hyperlink" Target="https://www.e-petrol.ru/" TargetMode="External"/><Relationship Id="rId25" Type="http://schemas.openxmlformats.org/officeDocument/2006/relationships/hyperlink" Target="http://bamap.org/information/fuelprices/fuelineur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e-petrol.ru/" TargetMode="External"/><Relationship Id="rId20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stat_month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://www.globalpetrolprices.com/" TargetMode="External"/><Relationship Id="rId24" Type="http://schemas.openxmlformats.org/officeDocument/2006/relationships/hyperlink" Target="http://bamap.org/information/fuelprices/fuelineur/" TargetMode="External"/><Relationship Id="rId32" Type="http://schemas.openxmlformats.org/officeDocument/2006/relationships/printerSettings" Target="../printerSettings/printerSettings62.bin"/><Relationship Id="rId5" Type="http://schemas.openxmlformats.org/officeDocument/2006/relationships/hyperlink" Target="http://www.e-petrol.ru/rynek-krajowy/ceny-stacje-paliw" TargetMode="External"/><Relationship Id="rId15" Type="http://schemas.openxmlformats.org/officeDocument/2006/relationships/hyperlink" Target="https://www.e-petrol.ru/" TargetMode="External"/><Relationship Id="rId23" Type="http://schemas.openxmlformats.org/officeDocument/2006/relationships/hyperlink" Target="http://bamap.org/information/fuelprices/fuelineur/" TargetMode="External"/><Relationship Id="rId28" Type="http://schemas.openxmlformats.org/officeDocument/2006/relationships/hyperlink" Target="http://www.vseazs.com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s://www.abw.by/fuel/" TargetMode="External"/><Relationship Id="rId31" Type="http://schemas.openxmlformats.org/officeDocument/2006/relationships/hyperlink" Target="http://www.benzin-price.ru/stat_month.php?region_id=67" TargetMode="External"/><Relationship Id="rId4" Type="http://schemas.openxmlformats.org/officeDocument/2006/relationships/hyperlink" Target="http://autotraveler.ru/poland/" TargetMode="External"/><Relationship Id="rId9" Type="http://schemas.openxmlformats.org/officeDocument/2006/relationships/hyperlink" Target="http://www.nbrb.by/statistics/rates/ratesDaily.asp" TargetMode="External"/><Relationship Id="rId14" Type="http://schemas.openxmlformats.org/officeDocument/2006/relationships/hyperlink" Target="https://www.shell.lv/ru_lv/shell-fuel/fuel-price.html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60" TargetMode="External"/><Relationship Id="rId30" Type="http://schemas.openxmlformats.org/officeDocument/2006/relationships/hyperlink" Target="http://www.benzin-price.ru/stat_month.php?region_id=32" TargetMode="Externa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brb.by/" TargetMode="External"/><Relationship Id="rId13" Type="http://schemas.openxmlformats.org/officeDocument/2006/relationships/hyperlink" Target="http://www.globalpetrolprices.com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neftemarket.net/retail-market/65-values-of-average-retail-prices-of-petroleum-products-in-ukraine-and-their-dynamics" TargetMode="External"/><Relationship Id="rId3" Type="http://schemas.openxmlformats.org/officeDocument/2006/relationships/hyperlink" Target="http://autotraveler.ru/lithuania/" TargetMode="External"/><Relationship Id="rId21" Type="http://schemas.openxmlformats.org/officeDocument/2006/relationships/hyperlink" Target="https://www.abw.by/fuel/" TargetMode="External"/><Relationship Id="rId7" Type="http://schemas.openxmlformats.org/officeDocument/2006/relationships/hyperlink" Target="http://www.fuel-prices-europe.info/" TargetMode="External"/><Relationship Id="rId12" Type="http://schemas.openxmlformats.org/officeDocument/2006/relationships/hyperlink" Target="http://www.globalpetrolprices.com/" TargetMode="External"/><Relationship Id="rId17" Type="http://schemas.openxmlformats.org/officeDocument/2006/relationships/hyperlink" Target="https://www.e-petrol.ru/" TargetMode="External"/><Relationship Id="rId25" Type="http://schemas.openxmlformats.org/officeDocument/2006/relationships/hyperlink" Target="http://bamap.org/information/fuelprices/fuelineur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e-petrol.ru/" TargetMode="External"/><Relationship Id="rId20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stat_month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://www.globalpetrolprices.com/" TargetMode="External"/><Relationship Id="rId24" Type="http://schemas.openxmlformats.org/officeDocument/2006/relationships/hyperlink" Target="http://bamap.org/information/fuelprices/fuelineur/" TargetMode="External"/><Relationship Id="rId5" Type="http://schemas.openxmlformats.org/officeDocument/2006/relationships/hyperlink" Target="http://www.e-petrol.ru/rynek-krajowy/ceny-stacje-paliw" TargetMode="External"/><Relationship Id="rId15" Type="http://schemas.openxmlformats.org/officeDocument/2006/relationships/hyperlink" Target="https://www.e-petrol.ru/" TargetMode="External"/><Relationship Id="rId23" Type="http://schemas.openxmlformats.org/officeDocument/2006/relationships/hyperlink" Target="http://bamap.org/information/fuelprices/fuelineur/" TargetMode="External"/><Relationship Id="rId28" Type="http://schemas.openxmlformats.org/officeDocument/2006/relationships/hyperlink" Target="http://www.vseazs.com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s://www.abw.by/fuel/" TargetMode="External"/><Relationship Id="rId31" Type="http://schemas.openxmlformats.org/officeDocument/2006/relationships/hyperlink" Target="http://www.benzin-price.ru/stat_month.php?region_id=67" TargetMode="External"/><Relationship Id="rId4" Type="http://schemas.openxmlformats.org/officeDocument/2006/relationships/hyperlink" Target="http://autotraveler.ru/poland/" TargetMode="External"/><Relationship Id="rId9" Type="http://schemas.openxmlformats.org/officeDocument/2006/relationships/hyperlink" Target="http://www.nbrb.by/statistics/rates/ratesDaily.asp" TargetMode="External"/><Relationship Id="rId14" Type="http://schemas.openxmlformats.org/officeDocument/2006/relationships/hyperlink" Target="https://www.shell.lv/ru_lv/shell-fuel/fuel-price.html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60" TargetMode="External"/><Relationship Id="rId30" Type="http://schemas.openxmlformats.org/officeDocument/2006/relationships/hyperlink" Target="http://www.benzin-price.ru/stat_month.php?region_id=32" TargetMode="External"/></Relationships>
</file>

<file path=xl/worksheets/_rels/sheet6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brb.by/" TargetMode="External"/><Relationship Id="rId13" Type="http://schemas.openxmlformats.org/officeDocument/2006/relationships/hyperlink" Target="http://www.globalpetrolprices.com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neftemarket.net/retail-market/65-values-of-average-retail-prices-of-petroleum-products-in-ukraine-and-their-dynamics" TargetMode="External"/><Relationship Id="rId3" Type="http://schemas.openxmlformats.org/officeDocument/2006/relationships/hyperlink" Target="http://autotraveler.ru/lithuania/" TargetMode="External"/><Relationship Id="rId21" Type="http://schemas.openxmlformats.org/officeDocument/2006/relationships/hyperlink" Target="https://www.abw.by/fuel/" TargetMode="External"/><Relationship Id="rId7" Type="http://schemas.openxmlformats.org/officeDocument/2006/relationships/hyperlink" Target="http://www.fuel-prices-europe.info/" TargetMode="External"/><Relationship Id="rId12" Type="http://schemas.openxmlformats.org/officeDocument/2006/relationships/hyperlink" Target="http://www.globalpetrolprices.com/" TargetMode="External"/><Relationship Id="rId17" Type="http://schemas.openxmlformats.org/officeDocument/2006/relationships/hyperlink" Target="https://www.e-petrol.ru/" TargetMode="External"/><Relationship Id="rId25" Type="http://schemas.openxmlformats.org/officeDocument/2006/relationships/hyperlink" Target="http://bamap.org/information/fuelprices/fuelineur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e-petrol.ru/" TargetMode="External"/><Relationship Id="rId20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stat_month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://www.globalpetrolprices.com/" TargetMode="External"/><Relationship Id="rId24" Type="http://schemas.openxmlformats.org/officeDocument/2006/relationships/hyperlink" Target="http://bamap.org/information/fuelprices/fuelineur/" TargetMode="External"/><Relationship Id="rId32" Type="http://schemas.openxmlformats.org/officeDocument/2006/relationships/printerSettings" Target="../printerSettings/printerSettings63.bin"/><Relationship Id="rId5" Type="http://schemas.openxmlformats.org/officeDocument/2006/relationships/hyperlink" Target="http://www.e-petrol.ru/rynek-krajowy/ceny-stacje-paliw" TargetMode="External"/><Relationship Id="rId15" Type="http://schemas.openxmlformats.org/officeDocument/2006/relationships/hyperlink" Target="https://www.e-petrol.ru/" TargetMode="External"/><Relationship Id="rId23" Type="http://schemas.openxmlformats.org/officeDocument/2006/relationships/hyperlink" Target="http://bamap.org/information/fuelprices/fuelineur/" TargetMode="External"/><Relationship Id="rId28" Type="http://schemas.openxmlformats.org/officeDocument/2006/relationships/hyperlink" Target="http://www.vseazs.com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s://www.abw.by/fuel/" TargetMode="External"/><Relationship Id="rId31" Type="http://schemas.openxmlformats.org/officeDocument/2006/relationships/hyperlink" Target="http://www.benzin-price.ru/stat_month.php?region_id=67" TargetMode="External"/><Relationship Id="rId4" Type="http://schemas.openxmlformats.org/officeDocument/2006/relationships/hyperlink" Target="http://autotraveler.ru/poland/" TargetMode="External"/><Relationship Id="rId9" Type="http://schemas.openxmlformats.org/officeDocument/2006/relationships/hyperlink" Target="http://www.nbrb.by/statistics/rates/ratesDaily.asp" TargetMode="External"/><Relationship Id="rId14" Type="http://schemas.openxmlformats.org/officeDocument/2006/relationships/hyperlink" Target="https://www.shell.lv/ru_lv/shell-fuel/fuel-price.html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60" TargetMode="External"/><Relationship Id="rId30" Type="http://schemas.openxmlformats.org/officeDocument/2006/relationships/hyperlink" Target="http://www.benzin-price.ru/stat_month.php?region_id=32" TargetMode="External"/></Relationships>
</file>

<file path=xl/worksheets/_rels/sheet66.xml.rels><?xml version="1.0" encoding="UTF-8" standalone="yes"?>
<Relationships xmlns="http://schemas.openxmlformats.org/package/2006/relationships"><Relationship Id="rId8" Type="http://schemas.openxmlformats.org/officeDocument/2006/relationships/hyperlink" Target="http://www.nbrb.by/" TargetMode="External"/><Relationship Id="rId13" Type="http://schemas.openxmlformats.org/officeDocument/2006/relationships/hyperlink" Target="http://www.globalpetrolprices.com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neftemarket.net/retail-market/65-values-of-average-retail-prices-of-petroleum-products-in-ukraine-and-their-dynamics" TargetMode="External"/><Relationship Id="rId3" Type="http://schemas.openxmlformats.org/officeDocument/2006/relationships/hyperlink" Target="http://autotraveler.ru/lithuania/" TargetMode="External"/><Relationship Id="rId21" Type="http://schemas.openxmlformats.org/officeDocument/2006/relationships/hyperlink" Target="https://www.abw.by/fuel/" TargetMode="External"/><Relationship Id="rId7" Type="http://schemas.openxmlformats.org/officeDocument/2006/relationships/hyperlink" Target="http://www.fuel-prices-europe.info/" TargetMode="External"/><Relationship Id="rId12" Type="http://schemas.openxmlformats.org/officeDocument/2006/relationships/hyperlink" Target="http://www.globalpetrolprices.com/" TargetMode="External"/><Relationship Id="rId17" Type="http://schemas.openxmlformats.org/officeDocument/2006/relationships/hyperlink" Target="https://www.e-petrol.ru/" TargetMode="External"/><Relationship Id="rId25" Type="http://schemas.openxmlformats.org/officeDocument/2006/relationships/hyperlink" Target="http://bamap.org/information/fuelprices/fuelineur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e-petrol.ru/" TargetMode="External"/><Relationship Id="rId20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stat_month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://www.globalpetrolprices.com/" TargetMode="External"/><Relationship Id="rId24" Type="http://schemas.openxmlformats.org/officeDocument/2006/relationships/hyperlink" Target="http://bamap.org/information/fuelprices/fuelineur/" TargetMode="External"/><Relationship Id="rId32" Type="http://schemas.openxmlformats.org/officeDocument/2006/relationships/printerSettings" Target="../printerSettings/printerSettings64.bin"/><Relationship Id="rId5" Type="http://schemas.openxmlformats.org/officeDocument/2006/relationships/hyperlink" Target="http://www.e-petrol.ru/rynek-krajowy/ceny-stacje-paliw" TargetMode="External"/><Relationship Id="rId15" Type="http://schemas.openxmlformats.org/officeDocument/2006/relationships/hyperlink" Target="https://www.e-petrol.ru/" TargetMode="External"/><Relationship Id="rId23" Type="http://schemas.openxmlformats.org/officeDocument/2006/relationships/hyperlink" Target="http://bamap.org/information/fuelprices/fuelineur/" TargetMode="External"/><Relationship Id="rId28" Type="http://schemas.openxmlformats.org/officeDocument/2006/relationships/hyperlink" Target="http://www.vseazs.com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s://www.abw.by/fuel/" TargetMode="External"/><Relationship Id="rId31" Type="http://schemas.openxmlformats.org/officeDocument/2006/relationships/hyperlink" Target="http://www.benzin-price.ru/stat_month.php?region_id=67" TargetMode="External"/><Relationship Id="rId4" Type="http://schemas.openxmlformats.org/officeDocument/2006/relationships/hyperlink" Target="http://autotraveler.ru/poland/" TargetMode="External"/><Relationship Id="rId9" Type="http://schemas.openxmlformats.org/officeDocument/2006/relationships/hyperlink" Target="http://www.nbrb.by/statistics/rates/ratesDaily.asp" TargetMode="External"/><Relationship Id="rId14" Type="http://schemas.openxmlformats.org/officeDocument/2006/relationships/hyperlink" Target="https://www.shell.lv/ru_lv/shell-fuel/fuel-price.html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60" TargetMode="External"/><Relationship Id="rId30" Type="http://schemas.openxmlformats.org/officeDocument/2006/relationships/hyperlink" Target="http://www.benzin-price.ru/stat_month.php?region_id=32" TargetMode="External"/></Relationships>
</file>

<file path=xl/worksheets/_rels/sheet6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65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6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66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6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67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68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69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0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1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2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3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4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5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printerSettings" Target="../printerSettings/printerSettings76.bin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/Relationships>
</file>

<file path=xl/worksheets/_rels/sheet7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7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67" TargetMode="External"/><Relationship Id="rId39" Type="http://schemas.openxmlformats.org/officeDocument/2006/relationships/hyperlink" Target="http://www.lukoil.lt/ru/avtozapravochnye_stancii_azs_/karta_azs?filterID=32,8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www.e-petrol.ru/rynek-krajowy/ceny-stacje-paliw" TargetMode="External"/><Relationship Id="rId42" Type="http://schemas.openxmlformats.org/officeDocument/2006/relationships/hyperlink" Target="http://www.lukoil.lt/ru/avtozapravochnye_stancii_azs_/karta_azs?filterID=67" TargetMode="External"/><Relationship Id="rId47" Type="http://schemas.openxmlformats.org/officeDocument/2006/relationships/hyperlink" Target="http://www.benzin-price.ru/price.php?region_id=60&amp;sort=11&amp;brand_id=0&amp;price_mode=" TargetMode="External"/><Relationship Id="rId50" Type="http://schemas.openxmlformats.org/officeDocument/2006/relationships/hyperlink" Target="http://www.benzin-price.ru/price.php?region_id=60&amp;sort=8&amp;brand_id=0&amp;price_mode=" TargetMode="External"/><Relationship Id="rId55" Type="http://schemas.openxmlformats.org/officeDocument/2006/relationships/hyperlink" Target="http://www.benzin-price.ru/price.php?region_id=60&amp;sort=2&amp;brand_id=0&amp;price_mode=" TargetMode="External"/><Relationship Id="rId63" Type="http://schemas.openxmlformats.org/officeDocument/2006/relationships/hyperlink" Target="https://multigo.ru/benzin/54.785205;32.045898/1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www.nbrb.by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autotraveler.ru/lithuania/" TargetMode="External"/><Relationship Id="rId37" Type="http://schemas.openxmlformats.org/officeDocument/2006/relationships/hyperlink" Target="http://www.lukoil.lt/ru/avtozapravochnye_stancii_azs_/karta_azs?filterID=67" TargetMode="External"/><Relationship Id="rId40" Type="http://schemas.openxmlformats.org/officeDocument/2006/relationships/hyperlink" Target="http://www.lukoil.lt/ru/avtozapravochnye_stancii_azs_/karta_azs?filterID=33" TargetMode="External"/><Relationship Id="rId45" Type="http://schemas.openxmlformats.org/officeDocument/2006/relationships/hyperlink" Target="http://www.lukoil.lv/lv/galvena_lapa" TargetMode="External"/><Relationship Id="rId53" Type="http://schemas.openxmlformats.org/officeDocument/2006/relationships/hyperlink" Target="http://www.benzin-price.ru/price.php?region_id=60&amp;sort=5&amp;brand_id=0&amp;price_mode=" TargetMode="External"/><Relationship Id="rId58" Type="http://schemas.openxmlformats.org/officeDocument/2006/relationships/hyperlink" Target="http://www.benzin-price.ru/price.php?region_id=67" TargetMode="External"/><Relationship Id="rId66" Type="http://schemas.openxmlformats.org/officeDocument/2006/relationships/hyperlink" Target="http://www.benzin-cena.ru/benzin/4-mir-ceni-v-evro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price.php?region_id=32" TargetMode="External"/><Relationship Id="rId36" Type="http://schemas.openxmlformats.org/officeDocument/2006/relationships/hyperlink" Target="http://www.lukoil.lt/ru/avtozapravochnye_stancii_azs_/karta_azs?filterID=86,87,111" TargetMode="External"/><Relationship Id="rId49" Type="http://schemas.openxmlformats.org/officeDocument/2006/relationships/hyperlink" Target="http://www.benzin-price.ru/price.php?region_id=60&amp;sort=9&amp;brand_id=0&amp;price_mode=" TargetMode="External"/><Relationship Id="rId57" Type="http://schemas.openxmlformats.org/officeDocument/2006/relationships/hyperlink" Target="http://www.benzin-price.ru/price.php?region_id=60" TargetMode="External"/><Relationship Id="rId61" Type="http://schemas.openxmlformats.org/officeDocument/2006/relationships/hyperlink" Target="http://autotraveler.ru/poland/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natrakte.ru/" TargetMode="External"/><Relationship Id="rId44" Type="http://schemas.openxmlformats.org/officeDocument/2006/relationships/hyperlink" Target="http://www.lukoil.lt/ru/osnovnaja_stranica" TargetMode="External"/><Relationship Id="rId52" Type="http://schemas.openxmlformats.org/officeDocument/2006/relationships/hyperlink" Target="http://www.benzin-price.ru/price.php?region_id=60&amp;sort=6&amp;brand_id=0&amp;price_mode=" TargetMode="External"/><Relationship Id="rId60" Type="http://schemas.openxmlformats.org/officeDocument/2006/relationships/hyperlink" Target="http://www.belorusneft.by/sitebeloil/ru/center/azs/" TargetMode="External"/><Relationship Id="rId65" Type="http://schemas.openxmlformats.org/officeDocument/2006/relationships/hyperlink" Target="http://www.benzin-cena.ru/benzin/77-ukraina-ceni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autotraveler.ru/latvia/" TargetMode="External"/><Relationship Id="rId30" Type="http://schemas.openxmlformats.org/officeDocument/2006/relationships/hyperlink" Target="http://www.gazpromlpg.ru/?id=415" TargetMode="External"/><Relationship Id="rId35" Type="http://schemas.openxmlformats.org/officeDocument/2006/relationships/hyperlink" Target="http://www.lukoil.lt/ru/avtozapravochnye_stancii_azs_/karta_azs?filterID=65" TargetMode="External"/><Relationship Id="rId43" Type="http://schemas.openxmlformats.org/officeDocument/2006/relationships/hyperlink" Target="http://www.lukoil.lt/ru/avtozapravochnye_stancii_azs_/karta_azs?filterID=65" TargetMode="External"/><Relationship Id="rId48" Type="http://schemas.openxmlformats.org/officeDocument/2006/relationships/hyperlink" Target="http://www.benzin-price.ru/price.php?region_id=60&amp;sort=10&amp;brand_id=0&amp;price_mode=" TargetMode="External"/><Relationship Id="rId56" Type="http://schemas.openxmlformats.org/officeDocument/2006/relationships/hyperlink" Target="http://www.benzin-price.ru/price.php?region_id=60&amp;sort=1&amp;brand_id=0&amp;price_mode=" TargetMode="External"/><Relationship Id="rId64" Type="http://schemas.openxmlformats.org/officeDocument/2006/relationships/hyperlink" Target="http://www.benzin-cena.ru/benzin/39-rossija-ceni" TargetMode="External"/><Relationship Id="rId69" Type="http://schemas.openxmlformats.org/officeDocument/2006/relationships/hyperlink" Target="http://www.vseazs.com/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7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benzin-price.ru/stat_month.php?region_id=32" TargetMode="External"/><Relationship Id="rId33" Type="http://schemas.openxmlformats.org/officeDocument/2006/relationships/hyperlink" Target="http://www.fuel-prices-europe.info/" TargetMode="External"/><Relationship Id="rId38" Type="http://schemas.openxmlformats.org/officeDocument/2006/relationships/hyperlink" Target="http://www.lukoil.lt/ru/avtozapravochnye_stancii_azs_/karta_azs?filterID=22,77,104,110,117,118,119" TargetMode="External"/><Relationship Id="rId46" Type="http://schemas.openxmlformats.org/officeDocument/2006/relationships/hyperlink" Target="http://www.vseazs.com/" TargetMode="External"/><Relationship Id="rId59" Type="http://schemas.openxmlformats.org/officeDocument/2006/relationships/hyperlink" Target="http://www.benzin-price.ru/price.php?region_id=77" TargetMode="External"/><Relationship Id="rId67" Type="http://schemas.openxmlformats.org/officeDocument/2006/relationships/hyperlink" Target="http://www.benzin-cena.ru/benzin/4-mir-ceni-v-evro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54" TargetMode="External"/><Relationship Id="rId54" Type="http://schemas.openxmlformats.org/officeDocument/2006/relationships/hyperlink" Target="http://www.benzin-price.ru/price.php?region_id=60&amp;sort=3&amp;brand_id=0&amp;price_mode=" TargetMode="External"/><Relationship Id="rId62" Type="http://schemas.openxmlformats.org/officeDocument/2006/relationships/hyperlink" Target="http://region-cm.ru/node/36" TargetMode="External"/><Relationship Id="rId70" Type="http://schemas.openxmlformats.org/officeDocument/2006/relationships/hyperlink" Target="http://www.benzin-price.ru/stat_month.php?region_id=77" TargetMode="External"/></Relationships>
</file>

<file path=xl/worksheets/_rels/sheet8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8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8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://bamap.org/information/fuelprices/fuelineur/" TargetMode="External"/><Relationship Id="rId26" Type="http://schemas.openxmlformats.org/officeDocument/2006/relationships/hyperlink" Target="http://www.benzin-price.ru/stat_month.php?region_id=32" TargetMode="External"/><Relationship Id="rId39" Type="http://schemas.openxmlformats.org/officeDocument/2006/relationships/hyperlink" Target="http://www.lukoil.lt/ru/avtozapravochnye_stancii_azs_/karta_azs?filterID=22,77,104,110,117,118,119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www.fuel-prices-europe.info/" TargetMode="External"/><Relationship Id="rId42" Type="http://schemas.openxmlformats.org/officeDocument/2006/relationships/hyperlink" Target="http://www.lukoil.lt/ru/avtozapravochnye_stancii_azs_/karta_azs?filterID=54" TargetMode="External"/><Relationship Id="rId47" Type="http://schemas.openxmlformats.org/officeDocument/2006/relationships/hyperlink" Target="http://www.vseazs.com/" TargetMode="External"/><Relationship Id="rId50" Type="http://schemas.openxmlformats.org/officeDocument/2006/relationships/hyperlink" Target="http://www.benzin-price.ru/price.php?region_id=60&amp;sort=9&amp;brand_id=0&amp;price_mode=" TargetMode="External"/><Relationship Id="rId55" Type="http://schemas.openxmlformats.org/officeDocument/2006/relationships/hyperlink" Target="http://www.benzin-price.ru/price.php?region_id=60&amp;sort=3&amp;brand_id=0&amp;price_mode=" TargetMode="External"/><Relationship Id="rId63" Type="http://schemas.openxmlformats.org/officeDocument/2006/relationships/hyperlink" Target="http://region-cm.ru/node/36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www.benzin-price.ru/price.php?region_id=32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e-petrol.ru/" TargetMode="External"/><Relationship Id="rId24" Type="http://schemas.openxmlformats.org/officeDocument/2006/relationships/hyperlink" Target="http://www.vseazs.com/" TargetMode="External"/><Relationship Id="rId32" Type="http://schemas.openxmlformats.org/officeDocument/2006/relationships/hyperlink" Target="http://natrakte.ru/" TargetMode="External"/><Relationship Id="rId37" Type="http://schemas.openxmlformats.org/officeDocument/2006/relationships/hyperlink" Target="http://www.lukoil.lt/ru/avtozapravochnye_stancii_azs_/karta_azs?filterID=86,87,111" TargetMode="External"/><Relationship Id="rId40" Type="http://schemas.openxmlformats.org/officeDocument/2006/relationships/hyperlink" Target="http://www.lukoil.lt/ru/avtozapravochnye_stancii_azs_/karta_azs?filterID=32,87" TargetMode="External"/><Relationship Id="rId45" Type="http://schemas.openxmlformats.org/officeDocument/2006/relationships/hyperlink" Target="http://www.lukoil.lt/ru/osnovnaja_stranica" TargetMode="External"/><Relationship Id="rId53" Type="http://schemas.openxmlformats.org/officeDocument/2006/relationships/hyperlink" Target="http://www.benzin-price.ru/price.php?region_id=60&amp;sort=6&amp;brand_id=0&amp;price_mode=" TargetMode="External"/><Relationship Id="rId58" Type="http://schemas.openxmlformats.org/officeDocument/2006/relationships/hyperlink" Target="http://www.benzin-price.ru/price.php?region_id=60" TargetMode="External"/><Relationship Id="rId66" Type="http://schemas.openxmlformats.org/officeDocument/2006/relationships/hyperlink" Target="http://www.benzin-cena.ru/benzin/77-ukrain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www.benzin-price.ru/stat_month.php?region_id=60" TargetMode="External"/><Relationship Id="rId28" Type="http://schemas.openxmlformats.org/officeDocument/2006/relationships/hyperlink" Target="http://autotraveler.ru/latvia/" TargetMode="External"/><Relationship Id="rId36" Type="http://schemas.openxmlformats.org/officeDocument/2006/relationships/hyperlink" Target="http://www.lukoil.lt/ru/avtozapravochnye_stancii_azs_/karta_azs?filterID=65" TargetMode="External"/><Relationship Id="rId49" Type="http://schemas.openxmlformats.org/officeDocument/2006/relationships/hyperlink" Target="http://www.benzin-price.ru/price.php?region_id=60&amp;sort=10&amp;brand_id=0&amp;price_mode=" TargetMode="External"/><Relationship Id="rId57" Type="http://schemas.openxmlformats.org/officeDocument/2006/relationships/hyperlink" Target="http://www.benzin-price.ru/price.php?region_id=60&amp;sort=1&amp;brand_id=0&amp;price_mode=" TargetMode="External"/><Relationship Id="rId61" Type="http://schemas.openxmlformats.org/officeDocument/2006/relationships/hyperlink" Target="http://www.belorusneft.by/sitebeloil/ru/center/azs/" TargetMode="External"/><Relationship Id="rId10" Type="http://schemas.openxmlformats.org/officeDocument/2006/relationships/hyperlink" Target="https://www.shell.lv/ru_lv/shell-fuel/fuel-price.html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gazpromlpg.ru/?id=415" TargetMode="External"/><Relationship Id="rId44" Type="http://schemas.openxmlformats.org/officeDocument/2006/relationships/hyperlink" Target="http://www.lukoil.lt/ru/avtozapravochnye_stancii_azs_/karta_azs?filterID=65" TargetMode="External"/><Relationship Id="rId52" Type="http://schemas.openxmlformats.org/officeDocument/2006/relationships/hyperlink" Target="http://www.benzin-price.ru/price.php?region_id=60&amp;sort=7&amp;brand_id=0&amp;price_mode=" TargetMode="External"/><Relationship Id="rId60" Type="http://schemas.openxmlformats.org/officeDocument/2006/relationships/hyperlink" Target="http://www.benzin-price.ru/price.php?region_id=77" TargetMode="External"/><Relationship Id="rId65" Type="http://schemas.openxmlformats.org/officeDocument/2006/relationships/hyperlink" Target="http://www.benzin-cena.ru/benzin/39-rossija-ceni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abw.by/fuel/" TargetMode="External"/><Relationship Id="rId22" Type="http://schemas.openxmlformats.org/officeDocument/2006/relationships/hyperlink" Target="http://neftemarket.net/retail-market/65-values-of-average-retail-prices-of-petroleum-products-in-ukraine-and-their-dynamics" TargetMode="External"/><Relationship Id="rId27" Type="http://schemas.openxmlformats.org/officeDocument/2006/relationships/hyperlink" Target="http://www.benzin-price.ru/stat_month.php?region_id=67" TargetMode="External"/><Relationship Id="rId30" Type="http://schemas.openxmlformats.org/officeDocument/2006/relationships/hyperlink" Target="http://www.nbrb.by/" TargetMode="External"/><Relationship Id="rId35" Type="http://schemas.openxmlformats.org/officeDocument/2006/relationships/hyperlink" Target="http://www.e-petrol.ru/rynek-krajowy/ceny-stacje-paliw" TargetMode="External"/><Relationship Id="rId43" Type="http://schemas.openxmlformats.org/officeDocument/2006/relationships/hyperlink" Target="http://www.lukoil.lt/ru/avtozapravochnye_stancii_azs_/karta_azs?filterID=67" TargetMode="External"/><Relationship Id="rId48" Type="http://schemas.openxmlformats.org/officeDocument/2006/relationships/hyperlink" Target="http://www.benzin-price.ru/price.php?region_id=60&amp;sort=11&amp;brand_id=0&amp;price_mode=" TargetMode="External"/><Relationship Id="rId56" Type="http://schemas.openxmlformats.org/officeDocument/2006/relationships/hyperlink" Target="http://www.benzin-price.ru/price.php?region_id=60&amp;sort=2&amp;brand_id=0&amp;price_mode=" TargetMode="External"/><Relationship Id="rId64" Type="http://schemas.openxmlformats.org/officeDocument/2006/relationships/hyperlink" Target="https://multigo.ru/benzin/54.785205;32.045898/1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globalpetrolprices.com/" TargetMode="External"/><Relationship Id="rId51" Type="http://schemas.openxmlformats.org/officeDocument/2006/relationships/hyperlink" Target="http://www.benzin-price.ru/price.php?region_id=60&amp;sort=8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benzin-price.ru/stat_month.php?region_id=77" TargetMode="External"/><Relationship Id="rId33" Type="http://schemas.openxmlformats.org/officeDocument/2006/relationships/hyperlink" Target="http://autotraveler.ru/lithuania/" TargetMode="External"/><Relationship Id="rId38" Type="http://schemas.openxmlformats.org/officeDocument/2006/relationships/hyperlink" Target="http://www.lukoil.lt/ru/avtozapravochnye_stancii_azs_/karta_azs?filterID=67" TargetMode="External"/><Relationship Id="rId46" Type="http://schemas.openxmlformats.org/officeDocument/2006/relationships/hyperlink" Target="http://www.lukoil.lv/lv/galvena_lapa" TargetMode="External"/><Relationship Id="rId59" Type="http://schemas.openxmlformats.org/officeDocument/2006/relationships/hyperlink" Target="http://www.benzin-price.ru/price.php?region_id=67" TargetMode="External"/><Relationship Id="rId67" Type="http://schemas.openxmlformats.org/officeDocument/2006/relationships/hyperlink" Target="http://www.benzin-cena.ru/benzin/4-mir-ceni-v-evro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3" TargetMode="External"/><Relationship Id="rId54" Type="http://schemas.openxmlformats.org/officeDocument/2006/relationships/hyperlink" Target="http://www.benzin-price.ru/price.php?region_id=60&amp;sort=5&amp;brand_id=0&amp;price_mode=" TargetMode="External"/><Relationship Id="rId62" Type="http://schemas.openxmlformats.org/officeDocument/2006/relationships/hyperlink" Target="http://autotraveler.ru/poland/" TargetMode="External"/><Relationship Id="rId70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9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9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://bamap.org/information/fuelprices/fuelineur/" TargetMode="External"/><Relationship Id="rId26" Type="http://schemas.openxmlformats.org/officeDocument/2006/relationships/hyperlink" Target="http://www.benzin-price.ru/stat_month.php?region_id=67" TargetMode="External"/><Relationship Id="rId39" Type="http://schemas.openxmlformats.org/officeDocument/2006/relationships/hyperlink" Target="http://www.lukoil.lt/ru/avtozapravochnye_stancii_azs_/karta_azs?filterID=32,8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www.e-petrol.ru/rynek-krajowy/ceny-stacje-paliw" TargetMode="External"/><Relationship Id="rId42" Type="http://schemas.openxmlformats.org/officeDocument/2006/relationships/hyperlink" Target="http://www.lukoil.lt/ru/avtozapravochnye_stancii_azs_/karta_azs?filterID=67" TargetMode="External"/><Relationship Id="rId47" Type="http://schemas.openxmlformats.org/officeDocument/2006/relationships/hyperlink" Target="http://www.benzin-price.ru/price.php?region_id=60&amp;sort=11&amp;brand_id=0&amp;price_mode=" TargetMode="External"/><Relationship Id="rId50" Type="http://schemas.openxmlformats.org/officeDocument/2006/relationships/hyperlink" Target="http://www.benzin-price.ru/price.php?region_id=60&amp;sort=8&amp;brand_id=0&amp;price_mode=" TargetMode="External"/><Relationship Id="rId55" Type="http://schemas.openxmlformats.org/officeDocument/2006/relationships/hyperlink" Target="http://www.benzin-price.ru/price.php?region_id=60&amp;sort=2&amp;brand_id=0&amp;price_mode=" TargetMode="External"/><Relationship Id="rId63" Type="http://schemas.openxmlformats.org/officeDocument/2006/relationships/hyperlink" Target="https://multigo.ru/benzin/54.785205;32.045898/1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www.nbrb.by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e-petrol.ru/" TargetMode="External"/><Relationship Id="rId24" Type="http://schemas.openxmlformats.org/officeDocument/2006/relationships/hyperlink" Target="http://www.vseazs.com/" TargetMode="External"/><Relationship Id="rId32" Type="http://schemas.openxmlformats.org/officeDocument/2006/relationships/hyperlink" Target="http://autotraveler.ru/lithuania/" TargetMode="External"/><Relationship Id="rId37" Type="http://schemas.openxmlformats.org/officeDocument/2006/relationships/hyperlink" Target="http://www.lukoil.lt/ru/avtozapravochnye_stancii_azs_/karta_azs?filterID=67" TargetMode="External"/><Relationship Id="rId40" Type="http://schemas.openxmlformats.org/officeDocument/2006/relationships/hyperlink" Target="http://www.lukoil.lt/ru/avtozapravochnye_stancii_azs_/karta_azs?filterID=33" TargetMode="External"/><Relationship Id="rId45" Type="http://schemas.openxmlformats.org/officeDocument/2006/relationships/hyperlink" Target="http://www.lukoil.lv/lv/galvena_lapa" TargetMode="External"/><Relationship Id="rId53" Type="http://schemas.openxmlformats.org/officeDocument/2006/relationships/hyperlink" Target="http://www.benzin-price.ru/price.php?region_id=60&amp;sort=5&amp;brand_id=0&amp;price_mode=" TargetMode="External"/><Relationship Id="rId58" Type="http://schemas.openxmlformats.org/officeDocument/2006/relationships/hyperlink" Target="http://www.benzin-price.ru/price.php?region_id=67" TargetMode="External"/><Relationship Id="rId66" Type="http://schemas.openxmlformats.org/officeDocument/2006/relationships/hyperlink" Target="http://www.benzin-cena.ru/benzin/4-mir-ceni-v-evro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www.benzin-price.ru/stat_month.php?region_id=60" TargetMode="External"/><Relationship Id="rId28" Type="http://schemas.openxmlformats.org/officeDocument/2006/relationships/hyperlink" Target="http://www.benzin-price.ru/price.php?region_id=32" TargetMode="External"/><Relationship Id="rId36" Type="http://schemas.openxmlformats.org/officeDocument/2006/relationships/hyperlink" Target="http://www.lukoil.lt/ru/avtozapravochnye_stancii_azs_/karta_azs?filterID=86,87,111" TargetMode="External"/><Relationship Id="rId49" Type="http://schemas.openxmlformats.org/officeDocument/2006/relationships/hyperlink" Target="http://www.benzin-price.ru/price.php?region_id=60&amp;sort=9&amp;brand_id=0&amp;price_mode=" TargetMode="External"/><Relationship Id="rId57" Type="http://schemas.openxmlformats.org/officeDocument/2006/relationships/hyperlink" Target="http://www.benzin-price.ru/price.php?region_id=60" TargetMode="External"/><Relationship Id="rId61" Type="http://schemas.openxmlformats.org/officeDocument/2006/relationships/hyperlink" Target="http://autotraveler.ru/poland/" TargetMode="External"/><Relationship Id="rId10" Type="http://schemas.openxmlformats.org/officeDocument/2006/relationships/hyperlink" Target="https://www.shell.lv/ru_lv/shell-fuel/fuel-price.html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natrakte.ru/" TargetMode="External"/><Relationship Id="rId44" Type="http://schemas.openxmlformats.org/officeDocument/2006/relationships/hyperlink" Target="http://www.lukoil.lt/ru/osnovnaja_stranica" TargetMode="External"/><Relationship Id="rId52" Type="http://schemas.openxmlformats.org/officeDocument/2006/relationships/hyperlink" Target="http://www.benzin-price.ru/price.php?region_id=60&amp;sort=6&amp;brand_id=0&amp;price_mode=" TargetMode="External"/><Relationship Id="rId60" Type="http://schemas.openxmlformats.org/officeDocument/2006/relationships/hyperlink" Target="http://www.belorusneft.by/sitebeloil/ru/center/azs/" TargetMode="External"/><Relationship Id="rId65" Type="http://schemas.openxmlformats.org/officeDocument/2006/relationships/hyperlink" Target="http://www.benzin-cena.ru/benzin/77-ukraina-ceni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abw.by/fuel/" TargetMode="External"/><Relationship Id="rId22" Type="http://schemas.openxmlformats.org/officeDocument/2006/relationships/hyperlink" Target="http://neftemarket.net/retail-market/65-values-of-average-retail-prices-of-petroleum-products-in-ukraine-and-their-dynamics" TargetMode="External"/><Relationship Id="rId27" Type="http://schemas.openxmlformats.org/officeDocument/2006/relationships/hyperlink" Target="http://autotraveler.ru/latvia/" TargetMode="External"/><Relationship Id="rId30" Type="http://schemas.openxmlformats.org/officeDocument/2006/relationships/hyperlink" Target="http://www.gazpromlpg.ru/?id=415" TargetMode="External"/><Relationship Id="rId35" Type="http://schemas.openxmlformats.org/officeDocument/2006/relationships/hyperlink" Target="http://www.lukoil.lt/ru/avtozapravochnye_stancii_azs_/karta_azs?filterID=65" TargetMode="External"/><Relationship Id="rId43" Type="http://schemas.openxmlformats.org/officeDocument/2006/relationships/hyperlink" Target="http://www.lukoil.lt/ru/avtozapravochnye_stancii_azs_/karta_azs?filterID=65" TargetMode="External"/><Relationship Id="rId48" Type="http://schemas.openxmlformats.org/officeDocument/2006/relationships/hyperlink" Target="http://www.benzin-price.ru/price.php?region_id=60&amp;sort=10&amp;brand_id=0&amp;price_mode=" TargetMode="External"/><Relationship Id="rId56" Type="http://schemas.openxmlformats.org/officeDocument/2006/relationships/hyperlink" Target="http://www.benzin-price.ru/price.php?region_id=60&amp;sort=1&amp;brand_id=0&amp;price_mode=" TargetMode="External"/><Relationship Id="rId64" Type="http://schemas.openxmlformats.org/officeDocument/2006/relationships/hyperlink" Target="http://www.benzin-cena.ru/benzin/39-rossija-ceni" TargetMode="External"/><Relationship Id="rId69" Type="http://schemas.openxmlformats.org/officeDocument/2006/relationships/hyperlink" Target="http://www.benzin-price.ru/stat_month.php?region_id=77" TargetMode="External"/><Relationship Id="rId8" Type="http://schemas.openxmlformats.org/officeDocument/2006/relationships/hyperlink" Target="http://www.globalpetrolprices.com/" TargetMode="External"/><Relationship Id="rId51" Type="http://schemas.openxmlformats.org/officeDocument/2006/relationships/hyperlink" Target="http://www.benzin-price.ru/price.php?region_id=60&amp;sort=7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benzin-price.ru/stat_month.php?region_id=32" TargetMode="External"/><Relationship Id="rId33" Type="http://schemas.openxmlformats.org/officeDocument/2006/relationships/hyperlink" Target="http://www.fuel-prices-europe.info/" TargetMode="External"/><Relationship Id="rId38" Type="http://schemas.openxmlformats.org/officeDocument/2006/relationships/hyperlink" Target="http://www.lukoil.lt/ru/avtozapravochnye_stancii_azs_/karta_azs?filterID=22,77,104,110,117,118,119" TargetMode="External"/><Relationship Id="rId46" Type="http://schemas.openxmlformats.org/officeDocument/2006/relationships/hyperlink" Target="http://www.vseazs.com/" TargetMode="External"/><Relationship Id="rId59" Type="http://schemas.openxmlformats.org/officeDocument/2006/relationships/hyperlink" Target="http://www.benzin-price.ru/price.php?region_id=77" TargetMode="External"/><Relationship Id="rId67" Type="http://schemas.openxmlformats.org/officeDocument/2006/relationships/hyperlink" Target="http://www.benzin-cena.ru/benzin/4-mir-ceni-v-evro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54" TargetMode="External"/><Relationship Id="rId54" Type="http://schemas.openxmlformats.org/officeDocument/2006/relationships/hyperlink" Target="http://www.benzin-price.ru/price.php?region_id=60&amp;sort=3&amp;brand_id=0&amp;price_mode=" TargetMode="External"/><Relationship Id="rId62" Type="http://schemas.openxmlformats.org/officeDocument/2006/relationships/hyperlink" Target="http://region-cm.ru/node/36" TargetMode="External"/><Relationship Id="rId70" Type="http://schemas.openxmlformats.org/officeDocument/2006/relationships/printerSettings" Target="../printerSettings/printerSettings101.bin"/></Relationships>
</file>

<file path=xl/worksheets/_rels/sheet10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0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0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://bamap.org/information/fuelprices/fuelineur/" TargetMode="External"/><Relationship Id="rId26" Type="http://schemas.openxmlformats.org/officeDocument/2006/relationships/hyperlink" Target="http://autotraveler.ru/latvia/" TargetMode="External"/><Relationship Id="rId39" Type="http://schemas.openxmlformats.org/officeDocument/2006/relationships/hyperlink" Target="http://www.lukoil.lt/ru/avtozapravochnye_stancii_azs_/karta_azs?filterID=33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www.lukoil.lt/ru/avtozapravochnye_stancii_azs_/karta_azs?filterID=65" TargetMode="External"/><Relationship Id="rId42" Type="http://schemas.openxmlformats.org/officeDocument/2006/relationships/hyperlink" Target="http://www.lukoil.lt/ru/avtozapravochnye_stancii_azs_/karta_azs?filterID=65" TargetMode="External"/><Relationship Id="rId47" Type="http://schemas.openxmlformats.org/officeDocument/2006/relationships/hyperlink" Target="http://www.benzin-price.ru/price.php?region_id=60&amp;sort=10&amp;brand_id=0&amp;price_mode=" TargetMode="External"/><Relationship Id="rId50" Type="http://schemas.openxmlformats.org/officeDocument/2006/relationships/hyperlink" Target="http://www.benzin-price.ru/price.php?region_id=60&amp;sort=7&amp;brand_id=0&amp;price_mode=" TargetMode="External"/><Relationship Id="rId55" Type="http://schemas.openxmlformats.org/officeDocument/2006/relationships/hyperlink" Target="http://www.benzin-price.ru/price.php?region_id=60&amp;sort=1&amp;brand_id=0&amp;price_mode=" TargetMode="External"/><Relationship Id="rId63" Type="http://schemas.openxmlformats.org/officeDocument/2006/relationships/hyperlink" Target="http://www.benzin-cena.ru/benzin/39-rossija-ceni" TargetMode="External"/><Relationship Id="rId68" Type="http://schemas.openxmlformats.org/officeDocument/2006/relationships/hyperlink" Target="http://autotraveler.ru/latvia/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0.bin"/><Relationship Id="rId2" Type="http://schemas.openxmlformats.org/officeDocument/2006/relationships/hyperlink" Target="http://autotraveler.ru/poland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www.gazpromlpg.ru/?id=415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nbrb.by/statistics/rates/ratesDaily.asp" TargetMode="External"/><Relationship Id="rId11" Type="http://schemas.openxmlformats.org/officeDocument/2006/relationships/hyperlink" Target="https://www.e-petrol.ru/" TargetMode="External"/><Relationship Id="rId24" Type="http://schemas.openxmlformats.org/officeDocument/2006/relationships/hyperlink" Target="http://www.benzin-price.ru/stat_month.php?region_id=32" TargetMode="External"/><Relationship Id="rId32" Type="http://schemas.openxmlformats.org/officeDocument/2006/relationships/hyperlink" Target="http://www.fuel-prices-europe.info/" TargetMode="External"/><Relationship Id="rId37" Type="http://schemas.openxmlformats.org/officeDocument/2006/relationships/hyperlink" Target="http://www.lukoil.lt/ru/avtozapravochnye_stancii_azs_/karta_azs?filterID=22,77,104,110,117,118,119" TargetMode="External"/><Relationship Id="rId40" Type="http://schemas.openxmlformats.org/officeDocument/2006/relationships/hyperlink" Target="http://www.lukoil.lt/ru/avtozapravochnye_stancii_azs_/karta_azs?filterID=54" TargetMode="External"/><Relationship Id="rId45" Type="http://schemas.openxmlformats.org/officeDocument/2006/relationships/hyperlink" Target="http://www.vseazs.com/" TargetMode="External"/><Relationship Id="rId53" Type="http://schemas.openxmlformats.org/officeDocument/2006/relationships/hyperlink" Target="http://www.benzin-price.ru/price.php?region_id=60&amp;sort=3&amp;brand_id=0&amp;price_mode=" TargetMode="External"/><Relationship Id="rId58" Type="http://schemas.openxmlformats.org/officeDocument/2006/relationships/hyperlink" Target="http://www.benzin-price.ru/price.php?region_id=77" TargetMode="External"/><Relationship Id="rId66" Type="http://schemas.openxmlformats.org/officeDocument/2006/relationships/hyperlink" Target="http://www.benzin-cena.ru/benzin/4-mir-ceni-v-evro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www.benzin-price.ru/stat_month.php?region_id=60" TargetMode="External"/><Relationship Id="rId28" Type="http://schemas.openxmlformats.org/officeDocument/2006/relationships/hyperlink" Target="http://www.nbrb.by/" TargetMode="External"/><Relationship Id="rId36" Type="http://schemas.openxmlformats.org/officeDocument/2006/relationships/hyperlink" Target="http://www.lukoil.lt/ru/avtozapravochnye_stancii_azs_/karta_azs?filterID=67" TargetMode="External"/><Relationship Id="rId49" Type="http://schemas.openxmlformats.org/officeDocument/2006/relationships/hyperlink" Target="http://www.benzin-price.ru/price.php?region_id=60&amp;sort=8&amp;brand_id=0&amp;price_mode=" TargetMode="External"/><Relationship Id="rId57" Type="http://schemas.openxmlformats.org/officeDocument/2006/relationships/hyperlink" Target="http://www.benzin-price.ru/price.php?region_id=67" TargetMode="External"/><Relationship Id="rId61" Type="http://schemas.openxmlformats.org/officeDocument/2006/relationships/hyperlink" Target="http://region-cm.ru/node/36" TargetMode="External"/><Relationship Id="rId10" Type="http://schemas.openxmlformats.org/officeDocument/2006/relationships/hyperlink" Target="https://www.shell.lv/ru_lv/shell-fuel/fuel-price.html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autotraveler.ru/lithuania/" TargetMode="External"/><Relationship Id="rId44" Type="http://schemas.openxmlformats.org/officeDocument/2006/relationships/hyperlink" Target="http://www.lukoil.lv/lv/galvena_lapa" TargetMode="External"/><Relationship Id="rId52" Type="http://schemas.openxmlformats.org/officeDocument/2006/relationships/hyperlink" Target="http://www.benzin-price.ru/price.php?region_id=60&amp;sort=5&amp;brand_id=0&amp;price_mode=" TargetMode="External"/><Relationship Id="rId60" Type="http://schemas.openxmlformats.org/officeDocument/2006/relationships/hyperlink" Target="http://autotraveler.ru/poland/" TargetMode="External"/><Relationship Id="rId65" Type="http://schemas.openxmlformats.org/officeDocument/2006/relationships/hyperlink" Target="http://www.benzin-cena.ru/benzin/4-mir-ceni-v-evro" TargetMode="External"/><Relationship Id="rId4" Type="http://schemas.openxmlformats.org/officeDocument/2006/relationships/hyperlink" Target="http://www.fuel-prices-europe.info/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abw.by/fuel/" TargetMode="External"/><Relationship Id="rId22" Type="http://schemas.openxmlformats.org/officeDocument/2006/relationships/hyperlink" Target="http://neftemarket.net/retail-market/65-values-of-average-retail-prices-of-petroleum-products-in-ukraine-and-their-dynamics" TargetMode="External"/><Relationship Id="rId27" Type="http://schemas.openxmlformats.org/officeDocument/2006/relationships/hyperlink" Target="http://www.benzin-price.ru/price.php?region_id=32" TargetMode="External"/><Relationship Id="rId30" Type="http://schemas.openxmlformats.org/officeDocument/2006/relationships/hyperlink" Target="http://natrakte.ru/" TargetMode="External"/><Relationship Id="rId35" Type="http://schemas.openxmlformats.org/officeDocument/2006/relationships/hyperlink" Target="http://www.lukoil.lt/ru/avtozapravochnye_stancii_azs_/karta_azs?filterID=86,87,111" TargetMode="External"/><Relationship Id="rId43" Type="http://schemas.openxmlformats.org/officeDocument/2006/relationships/hyperlink" Target="http://www.lukoil.lt/ru/osnovnaja_stranica" TargetMode="External"/><Relationship Id="rId48" Type="http://schemas.openxmlformats.org/officeDocument/2006/relationships/hyperlink" Target="http://www.benzin-price.ru/price.php?region_id=60&amp;sort=9&amp;brand_id=0&amp;price_mode=" TargetMode="External"/><Relationship Id="rId56" Type="http://schemas.openxmlformats.org/officeDocument/2006/relationships/hyperlink" Target="http://www.benzin-price.ru/price.php?region_id=60" TargetMode="External"/><Relationship Id="rId64" Type="http://schemas.openxmlformats.org/officeDocument/2006/relationships/hyperlink" Target="http://www.benzin-cena.ru/benzin/77-ukraina-ceni" TargetMode="External"/><Relationship Id="rId69" Type="http://schemas.openxmlformats.org/officeDocument/2006/relationships/hyperlink" Target="http://www.vseazs.com/" TargetMode="External"/><Relationship Id="rId8" Type="http://schemas.openxmlformats.org/officeDocument/2006/relationships/hyperlink" Target="http://www.globalpetrolprices.com/" TargetMode="External"/><Relationship Id="rId51" Type="http://schemas.openxmlformats.org/officeDocument/2006/relationships/hyperlink" Target="http://www.benzin-price.ru/price.php?region_id=60&amp;sort=6&amp;brand_id=0&amp;price_mode=" TargetMode="External"/><Relationship Id="rId3" Type="http://schemas.openxmlformats.org/officeDocument/2006/relationships/hyperlink" Target="http://www.e-petrol.ru/rynek-krajowy/ceny-stacje-paliw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benzin-price.ru/stat_month.php?region_id=67" TargetMode="External"/><Relationship Id="rId33" Type="http://schemas.openxmlformats.org/officeDocument/2006/relationships/hyperlink" Target="http://www.e-petrol.ru/rynek-krajowy/ceny-stacje-paliw" TargetMode="External"/><Relationship Id="rId38" Type="http://schemas.openxmlformats.org/officeDocument/2006/relationships/hyperlink" Target="http://www.lukoil.lt/ru/avtozapravochnye_stancii_azs_/karta_azs?filterID=32,87" TargetMode="External"/><Relationship Id="rId46" Type="http://schemas.openxmlformats.org/officeDocument/2006/relationships/hyperlink" Target="http://www.benzin-price.ru/price.php?region_id=60&amp;sort=11&amp;brand_id=0&amp;price_mode=" TargetMode="External"/><Relationship Id="rId59" Type="http://schemas.openxmlformats.org/officeDocument/2006/relationships/hyperlink" Target="http://www.belorusneft.by/sitebeloil/ru/center/azs/" TargetMode="External"/><Relationship Id="rId67" Type="http://schemas.openxmlformats.org/officeDocument/2006/relationships/hyperlink" Target="http://www.benzin-cena.ru/benzin/4-mir-ceni-v-evro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67" TargetMode="External"/><Relationship Id="rId54" Type="http://schemas.openxmlformats.org/officeDocument/2006/relationships/hyperlink" Target="http://www.benzin-price.ru/price.php?region_id=60&amp;sort=2&amp;brand_id=0&amp;price_mode=" TargetMode="External"/><Relationship Id="rId62" Type="http://schemas.openxmlformats.org/officeDocument/2006/relationships/hyperlink" Target="https://multigo.ru/benzin/54.785205;32.045898/1" TargetMode="External"/><Relationship Id="rId70" Type="http://schemas.openxmlformats.org/officeDocument/2006/relationships/hyperlink" Target="http://www.benzin-price.ru/stat_month.php?region_id=77" TargetMode="External"/></Relationships>
</file>

<file path=xl/worksheets/_rels/sheet1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1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2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22,77,104,110,117,118,119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www.fuel-prices-europe.info/" TargetMode="External"/><Relationship Id="rId42" Type="http://schemas.openxmlformats.org/officeDocument/2006/relationships/hyperlink" Target="http://www.lukoil.lt/ru/avtozapravochnye_stancii_azs_/karta_azs?filterID=54" TargetMode="External"/><Relationship Id="rId47" Type="http://schemas.openxmlformats.org/officeDocument/2006/relationships/hyperlink" Target="https://multigo.ru/benzin/54.785205;32.045898/1" TargetMode="External"/><Relationship Id="rId50" Type="http://schemas.openxmlformats.org/officeDocument/2006/relationships/hyperlink" Target="http://www.benzin-cena.ru/benzin/4-mir-ceni-v-evro" TargetMode="External"/><Relationship Id="rId55" Type="http://schemas.openxmlformats.org/officeDocument/2006/relationships/hyperlink" Target="http://www.benzin-price.ru/price.php?region_id=67" TargetMode="External"/><Relationship Id="rId7" Type="http://schemas.openxmlformats.org/officeDocument/2006/relationships/hyperlink" Target="http://www.nbrb.by/statistics/rates/ratesDaily.asp" TargetMode="External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0" Type="http://schemas.openxmlformats.org/officeDocument/2006/relationships/hyperlink" Target="http://bamap.org/information/fuelprices/fuelineur/" TargetMode="External"/><Relationship Id="rId29" Type="http://schemas.openxmlformats.org/officeDocument/2006/relationships/hyperlink" Target="http://autotraveler.ru/latvia/" TargetMode="External"/><Relationship Id="rId41" Type="http://schemas.openxmlformats.org/officeDocument/2006/relationships/hyperlink" Target="http://www.lukoil.lt/ru/avtozapravochnye_stancii_azs_/karta_azs?filterID=33" TargetMode="External"/><Relationship Id="rId54" Type="http://schemas.openxmlformats.org/officeDocument/2006/relationships/hyperlink" Target="http://www.benzin-price.ru/price.php?region_id=77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natrakte.ru/" TargetMode="External"/><Relationship Id="rId37" Type="http://schemas.openxmlformats.org/officeDocument/2006/relationships/hyperlink" Target="http://www.lukoil.lt/ru/avtozapravochnye_stancii_azs_/karta_azs?filterID=86,87,111" TargetMode="External"/><Relationship Id="rId40" Type="http://schemas.openxmlformats.org/officeDocument/2006/relationships/hyperlink" Target="http://www.lukoil.lt/ru/avtozapravochnye_stancii_azs_/karta_azs?filterID=32,87" TargetMode="External"/><Relationship Id="rId45" Type="http://schemas.openxmlformats.org/officeDocument/2006/relationships/hyperlink" Target="http://autotraveler.ru/poland/" TargetMode="External"/><Relationship Id="rId53" Type="http://schemas.openxmlformats.org/officeDocument/2006/relationships/hyperlink" Target="http://www.belorusneft.by/sitebeloil/ru/center/azs/" TargetMode="External"/><Relationship Id="rId58" Type="http://schemas.openxmlformats.org/officeDocument/2006/relationships/hyperlink" Target="http://www.lukoil.lv/lv/galvena_lapa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lukoil.lt/ru/avtozapravochnye_stancii_azs_/karta_azs?filterID=65" TargetMode="External"/><Relationship Id="rId49" Type="http://schemas.openxmlformats.org/officeDocument/2006/relationships/hyperlink" Target="http://www.benzin-cena.ru/benzin/77-ukraina-ceni" TargetMode="External"/><Relationship Id="rId57" Type="http://schemas.openxmlformats.org/officeDocument/2006/relationships/hyperlink" Target="http://www.vseazs.com/" TargetMode="External"/><Relationship Id="rId61" Type="http://schemas.openxmlformats.org/officeDocument/2006/relationships/printerSettings" Target="../printerSettings/printerSettings127.bin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gazpromlpg.ru/?id=415" TargetMode="External"/><Relationship Id="rId44" Type="http://schemas.openxmlformats.org/officeDocument/2006/relationships/hyperlink" Target="http://www.lukoil.lt/ru/avtozapravochnye_stancii_azs_/karta_azs?filterID=65" TargetMode="External"/><Relationship Id="rId52" Type="http://schemas.openxmlformats.org/officeDocument/2006/relationships/hyperlink" Target="http://www.benzin-cena.ru/benzin/4-mir-ceni-v-evro" TargetMode="External"/><Relationship Id="rId60" Type="http://schemas.openxmlformats.org/officeDocument/2006/relationships/hyperlink" Target="http://www.benzin-price.ru/price.php?region_id=32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nbrb.by/" TargetMode="External"/><Relationship Id="rId35" Type="http://schemas.openxmlformats.org/officeDocument/2006/relationships/hyperlink" Target="http://www.e-petrol.ru/rynek-krajowy/ceny-stacje-paliw" TargetMode="External"/><Relationship Id="rId43" Type="http://schemas.openxmlformats.org/officeDocument/2006/relationships/hyperlink" Target="http://www.lukoil.lt/ru/avtozapravochnye_stancii_azs_/karta_azs?filterID=67" TargetMode="External"/><Relationship Id="rId48" Type="http://schemas.openxmlformats.org/officeDocument/2006/relationships/hyperlink" Target="http://www.benzin-cena.ru/benzin/39-rossija-ceni" TargetMode="External"/><Relationship Id="rId56" Type="http://schemas.openxmlformats.org/officeDocument/2006/relationships/hyperlink" Target="http://www.benzin-price.ru/price.php?region_id=60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cena.ru/benzin/4-mir-ceni-v-evro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autotraveler.ru/lithuania/" TargetMode="External"/><Relationship Id="rId38" Type="http://schemas.openxmlformats.org/officeDocument/2006/relationships/hyperlink" Target="http://www.lukoil.lt/ru/avtozapravochnye_stancii_azs_/karta_azs?filterID=67" TargetMode="External"/><Relationship Id="rId46" Type="http://schemas.openxmlformats.org/officeDocument/2006/relationships/hyperlink" Target="http://region-cm.ru/node/36" TargetMode="External"/><Relationship Id="rId59" Type="http://schemas.openxmlformats.org/officeDocument/2006/relationships/hyperlink" Target="http://www.lukoil.lt/ru/osnovnaja_stranica" TargetMode="External"/></Relationships>
</file>

<file path=xl/worksheets/_rels/sheet13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2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3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3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www.fuel-prices-europe.info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4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4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month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5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5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6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6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3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4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7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5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6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7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7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month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month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month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8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79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80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81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_rels/sheet18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-petrol.ru/" TargetMode="External"/><Relationship Id="rId18" Type="http://schemas.openxmlformats.org/officeDocument/2006/relationships/hyperlink" Target="https://www.abw.by/fuel/" TargetMode="External"/><Relationship Id="rId26" Type="http://schemas.openxmlformats.org/officeDocument/2006/relationships/hyperlink" Target="http://www.benzin-price.ru/stat_60days.php?region_id=77" TargetMode="External"/><Relationship Id="rId39" Type="http://schemas.openxmlformats.org/officeDocument/2006/relationships/hyperlink" Target="http://www.lukoil.lt/ru/avtozapravochnye_stancii_azs_/karta_azs?filterID=67" TargetMode="External"/><Relationship Id="rId21" Type="http://schemas.openxmlformats.org/officeDocument/2006/relationships/hyperlink" Target="http://bamap.org/information/fuelprices/fuelineur/" TargetMode="External"/><Relationship Id="rId34" Type="http://schemas.openxmlformats.org/officeDocument/2006/relationships/hyperlink" Target="http://autotraveler.ru/lithuania/" TargetMode="External"/><Relationship Id="rId42" Type="http://schemas.openxmlformats.org/officeDocument/2006/relationships/hyperlink" Target="http://www.lukoil.lt/ru/avtozapravochnye_stancii_azs_/karta_azs?filterID=33" TargetMode="External"/><Relationship Id="rId47" Type="http://schemas.openxmlformats.org/officeDocument/2006/relationships/hyperlink" Target="http://www.lukoil.lv/lv/galvena_lapa" TargetMode="External"/><Relationship Id="rId50" Type="http://schemas.openxmlformats.org/officeDocument/2006/relationships/hyperlink" Target="http://www.benzin-price.ru/price.php?region_id=60&amp;sort=10&amp;brand_id=0&amp;price_mode=" TargetMode="External"/><Relationship Id="rId55" Type="http://schemas.openxmlformats.org/officeDocument/2006/relationships/hyperlink" Target="http://www.benzin-price.ru/price.php?region_id=60&amp;sort=5&amp;brand_id=0&amp;price_mode=" TargetMode="External"/><Relationship Id="rId63" Type="http://schemas.openxmlformats.org/officeDocument/2006/relationships/hyperlink" Target="http://autotraveler.ru/poland/" TargetMode="External"/><Relationship Id="rId68" Type="http://schemas.openxmlformats.org/officeDocument/2006/relationships/hyperlink" Target="http://www.benzin-cena.ru/benzin/4-mir-ceni-v-evro" TargetMode="External"/><Relationship Id="rId7" Type="http://schemas.openxmlformats.org/officeDocument/2006/relationships/hyperlink" Target="http://www.nbrb.by/statistics/rates/ratesDaily.asp" TargetMode="External"/><Relationship Id="rId71" Type="http://schemas.openxmlformats.org/officeDocument/2006/relationships/printerSettings" Target="../printerSettings/printerSettings182.bin"/><Relationship Id="rId2" Type="http://schemas.openxmlformats.org/officeDocument/2006/relationships/hyperlink" Target="http://autotraveler.ru/latvia/" TargetMode="External"/><Relationship Id="rId16" Type="http://schemas.openxmlformats.org/officeDocument/2006/relationships/hyperlink" Target="https://www.abw.by/fuel/" TargetMode="External"/><Relationship Id="rId29" Type="http://schemas.openxmlformats.org/officeDocument/2006/relationships/hyperlink" Target="http://autotraveler.ru/latvia/" TargetMode="External"/><Relationship Id="rId1" Type="http://schemas.openxmlformats.org/officeDocument/2006/relationships/hyperlink" Target="http://www.belorusneft.by/sitebeloil/ru/center/azs/" TargetMode="External"/><Relationship Id="rId6" Type="http://schemas.openxmlformats.org/officeDocument/2006/relationships/hyperlink" Target="http://www.fuel-prices-europe.info/" TargetMode="External"/><Relationship Id="rId11" Type="http://schemas.openxmlformats.org/officeDocument/2006/relationships/hyperlink" Target="https://www.shell.lv/ru_lv/shell-fuel/fuel-price.html" TargetMode="External"/><Relationship Id="rId24" Type="http://schemas.openxmlformats.org/officeDocument/2006/relationships/hyperlink" Target="http://www.benzin-price.ru/stat_60days.php?region_id=60" TargetMode="External"/><Relationship Id="rId32" Type="http://schemas.openxmlformats.org/officeDocument/2006/relationships/hyperlink" Target="http://www.gazpromlpg.ru/?id=415" TargetMode="External"/><Relationship Id="rId37" Type="http://schemas.openxmlformats.org/officeDocument/2006/relationships/hyperlink" Target="http://www.lukoil.lt/ru/avtozapravochnye_stancii_azs_/karta_azs?filterID=65" TargetMode="External"/><Relationship Id="rId40" Type="http://schemas.openxmlformats.org/officeDocument/2006/relationships/hyperlink" Target="http://www.lukoil.lt/ru/avtozapravochnye_stancii_azs_/karta_azs?filterID=22,77,104,110,117,118,119" TargetMode="External"/><Relationship Id="rId45" Type="http://schemas.openxmlformats.org/officeDocument/2006/relationships/hyperlink" Target="http://www.lukoil.lt/ru/avtozapravochnye_stancii_azs_/karta_azs?filterID=65" TargetMode="External"/><Relationship Id="rId53" Type="http://schemas.openxmlformats.org/officeDocument/2006/relationships/hyperlink" Target="http://www.benzin-price.ru/price.php?region_id=60&amp;sort=7&amp;brand_id=0&amp;price_mode=" TargetMode="External"/><Relationship Id="rId58" Type="http://schemas.openxmlformats.org/officeDocument/2006/relationships/hyperlink" Target="http://www.benzin-price.ru/price.php?region_id=60&amp;sort=1&amp;brand_id=0&amp;price_mode=" TargetMode="External"/><Relationship Id="rId66" Type="http://schemas.openxmlformats.org/officeDocument/2006/relationships/hyperlink" Target="http://www.benzin-cena.ru/benzin/39-rossija-ceni" TargetMode="External"/><Relationship Id="rId5" Type="http://schemas.openxmlformats.org/officeDocument/2006/relationships/hyperlink" Target="http://www.fuel-prices-europe.info/" TargetMode="External"/><Relationship Id="rId15" Type="http://schemas.openxmlformats.org/officeDocument/2006/relationships/hyperlink" Target="https://www.abw.by/fuel/" TargetMode="External"/><Relationship Id="rId23" Type="http://schemas.openxmlformats.org/officeDocument/2006/relationships/hyperlink" Target="http://neftemarket.net/retail-market/65-values-of-average-retail-prices-of-petroleum-products-in-ukraine-and-their-dynamics" TargetMode="External"/><Relationship Id="rId28" Type="http://schemas.openxmlformats.org/officeDocument/2006/relationships/hyperlink" Target="http://www.benzin-price.ru/stat_60days.php?region_id=67" TargetMode="External"/><Relationship Id="rId36" Type="http://schemas.openxmlformats.org/officeDocument/2006/relationships/hyperlink" Target="http://www.e-petrol.ru/rynek-krajowy/ceny-stacje-paliw" TargetMode="External"/><Relationship Id="rId49" Type="http://schemas.openxmlformats.org/officeDocument/2006/relationships/hyperlink" Target="http://www.benzin-price.ru/price.php?region_id=60&amp;sort=11&amp;brand_id=0&amp;price_mode=" TargetMode="External"/><Relationship Id="rId57" Type="http://schemas.openxmlformats.org/officeDocument/2006/relationships/hyperlink" Target="http://www.benzin-price.ru/price.php?region_id=60&amp;sort=2&amp;brand_id=0&amp;price_mode=" TargetMode="External"/><Relationship Id="rId61" Type="http://schemas.openxmlformats.org/officeDocument/2006/relationships/hyperlink" Target="http://www.benzin-price.ru/price.php?region_id=77" TargetMode="External"/><Relationship Id="rId10" Type="http://schemas.openxmlformats.org/officeDocument/2006/relationships/hyperlink" Target="http://www.globalpetrolprices.com/" TargetMode="External"/><Relationship Id="rId19" Type="http://schemas.openxmlformats.org/officeDocument/2006/relationships/hyperlink" Target="http://bamap.org/information/fuelprices/fuelineur/" TargetMode="External"/><Relationship Id="rId31" Type="http://schemas.openxmlformats.org/officeDocument/2006/relationships/hyperlink" Target="http://www.nbrb.by/" TargetMode="External"/><Relationship Id="rId44" Type="http://schemas.openxmlformats.org/officeDocument/2006/relationships/hyperlink" Target="http://www.lukoil.lt/ru/avtozapravochnye_stancii_azs_/karta_azs?filterID=67" TargetMode="External"/><Relationship Id="rId52" Type="http://schemas.openxmlformats.org/officeDocument/2006/relationships/hyperlink" Target="http://www.benzin-price.ru/price.php?region_id=60&amp;sort=8&amp;brand_id=0&amp;price_mode=" TargetMode="External"/><Relationship Id="rId60" Type="http://schemas.openxmlformats.org/officeDocument/2006/relationships/hyperlink" Target="http://www.benzin-price.ru/price.php?region_id=67" TargetMode="External"/><Relationship Id="rId65" Type="http://schemas.openxmlformats.org/officeDocument/2006/relationships/hyperlink" Target="https://multigo.ru/benzin/54.785205;32.045898/1" TargetMode="External"/><Relationship Id="rId4" Type="http://schemas.openxmlformats.org/officeDocument/2006/relationships/hyperlink" Target="http://www.e-petrol.ru/rynek-krajowy/ceny-stacje-paliw" TargetMode="External"/><Relationship Id="rId9" Type="http://schemas.openxmlformats.org/officeDocument/2006/relationships/hyperlink" Target="http://www.globalpetrolprices.com/" TargetMode="External"/><Relationship Id="rId14" Type="http://schemas.openxmlformats.org/officeDocument/2006/relationships/hyperlink" Target="https://www.e-petrol.ru/" TargetMode="External"/><Relationship Id="rId22" Type="http://schemas.openxmlformats.org/officeDocument/2006/relationships/hyperlink" Target="http://bamap.org/information/fuelprices/fuelineur/" TargetMode="External"/><Relationship Id="rId27" Type="http://schemas.openxmlformats.org/officeDocument/2006/relationships/hyperlink" Target="http://www.benzin-price.ru/stat_60days.php?region_id=32" TargetMode="External"/><Relationship Id="rId30" Type="http://schemas.openxmlformats.org/officeDocument/2006/relationships/hyperlink" Target="http://www.benzin-price.ru/price.php?region_id=32" TargetMode="External"/><Relationship Id="rId35" Type="http://schemas.openxmlformats.org/officeDocument/2006/relationships/hyperlink" Target="http://autotraveler.ru/lithuania/" TargetMode="External"/><Relationship Id="rId43" Type="http://schemas.openxmlformats.org/officeDocument/2006/relationships/hyperlink" Target="http://www.lukoil.lt/ru/avtozapravochnye_stancii_azs_/karta_azs?filterID=54" TargetMode="External"/><Relationship Id="rId48" Type="http://schemas.openxmlformats.org/officeDocument/2006/relationships/hyperlink" Target="http://www.vseazs.com/" TargetMode="External"/><Relationship Id="rId56" Type="http://schemas.openxmlformats.org/officeDocument/2006/relationships/hyperlink" Target="http://www.benzin-price.ru/price.php?region_id=60&amp;sort=3&amp;brand_id=0&amp;price_mode=" TargetMode="External"/><Relationship Id="rId64" Type="http://schemas.openxmlformats.org/officeDocument/2006/relationships/hyperlink" Target="http://region-cm.ru/node/36" TargetMode="External"/><Relationship Id="rId69" Type="http://schemas.openxmlformats.org/officeDocument/2006/relationships/hyperlink" Target="http://www.benzin-cena.ru/benzin/4-mir-ceni-v-evro" TargetMode="External"/><Relationship Id="rId8" Type="http://schemas.openxmlformats.org/officeDocument/2006/relationships/hyperlink" Target="http://www.nbrb.by/statistics/rates/ratesDaily.asp" TargetMode="External"/><Relationship Id="rId51" Type="http://schemas.openxmlformats.org/officeDocument/2006/relationships/hyperlink" Target="http://www.benzin-price.ru/price.php?region_id=60&amp;sort=9&amp;brand_id=0&amp;price_mode=" TargetMode="External"/><Relationship Id="rId3" Type="http://schemas.openxmlformats.org/officeDocument/2006/relationships/hyperlink" Target="http://autotraveler.ru/poland/" TargetMode="External"/><Relationship Id="rId12" Type="http://schemas.openxmlformats.org/officeDocument/2006/relationships/hyperlink" Target="https://www.e-petrol.ru/" TargetMode="External"/><Relationship Id="rId17" Type="http://schemas.openxmlformats.org/officeDocument/2006/relationships/hyperlink" Target="https://www.abw.by/fuel/" TargetMode="External"/><Relationship Id="rId25" Type="http://schemas.openxmlformats.org/officeDocument/2006/relationships/hyperlink" Target="http://www.vseazs.com/" TargetMode="External"/><Relationship Id="rId33" Type="http://schemas.openxmlformats.org/officeDocument/2006/relationships/hyperlink" Target="http://natrakte.ru/" TargetMode="External"/><Relationship Id="rId38" Type="http://schemas.openxmlformats.org/officeDocument/2006/relationships/hyperlink" Target="http://www.lukoil.lt/ru/avtozapravochnye_stancii_azs_/karta_azs?filterID=86,87,111" TargetMode="External"/><Relationship Id="rId46" Type="http://schemas.openxmlformats.org/officeDocument/2006/relationships/hyperlink" Target="http://www.lukoil.lt/ru/osnovnaja_stranica" TargetMode="External"/><Relationship Id="rId59" Type="http://schemas.openxmlformats.org/officeDocument/2006/relationships/hyperlink" Target="http://www.benzin-price.ru/price.php?region_id=60" TargetMode="External"/><Relationship Id="rId67" Type="http://schemas.openxmlformats.org/officeDocument/2006/relationships/hyperlink" Target="http://www.benzin-cena.ru/benzin/77-ukraina-ceni" TargetMode="External"/><Relationship Id="rId20" Type="http://schemas.openxmlformats.org/officeDocument/2006/relationships/hyperlink" Target="http://bamap.org/information/fuelprices/fuelineur/" TargetMode="External"/><Relationship Id="rId41" Type="http://schemas.openxmlformats.org/officeDocument/2006/relationships/hyperlink" Target="http://www.lukoil.lt/ru/avtozapravochnye_stancii_azs_/karta_azs?filterID=32,87" TargetMode="External"/><Relationship Id="rId54" Type="http://schemas.openxmlformats.org/officeDocument/2006/relationships/hyperlink" Target="http://www.benzin-price.ru/price.php?region_id=60&amp;sort=6&amp;brand_id=0&amp;price_mode=" TargetMode="External"/><Relationship Id="rId62" Type="http://schemas.openxmlformats.org/officeDocument/2006/relationships/hyperlink" Target="http://www.belorusneft.by/sitebeloil/ru/center/azs/" TargetMode="External"/><Relationship Id="rId70" Type="http://schemas.openxmlformats.org/officeDocument/2006/relationships/hyperlink" Target="http://www.benzin-cena.ru/benzin/4-mir-ceni-v-evr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Normal="100" zoomScaleSheetLayoutView="100" workbookViewId="0">
      <selection activeCell="B11" sqref="B11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230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0.56800736874424329</v>
      </c>
      <c r="C6" s="20"/>
      <c r="D6" s="19">
        <f t="shared" ref="D6:D11" si="1">D15/N6</f>
        <v>0.6089448367618463</v>
      </c>
      <c r="E6" s="20">
        <f t="shared" ref="E6:E14" si="2">D6/B6</f>
        <v>1.0720720720720718</v>
      </c>
      <c r="F6" s="19">
        <f t="shared" ref="F6:F11" si="3">F15/N6</f>
        <v>0.66523385528605061</v>
      </c>
      <c r="G6" s="19">
        <f t="shared" ref="G6:G11" si="4">G15/N6</f>
        <v>0.62941357077064786</v>
      </c>
      <c r="H6" s="19"/>
      <c r="I6" s="19"/>
      <c r="J6" s="20">
        <f t="shared" ref="J6:J11" si="5">G6/B6</f>
        <v>1.1081081081081079</v>
      </c>
      <c r="K6" s="20">
        <f t="shared" ref="K6:K17" si="6">G6/D6</f>
        <v>1.0336134453781514</v>
      </c>
      <c r="L6" s="19">
        <f t="shared" ref="L6:L11" si="7">L15/N6</f>
        <v>0.30703101013202333</v>
      </c>
      <c r="M6" s="21">
        <f t="shared" ref="M6:M11" si="8">L6/B6</f>
        <v>0.54054054054054046</v>
      </c>
      <c r="N6" s="22">
        <f>P6</f>
        <v>1.9541999999999999</v>
      </c>
      <c r="O6" s="23" t="s">
        <v>17</v>
      </c>
      <c r="P6" s="9">
        <v>1.9541999999999999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0.59298354313785695</v>
      </c>
      <c r="C7" s="20">
        <f>B7/$B$6</f>
        <v>1.0439715675675674</v>
      </c>
      <c r="D7" s="25">
        <f t="shared" si="1"/>
        <v>0.64281975232831856</v>
      </c>
      <c r="E7" s="20">
        <f t="shared" si="2"/>
        <v>1.0840431572969904</v>
      </c>
      <c r="F7" s="25">
        <f t="shared" si="3"/>
        <v>0.73929322484904314</v>
      </c>
      <c r="G7" s="25">
        <f t="shared" si="4"/>
        <v>0.61756491658990897</v>
      </c>
      <c r="H7" s="26">
        <f t="shared" ref="H7:H14" si="9">G7/$G$6</f>
        <v>0.98117508943089438</v>
      </c>
      <c r="I7" s="26" t="e">
        <f t="shared" ref="I7:I14" si="10">G7/$G$5</f>
        <v>#DIV/0!</v>
      </c>
      <c r="J7" s="27">
        <f t="shared" si="5"/>
        <v>1.0414537194775697</v>
      </c>
      <c r="K7" s="20">
        <f t="shared" si="6"/>
        <v>0.96071241487689885</v>
      </c>
      <c r="L7" s="25">
        <f t="shared" si="7"/>
        <v>0.34009845461058236</v>
      </c>
      <c r="M7" s="28">
        <f t="shared" si="8"/>
        <v>0.57353776263486655</v>
      </c>
      <c r="N7" s="29">
        <f>P6/P7</f>
        <v>59.394565679897873</v>
      </c>
      <c r="O7" s="9"/>
      <c r="P7" s="9">
        <f>3.2902/100</f>
        <v>3.2902000000000001E-2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0.58742747927540684</v>
      </c>
      <c r="C8" s="20">
        <f>B8/$B$6</f>
        <v>1.0341898918918917</v>
      </c>
      <c r="D8" s="25">
        <f t="shared" si="1"/>
        <v>0.6344014737488487</v>
      </c>
      <c r="E8" s="20">
        <f t="shared" si="2"/>
        <v>1.0799656061908858</v>
      </c>
      <c r="F8" s="25">
        <f t="shared" si="3"/>
        <v>0.69029884351652859</v>
      </c>
      <c r="G8" s="25">
        <f t="shared" si="4"/>
        <v>0.57917756626752637</v>
      </c>
      <c r="H8" s="26">
        <f t="shared" si="9"/>
        <v>0.92018601626016261</v>
      </c>
      <c r="I8" s="26" t="e">
        <f t="shared" si="10"/>
        <v>#DIV/0!</v>
      </c>
      <c r="J8" s="27">
        <f t="shared" si="5"/>
        <v>0.98595586127830326</v>
      </c>
      <c r="K8" s="20">
        <f t="shared" si="6"/>
        <v>0.9129511677282377</v>
      </c>
      <c r="L8" s="25">
        <f t="shared" si="7"/>
        <v>0.32662920888343056</v>
      </c>
      <c r="M8" s="28">
        <f t="shared" si="8"/>
        <v>0.55603324734881054</v>
      </c>
      <c r="N8" s="29">
        <f>N7</f>
        <v>59.394565679897873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0.59264681199467828</v>
      </c>
      <c r="C9" s="20">
        <f>B9/$B$6</f>
        <v>1.0433787387387388</v>
      </c>
      <c r="D9" s="25">
        <f t="shared" si="1"/>
        <v>0.64147282775560344</v>
      </c>
      <c r="E9" s="20">
        <f t="shared" si="2"/>
        <v>1.0823863636363635</v>
      </c>
      <c r="F9" s="25">
        <f t="shared" si="3"/>
        <v>0.66925314706785388</v>
      </c>
      <c r="G9" s="25">
        <f t="shared" si="4"/>
        <v>0.60325384300481022</v>
      </c>
      <c r="H9" s="26">
        <f t="shared" si="9"/>
        <v>0.9584379349593497</v>
      </c>
      <c r="I9" s="26" t="e">
        <f t="shared" si="10"/>
        <v>#DIV/0!</v>
      </c>
      <c r="J9" s="27">
        <f t="shared" si="5"/>
        <v>1.0178977272727272</v>
      </c>
      <c r="K9" s="20">
        <f t="shared" si="6"/>
        <v>0.94041994750656166</v>
      </c>
      <c r="L9" s="25">
        <f t="shared" si="7"/>
        <v>0.29969071742912706</v>
      </c>
      <c r="M9" s="28">
        <f t="shared" si="8"/>
        <v>0.50568181818181812</v>
      </c>
      <c r="N9" s="29">
        <f>N7</f>
        <v>59.394565679897873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0.58321833998567196</v>
      </c>
      <c r="C10" s="20">
        <f>B10/$B$6</f>
        <v>1.0267795315315313</v>
      </c>
      <c r="D10" s="25">
        <f t="shared" si="1"/>
        <v>0.62042713130692873</v>
      </c>
      <c r="E10" s="20">
        <f t="shared" si="2"/>
        <v>1.0637990762124712</v>
      </c>
      <c r="F10" s="25">
        <f t="shared" si="3"/>
        <v>0.6766612322177874</v>
      </c>
      <c r="G10" s="25">
        <f t="shared" si="4"/>
        <v>0.6152077985876574</v>
      </c>
      <c r="H10" s="26">
        <f t="shared" si="9"/>
        <v>0.97743014634146341</v>
      </c>
      <c r="I10" s="26" t="e">
        <f t="shared" si="10"/>
        <v>#DIV/0!</v>
      </c>
      <c r="J10" s="27">
        <f t="shared" si="5"/>
        <v>1.0548498845265588</v>
      </c>
      <c r="K10" s="20">
        <f t="shared" si="6"/>
        <v>0.99158751696065128</v>
      </c>
      <c r="L10" s="25">
        <f t="shared" si="7"/>
        <v>0.2912724388496572</v>
      </c>
      <c r="M10" s="28">
        <f t="shared" si="8"/>
        <v>0.49942263279445731</v>
      </c>
      <c r="N10" s="29">
        <f>N7</f>
        <v>59.394565679897873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0.85164338348173152</v>
      </c>
      <c r="C11" s="20">
        <f>B11/$B$6</f>
        <v>1.499352702702702</v>
      </c>
      <c r="D11" s="25">
        <f t="shared" si="1"/>
        <v>0.91208259134172531</v>
      </c>
      <c r="E11" s="20">
        <f t="shared" si="2"/>
        <v>1.0709677419354837</v>
      </c>
      <c r="F11" s="25">
        <f t="shared" si="3"/>
        <v>1.0036571487053525</v>
      </c>
      <c r="G11" s="25">
        <f t="shared" si="4"/>
        <v>0.78754119332719263</v>
      </c>
      <c r="H11" s="26">
        <f t="shared" si="9"/>
        <v>1.2512300813008128</v>
      </c>
      <c r="I11" s="26" t="e">
        <f t="shared" si="10"/>
        <v>#DIV/0!</v>
      </c>
      <c r="J11" s="27">
        <f t="shared" si="5"/>
        <v>0.92473118279569899</v>
      </c>
      <c r="K11" s="20">
        <f t="shared" si="6"/>
        <v>0.86345381526104426</v>
      </c>
      <c r="L11" s="25">
        <f t="shared" si="7"/>
        <v>0.43113301606795612</v>
      </c>
      <c r="M11" s="28">
        <f t="shared" si="8"/>
        <v>0.50623655913978494</v>
      </c>
      <c r="N11" s="29">
        <f>P6/P11</f>
        <v>27.300159257914004</v>
      </c>
      <c r="O11" s="9"/>
      <c r="P11" s="9">
        <f>7.1582/100</f>
        <v>7.1581999999999993E-2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1.2267524306621633</v>
      </c>
      <c r="E12" s="20" t="e">
        <f t="shared" si="2"/>
        <v>#DIV/0!</v>
      </c>
      <c r="F12" s="25">
        <f>F21*N12</f>
        <v>1.1438350220038891</v>
      </c>
      <c r="G12" s="25">
        <f>G21*N12</f>
        <v>1.152339371609866</v>
      </c>
      <c r="H12" s="26">
        <f t="shared" si="9"/>
        <v>1.8308143089430895</v>
      </c>
      <c r="I12" s="26" t="e">
        <f t="shared" si="10"/>
        <v>#DIV/0!</v>
      </c>
      <c r="J12" s="27"/>
      <c r="K12" s="20">
        <f t="shared" si="6"/>
        <v>0.93934142114384767</v>
      </c>
      <c r="L12" s="25">
        <f>L21*$N$12</f>
        <v>0.57935881690717428</v>
      </c>
      <c r="M12" s="31">
        <f>L12/D12</f>
        <v>0.4722703639514732</v>
      </c>
      <c r="N12" s="29">
        <f>P13/P6</f>
        <v>1.0630437007471087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1.2256893869614165</v>
      </c>
      <c r="E13" s="20" t="e">
        <f t="shared" si="2"/>
        <v>#DIV/0!</v>
      </c>
      <c r="F13" s="25">
        <f>F22*N13</f>
        <v>1.1789154641285435</v>
      </c>
      <c r="G13" s="25">
        <f>G22*N13</f>
        <v>1.1300154538941765</v>
      </c>
      <c r="H13" s="26">
        <f t="shared" si="9"/>
        <v>1.7953465040650403</v>
      </c>
      <c r="I13" s="26" t="e">
        <f t="shared" si="10"/>
        <v>#DIV/0!</v>
      </c>
      <c r="J13" s="27"/>
      <c r="K13" s="20">
        <f t="shared" si="6"/>
        <v>0.92194275802254966</v>
      </c>
      <c r="L13" s="25">
        <f>L22*$N$12</f>
        <v>0.57404359840343877</v>
      </c>
      <c r="M13" s="31">
        <f>L13/D13</f>
        <v>0.46834345186470078</v>
      </c>
      <c r="N13" s="29">
        <f>P13/P6</f>
        <v>1.0630437007471087</v>
      </c>
      <c r="O13" s="9"/>
      <c r="P13" s="34">
        <v>2.0773999999999999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1.1406525432402008</v>
      </c>
      <c r="E14" s="20" t="e">
        <f t="shared" si="2"/>
        <v>#DIV/0!</v>
      </c>
      <c r="F14" s="25">
        <f>F23/N14</f>
        <v>1.2136153924879747</v>
      </c>
      <c r="G14" s="25">
        <f>G23/N14</f>
        <v>1.1138994985160169</v>
      </c>
      <c r="H14" s="26">
        <f t="shared" si="9"/>
        <v>1.7697417886178863</v>
      </c>
      <c r="I14" s="26" t="e">
        <f t="shared" si="10"/>
        <v>#DIV/0!</v>
      </c>
      <c r="J14" s="27"/>
      <c r="K14" s="20">
        <f t="shared" si="6"/>
        <v>0.97654584221748386</v>
      </c>
      <c r="L14" s="25">
        <f>L23/N14</f>
        <v>0.55694974925800844</v>
      </c>
      <c r="M14" s="35">
        <f>L14/D14</f>
        <v>0.48827292110874193</v>
      </c>
      <c r="N14" s="36">
        <f>P6/P14</f>
        <v>4.1116815350951015</v>
      </c>
      <c r="O14" s="9"/>
      <c r="P14" s="37">
        <f>4.7528/10</f>
        <v>0.47527999999999998</v>
      </c>
      <c r="Q14" s="9" t="s">
        <v>30</v>
      </c>
    </row>
    <row r="15" spans="1:17" ht="15.75" x14ac:dyDescent="0.25">
      <c r="A15" s="38" t="s">
        <v>31</v>
      </c>
      <c r="B15" s="39">
        <v>1.1100000000000001</v>
      </c>
      <c r="C15" s="38"/>
      <c r="D15" s="39">
        <v>1.19</v>
      </c>
      <c r="E15" s="39"/>
      <c r="F15" s="39">
        <v>1.3</v>
      </c>
      <c r="G15" s="39">
        <v>1.23</v>
      </c>
      <c r="H15" s="38"/>
      <c r="I15" s="38"/>
      <c r="J15" s="38"/>
      <c r="K15" s="40">
        <f t="shared" si="6"/>
        <v>1.0336134453781514</v>
      </c>
      <c r="L15" s="41">
        <v>0.6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35.22</v>
      </c>
      <c r="C16" s="45"/>
      <c r="D16" s="45">
        <v>38.18</v>
      </c>
      <c r="E16" s="45"/>
      <c r="F16" s="45">
        <v>43.91</v>
      </c>
      <c r="G16" s="45">
        <v>36.68</v>
      </c>
      <c r="H16" s="46"/>
      <c r="I16" s="46"/>
      <c r="J16" s="46"/>
      <c r="K16" s="47">
        <f t="shared" si="6"/>
        <v>0.96071241487689885</v>
      </c>
      <c r="L16" s="48">
        <v>20.2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34.89</v>
      </c>
      <c r="C17" s="50"/>
      <c r="D17" s="45">
        <v>37.68</v>
      </c>
      <c r="E17" s="45"/>
      <c r="F17" s="51">
        <v>41</v>
      </c>
      <c r="G17" s="45">
        <v>34.4</v>
      </c>
      <c r="H17" s="50"/>
      <c r="I17" s="50"/>
      <c r="J17" s="50"/>
      <c r="K17" s="52">
        <f t="shared" si="6"/>
        <v>0.91295116772823781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35.200000000000003</v>
      </c>
      <c r="C18" s="50"/>
      <c r="D18" s="45">
        <v>38.1</v>
      </c>
      <c r="E18" s="56"/>
      <c r="F18" s="45">
        <v>39.75</v>
      </c>
      <c r="G18" s="56">
        <v>35.83</v>
      </c>
      <c r="H18" s="50"/>
      <c r="I18" s="50"/>
      <c r="J18" s="50"/>
      <c r="K18" s="52"/>
      <c r="L18" s="57">
        <v>17.8</v>
      </c>
      <c r="M18" s="54"/>
      <c r="N18" s="23" t="s">
        <v>38</v>
      </c>
      <c r="P18" s="11"/>
      <c r="Q18" s="43"/>
    </row>
    <row r="19" spans="1:18" ht="15.75" x14ac:dyDescent="0.25">
      <c r="A19" s="44" t="s">
        <v>23</v>
      </c>
      <c r="B19" s="58">
        <v>34.64</v>
      </c>
      <c r="C19" s="50"/>
      <c r="D19" s="56">
        <v>36.85</v>
      </c>
      <c r="E19" s="59"/>
      <c r="F19" s="56">
        <v>40.19</v>
      </c>
      <c r="G19" s="56">
        <v>36.54</v>
      </c>
      <c r="H19" s="50"/>
      <c r="I19" s="50"/>
      <c r="J19" s="50"/>
      <c r="K19" s="52"/>
      <c r="L19" s="60">
        <v>17.3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23.25</v>
      </c>
      <c r="C20" s="46"/>
      <c r="D20" s="45">
        <v>24.9</v>
      </c>
      <c r="E20" s="51"/>
      <c r="F20" s="45">
        <v>27.4</v>
      </c>
      <c r="G20" s="62">
        <v>21.5</v>
      </c>
      <c r="H20" s="50"/>
      <c r="I20" s="50"/>
      <c r="J20" s="50"/>
      <c r="K20" s="52">
        <f>G20/D20</f>
        <v>0.86345381526104426</v>
      </c>
      <c r="L20" s="63">
        <v>11.77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1.1539999999999999</v>
      </c>
      <c r="E21" s="67"/>
      <c r="F21" s="316">
        <v>1.0760000000000001</v>
      </c>
      <c r="G21" s="67">
        <v>1.0840000000000001</v>
      </c>
      <c r="H21" s="50"/>
      <c r="I21" s="50"/>
      <c r="J21" s="50"/>
      <c r="K21" s="52">
        <f>G21/D21</f>
        <v>0.93934142114384767</v>
      </c>
      <c r="L21" s="68">
        <v>0.54500000000000004</v>
      </c>
      <c r="M21" s="69"/>
      <c r="N21" s="70" t="s">
        <v>43</v>
      </c>
      <c r="P21" s="71" t="s">
        <v>44</v>
      </c>
      <c r="Q21" s="43"/>
    </row>
    <row r="22" spans="1:18" ht="15.75" x14ac:dyDescent="0.25">
      <c r="A22" s="61" t="s">
        <v>46</v>
      </c>
      <c r="B22" s="66"/>
      <c r="C22" s="50"/>
      <c r="D22" s="67">
        <v>1.153</v>
      </c>
      <c r="E22" s="67"/>
      <c r="F22" s="67">
        <v>1.109</v>
      </c>
      <c r="G22" s="67">
        <v>1.0629999999999999</v>
      </c>
      <c r="H22" s="50"/>
      <c r="I22" s="50"/>
      <c r="J22" s="50"/>
      <c r="K22" s="52">
        <f>G22/D22</f>
        <v>0.92194275802254977</v>
      </c>
      <c r="L22" s="68">
        <v>0.54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4.6900000000000004</v>
      </c>
      <c r="E23" s="76">
        <f t="shared" ref="E23:K23" si="11">ROUND((34.45+33.3)/2,2)</f>
        <v>33.880000000000003</v>
      </c>
      <c r="F23" s="76">
        <v>4.99</v>
      </c>
      <c r="G23" s="76">
        <v>4.58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2.29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</hyperlinks>
  <pageMargins left="0.70866141732283472" right="0.70866141732283472" top="0.74803149606299213" bottom="0.74803149606299213" header="0.31496062992125984" footer="0.31496062992125984"/>
  <pageSetup paperSize="9" scale="83" orientation="landscape" r:id="rId35"/>
  <drawing r:id="rId36"/>
  <legacyDrawing r:id="rId3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231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0.57346559206447623</v>
      </c>
      <c r="C6" s="20"/>
      <c r="D6" s="19">
        <f t="shared" ref="D6:D11" si="1">D15/N6</f>
        <v>0.61479644554660051</v>
      </c>
      <c r="E6" s="20">
        <f t="shared" ref="E6:E14" si="2">D6/B6</f>
        <v>1.0720720720720718</v>
      </c>
      <c r="F6" s="19">
        <f t="shared" ref="F6:F11" si="3">F15/N6</f>
        <v>0.67162636908452167</v>
      </c>
      <c r="G6" s="19">
        <f t="shared" ref="G6:G11" si="4">G15/N6</f>
        <v>0.63546187228766271</v>
      </c>
      <c r="H6" s="19"/>
      <c r="I6" s="19"/>
      <c r="J6" s="20">
        <f t="shared" ref="J6:J11" si="5">G6/B6</f>
        <v>1.1081081081081079</v>
      </c>
      <c r="K6" s="20">
        <f t="shared" ref="K6:K17" si="6">G6/D6</f>
        <v>1.0336134453781514</v>
      </c>
      <c r="L6" s="19">
        <f t="shared" ref="L6:L11" si="7">L15/N6</f>
        <v>0.30998140111593303</v>
      </c>
      <c r="M6" s="21">
        <f t="shared" ref="M6:M11" si="8">L6/B6</f>
        <v>0.54054054054054046</v>
      </c>
      <c r="N6" s="22">
        <f>P6</f>
        <v>1.9356</v>
      </c>
      <c r="O6" s="23" t="s">
        <v>17</v>
      </c>
      <c r="P6" s="9">
        <v>1.9356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0.59100640628228984</v>
      </c>
      <c r="C7" s="20">
        <f>B7/$B$6</f>
        <v>1.0305873873873874</v>
      </c>
      <c r="D7" s="25">
        <f t="shared" si="1"/>
        <v>0.64394726183095685</v>
      </c>
      <c r="E7" s="20">
        <f t="shared" si="2"/>
        <v>1.0895774647887322</v>
      </c>
      <c r="F7" s="25">
        <f t="shared" si="3"/>
        <v>0.72702112006612951</v>
      </c>
      <c r="G7" s="25">
        <f t="shared" si="4"/>
        <v>0.6166444306674933</v>
      </c>
      <c r="H7" s="26">
        <f t="shared" ref="H7:H14" si="9">G7/$G$6</f>
        <v>0.97038777235772367</v>
      </c>
      <c r="I7" s="26" t="e">
        <f t="shared" ref="I7:I14" si="10">G7/$G$5</f>
        <v>#DIV/0!</v>
      </c>
      <c r="J7" s="27">
        <f t="shared" si="5"/>
        <v>1.0433802816901407</v>
      </c>
      <c r="K7" s="20">
        <f t="shared" si="6"/>
        <v>0.95760082730093066</v>
      </c>
      <c r="L7" s="25">
        <f t="shared" si="7"/>
        <v>0.33129654887373428</v>
      </c>
      <c r="M7" s="28">
        <f t="shared" si="8"/>
        <v>0.56056338028169006</v>
      </c>
      <c r="N7" s="29">
        <f>P6/P7</f>
        <v>60.067030784508432</v>
      </c>
      <c r="O7" s="9"/>
      <c r="P7" s="9">
        <f>3.2224/100</f>
        <v>3.2224000000000003E-2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0.58767679272576978</v>
      </c>
      <c r="C8" s="20">
        <f>B8/$B$6</f>
        <v>1.024781261261261</v>
      </c>
      <c r="D8" s="25">
        <f t="shared" si="1"/>
        <v>0.64228245505269688</v>
      </c>
      <c r="E8" s="20">
        <f t="shared" si="2"/>
        <v>1.0929178470254959</v>
      </c>
      <c r="F8" s="25">
        <f t="shared" si="3"/>
        <v>0.68756519942136807</v>
      </c>
      <c r="G8" s="25">
        <f t="shared" si="4"/>
        <v>0.64428022318660894</v>
      </c>
      <c r="H8" s="26">
        <f t="shared" si="9"/>
        <v>1.0138770731707321</v>
      </c>
      <c r="I8" s="26" t="e">
        <f t="shared" si="10"/>
        <v>#DIV/0!</v>
      </c>
      <c r="J8" s="27">
        <f t="shared" si="5"/>
        <v>1.0963172804532579</v>
      </c>
      <c r="K8" s="20">
        <f t="shared" si="6"/>
        <v>1.0031104199066876</v>
      </c>
      <c r="L8" s="25">
        <f t="shared" si="7"/>
        <v>0.3229725149824344</v>
      </c>
      <c r="M8" s="28">
        <f t="shared" si="8"/>
        <v>0.54957507082152979</v>
      </c>
      <c r="N8" s="29">
        <f>N7</f>
        <v>60.067030784508432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0.58934159950402987</v>
      </c>
      <c r="C9" s="20">
        <f>B9/$B$6</f>
        <v>1.0276843243243243</v>
      </c>
      <c r="D9" s="25">
        <f t="shared" si="1"/>
        <v>0.63911932217400302</v>
      </c>
      <c r="E9" s="20">
        <f t="shared" si="2"/>
        <v>1.0844632768361582</v>
      </c>
      <c r="F9" s="25">
        <f t="shared" si="3"/>
        <v>0.69588923331266794</v>
      </c>
      <c r="G9" s="25">
        <f t="shared" si="4"/>
        <v>0.62380309981401127</v>
      </c>
      <c r="H9" s="26">
        <f t="shared" si="9"/>
        <v>0.98165307317073192</v>
      </c>
      <c r="I9" s="26" t="e">
        <f t="shared" si="10"/>
        <v>#DIV/0!</v>
      </c>
      <c r="J9" s="27">
        <f t="shared" si="5"/>
        <v>1.0584745762711865</v>
      </c>
      <c r="K9" s="20">
        <f t="shared" si="6"/>
        <v>0.97603542589215941</v>
      </c>
      <c r="L9" s="25">
        <f t="shared" si="7"/>
        <v>0.29217358958462497</v>
      </c>
      <c r="M9" s="28">
        <f t="shared" si="8"/>
        <v>0.49576271186440679</v>
      </c>
      <c r="N9" s="29">
        <f>N7</f>
        <v>60.067030784508432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0.58251589171316398</v>
      </c>
      <c r="C10" s="20">
        <f>B10/$B$6</f>
        <v>1.0157817657657657</v>
      </c>
      <c r="D10" s="25">
        <f t="shared" si="1"/>
        <v>0.63112824963835501</v>
      </c>
      <c r="E10" s="20">
        <f t="shared" si="2"/>
        <v>1.0834524149757072</v>
      </c>
      <c r="F10" s="25">
        <f t="shared" si="3"/>
        <v>0.69905236619136202</v>
      </c>
      <c r="G10" s="25">
        <f t="shared" si="4"/>
        <v>0.62630030998140118</v>
      </c>
      <c r="H10" s="26">
        <f t="shared" si="9"/>
        <v>0.98558282926829288</v>
      </c>
      <c r="I10" s="26" t="e">
        <f t="shared" si="10"/>
        <v>#DIV/0!</v>
      </c>
      <c r="J10" s="27">
        <f t="shared" si="5"/>
        <v>1.0751643326664762</v>
      </c>
      <c r="K10" s="20">
        <f t="shared" si="6"/>
        <v>0.99235030335003971</v>
      </c>
      <c r="L10" s="25">
        <f t="shared" si="7"/>
        <v>0.29467079975201493</v>
      </c>
      <c r="M10" s="28">
        <f t="shared" si="8"/>
        <v>0.50585881680480138</v>
      </c>
      <c r="N10" s="29">
        <f>N7</f>
        <v>60.067030784508432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0.89315953709444096</v>
      </c>
      <c r="C11" s="20">
        <f>B11/$B$6</f>
        <v>1.5574771171171169</v>
      </c>
      <c r="D11" s="25">
        <f t="shared" si="1"/>
        <v>0.91899473031618106</v>
      </c>
      <c r="E11" s="20">
        <f t="shared" si="2"/>
        <v>1.0289256198347108</v>
      </c>
      <c r="F11" s="25">
        <f t="shared" si="3"/>
        <v>1.0537068092581112</v>
      </c>
      <c r="G11" s="25">
        <f t="shared" si="4"/>
        <v>0.82857155404009097</v>
      </c>
      <c r="H11" s="26">
        <f t="shared" si="9"/>
        <v>1.303888699186992</v>
      </c>
      <c r="I11" s="26" t="e">
        <f t="shared" si="10"/>
        <v>#DIV/0!</v>
      </c>
      <c r="J11" s="27">
        <f t="shared" si="5"/>
        <v>0.92768595041322321</v>
      </c>
      <c r="K11" s="20">
        <f t="shared" si="6"/>
        <v>0.90160642570281124</v>
      </c>
      <c r="L11" s="25">
        <f t="shared" si="7"/>
        <v>0.39860012399256051</v>
      </c>
      <c r="M11" s="28">
        <f t="shared" si="8"/>
        <v>0.44628099173553726</v>
      </c>
      <c r="N11" s="29">
        <f>P6/P11</f>
        <v>27.094823483300203</v>
      </c>
      <c r="O11" s="9"/>
      <c r="P11" s="9">
        <f>7.1438/100</f>
        <v>7.1438000000000001E-2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1.2450037197768133</v>
      </c>
      <c r="E12" s="20" t="e">
        <f t="shared" si="2"/>
        <v>#DIV/0!</v>
      </c>
      <c r="F12" s="25">
        <f>F21*N12</f>
        <v>1.1861762244265344</v>
      </c>
      <c r="G12" s="25">
        <f>G21*N12</f>
        <v>1.1594364538127713</v>
      </c>
      <c r="H12" s="26">
        <f t="shared" si="9"/>
        <v>1.8245570731707319</v>
      </c>
      <c r="I12" s="26" t="e">
        <f t="shared" si="10"/>
        <v>#DIV/0!</v>
      </c>
      <c r="J12" s="27"/>
      <c r="K12" s="20">
        <f t="shared" si="6"/>
        <v>0.93127147766323026</v>
      </c>
      <c r="L12" s="25">
        <f>L21*$N$12</f>
        <v>0.54442172969621827</v>
      </c>
      <c r="M12" s="31">
        <f>L12/D12</f>
        <v>0.43728522336769765</v>
      </c>
      <c r="N12" s="29">
        <f>P13/P6</f>
        <v>1.069590824550527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1.227890266584005</v>
      </c>
      <c r="E13" s="20" t="e">
        <f t="shared" si="2"/>
        <v>#DIV/0!</v>
      </c>
      <c r="F13" s="25">
        <f>F22*N13</f>
        <v>1.3369885306881588</v>
      </c>
      <c r="G13" s="25">
        <f>G22*N13</f>
        <v>1.1198615933044016</v>
      </c>
      <c r="H13" s="26">
        <f t="shared" si="9"/>
        <v>1.7622797560975609</v>
      </c>
      <c r="I13" s="26" t="e">
        <f t="shared" si="10"/>
        <v>#DIV/0!</v>
      </c>
      <c r="J13" s="27"/>
      <c r="K13" s="20">
        <f t="shared" si="6"/>
        <v>0.91202090592334484</v>
      </c>
      <c r="L13" s="25">
        <f>L22*$N$12</f>
        <v>0.60966676999380032</v>
      </c>
      <c r="M13" s="31">
        <f>L13/D13</f>
        <v>0.49651567944250863</v>
      </c>
      <c r="N13" s="29">
        <f>P13/P6</f>
        <v>1.069590824550527</v>
      </c>
      <c r="O13" s="9"/>
      <c r="P13" s="34">
        <v>2.0703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1.1675446373217606</v>
      </c>
      <c r="E14" s="20" t="e">
        <f t="shared" si="2"/>
        <v>#DIV/0!</v>
      </c>
      <c r="F14" s="25">
        <f>F23/N14</f>
        <v>1.2440644761314321</v>
      </c>
      <c r="G14" s="25">
        <f>G23/N14</f>
        <v>1.1403924364538127</v>
      </c>
      <c r="H14" s="26">
        <f t="shared" si="9"/>
        <v>1.7945882926829269</v>
      </c>
      <c r="I14" s="26" t="e">
        <f t="shared" si="10"/>
        <v>#DIV/0!</v>
      </c>
      <c r="J14" s="27"/>
      <c r="K14" s="20">
        <f t="shared" si="6"/>
        <v>0.9767441860465117</v>
      </c>
      <c r="L14" s="25">
        <f>L23/N14</f>
        <v>0.56032269063856166</v>
      </c>
      <c r="M14" s="35">
        <f>L14/D14</f>
        <v>0.47991543340380549</v>
      </c>
      <c r="N14" s="36">
        <f>P6/P14</f>
        <v>4.0512369709908329</v>
      </c>
      <c r="O14" s="9"/>
      <c r="P14" s="37">
        <f>4.7778/10</f>
        <v>0.47777999999999998</v>
      </c>
      <c r="Q14" s="9" t="s">
        <v>30</v>
      </c>
    </row>
    <row r="15" spans="1:17" ht="15.75" x14ac:dyDescent="0.25">
      <c r="A15" s="38" t="s">
        <v>31</v>
      </c>
      <c r="B15" s="39">
        <v>1.1100000000000001</v>
      </c>
      <c r="C15" s="38"/>
      <c r="D15" s="39">
        <v>1.19</v>
      </c>
      <c r="E15" s="39"/>
      <c r="F15" s="39">
        <v>1.3</v>
      </c>
      <c r="G15" s="39">
        <v>1.23</v>
      </c>
      <c r="H15" s="38"/>
      <c r="I15" s="38"/>
      <c r="J15" s="38"/>
      <c r="K15" s="40">
        <f t="shared" si="6"/>
        <v>1.0336134453781514</v>
      </c>
      <c r="L15" s="41">
        <v>0.6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35.5</v>
      </c>
      <c r="C16" s="45"/>
      <c r="D16" s="45">
        <v>38.68</v>
      </c>
      <c r="E16" s="45"/>
      <c r="F16" s="45">
        <v>43.67</v>
      </c>
      <c r="G16" s="45">
        <v>37.04</v>
      </c>
      <c r="H16" s="46"/>
      <c r="I16" s="46"/>
      <c r="J16" s="46"/>
      <c r="K16" s="47">
        <f t="shared" si="6"/>
        <v>0.95760082730093066</v>
      </c>
      <c r="L16" s="48">
        <v>19.899999999999999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35.299999999999997</v>
      </c>
      <c r="C17" s="50"/>
      <c r="D17" s="45">
        <v>38.58</v>
      </c>
      <c r="E17" s="45"/>
      <c r="F17" s="51">
        <v>41.3</v>
      </c>
      <c r="G17" s="45">
        <v>38.700000000000003</v>
      </c>
      <c r="H17" s="50"/>
      <c r="I17" s="50"/>
      <c r="J17" s="50"/>
      <c r="K17" s="52">
        <f t="shared" si="6"/>
        <v>1.0031104199066876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35.4</v>
      </c>
      <c r="C18" s="50"/>
      <c r="D18" s="45">
        <v>38.39</v>
      </c>
      <c r="E18" s="56"/>
      <c r="F18" s="45">
        <v>41.8</v>
      </c>
      <c r="G18" s="56">
        <v>37.47</v>
      </c>
      <c r="H18" s="50"/>
      <c r="I18" s="50"/>
      <c r="J18" s="50"/>
      <c r="K18" s="52"/>
      <c r="L18" s="57">
        <v>17.55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34.99</v>
      </c>
      <c r="C19" s="50"/>
      <c r="D19" s="56">
        <v>37.909999999999997</v>
      </c>
      <c r="E19" s="59"/>
      <c r="F19" s="56">
        <v>41.99</v>
      </c>
      <c r="G19" s="56">
        <v>37.619999999999997</v>
      </c>
      <c r="H19" s="50"/>
      <c r="I19" s="50"/>
      <c r="J19" s="50"/>
      <c r="K19" s="52"/>
      <c r="L19" s="60">
        <v>17.7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24.2</v>
      </c>
      <c r="C20" s="46"/>
      <c r="D20" s="45">
        <v>24.9</v>
      </c>
      <c r="E20" s="51"/>
      <c r="F20" s="45">
        <v>28.55</v>
      </c>
      <c r="G20" s="62">
        <v>22.45</v>
      </c>
      <c r="H20" s="50"/>
      <c r="I20" s="50"/>
      <c r="J20" s="50"/>
      <c r="K20" s="52">
        <f>G20/D20</f>
        <v>0.90160642570281124</v>
      </c>
      <c r="L20" s="63">
        <v>10.8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1.1639999999999999</v>
      </c>
      <c r="E21" s="67"/>
      <c r="F21" s="316">
        <v>1.109</v>
      </c>
      <c r="G21" s="67">
        <v>1.0840000000000001</v>
      </c>
      <c r="H21" s="50"/>
      <c r="I21" s="50"/>
      <c r="J21" s="50"/>
      <c r="K21" s="52">
        <f>G21/D21</f>
        <v>0.93127147766323037</v>
      </c>
      <c r="L21" s="68">
        <v>0.50900000000000001</v>
      </c>
      <c r="M21" s="69"/>
      <c r="N21" s="70" t="s">
        <v>43</v>
      </c>
      <c r="P21" s="71" t="s">
        <v>44</v>
      </c>
      <c r="Q21" s="43"/>
    </row>
    <row r="22" spans="1:18" ht="15.75" x14ac:dyDescent="0.25">
      <c r="A22" s="61" t="s">
        <v>46</v>
      </c>
      <c r="B22" s="66"/>
      <c r="C22" s="50"/>
      <c r="D22" s="67">
        <v>1.1479999999999999</v>
      </c>
      <c r="E22" s="67"/>
      <c r="F22" s="67">
        <v>1.25</v>
      </c>
      <c r="G22" s="67">
        <v>1.0469999999999999</v>
      </c>
      <c r="H22" s="50"/>
      <c r="I22" s="50"/>
      <c r="J22" s="50"/>
      <c r="K22" s="52">
        <f>G22/D22</f>
        <v>0.91202090592334495</v>
      </c>
      <c r="L22" s="68">
        <v>0.56999999999999995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4.7300000000000004</v>
      </c>
      <c r="E23" s="76">
        <f t="shared" ref="E23:K23" si="11">ROUND((34.45+33.3)/2,2)</f>
        <v>33.880000000000003</v>
      </c>
      <c r="F23" s="76">
        <v>5.04</v>
      </c>
      <c r="G23" s="76">
        <v>4.62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2.27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</hyperlinks>
  <pageMargins left="0.70866141732283472" right="0.70866141732283472" top="0.74803149606299213" bottom="0.74803149606299213" header="0.31496062992125984" footer="0.31496062992125984"/>
  <pageSetup paperSize="9" scale="83" orientation="landscape" r:id="rId36"/>
  <drawing r:id="rId37"/>
  <legacyDrawing r:id="rId38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232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0.58857839758205643</v>
      </c>
      <c r="C6" s="20"/>
      <c r="D6" s="19">
        <f t="shared" ref="D6:D11" si="1">D15/N6</f>
        <v>0.63099846227265499</v>
      </c>
      <c r="E6" s="20">
        <f t="shared" ref="E6:E14" si="2">D6/B6</f>
        <v>1.072072072072072</v>
      </c>
      <c r="F6" s="19">
        <f t="shared" ref="F6:F11" si="3">F15/N6</f>
        <v>0.68932605122222812</v>
      </c>
      <c r="G6" s="19">
        <f t="shared" ref="G6:G11" si="4">G15/N6</f>
        <v>0.65220849461795427</v>
      </c>
      <c r="H6" s="19"/>
      <c r="I6" s="19"/>
      <c r="J6" s="20">
        <f t="shared" ref="J6:J11" si="5">G6/B6</f>
        <v>1.1081081081081079</v>
      </c>
      <c r="K6" s="20">
        <f t="shared" ref="K6:K17" si="6">G6/D6</f>
        <v>1.0336134453781511</v>
      </c>
      <c r="L6" s="19">
        <f t="shared" ref="L6:L11" si="7">L15/N6</f>
        <v>0.31815048517948991</v>
      </c>
      <c r="M6" s="21">
        <f t="shared" ref="M6:M11" si="8">L6/B6</f>
        <v>0.54054054054054046</v>
      </c>
      <c r="N6" s="22">
        <f>P6</f>
        <v>1.8858999999999999</v>
      </c>
      <c r="O6" s="23" t="s">
        <v>17</v>
      </c>
      <c r="P6" s="9">
        <v>1.8858999999999999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0.62155939339307509</v>
      </c>
      <c r="C7" s="20">
        <f>B7/$B$6</f>
        <v>1.0560350090090092</v>
      </c>
      <c r="D7" s="25">
        <f t="shared" si="1"/>
        <v>0.67505284479558836</v>
      </c>
      <c r="E7" s="20">
        <f t="shared" si="2"/>
        <v>1.0860632981676843</v>
      </c>
      <c r="F7" s="25">
        <f t="shared" si="3"/>
        <v>0.75943445039503699</v>
      </c>
      <c r="G7" s="25">
        <f t="shared" si="4"/>
        <v>0.64295677395408035</v>
      </c>
      <c r="H7" s="26">
        <f t="shared" ref="H7:H14" si="9">G7/$G$6</f>
        <v>0.98581478048780502</v>
      </c>
      <c r="I7" s="26" t="e">
        <f t="shared" ref="I7:I14" si="10">G7/$G$5</f>
        <v>#DIV/0!</v>
      </c>
      <c r="J7" s="27">
        <f t="shared" si="5"/>
        <v>1.0344253192670736</v>
      </c>
      <c r="K7" s="20">
        <f t="shared" si="6"/>
        <v>0.9524539877300614</v>
      </c>
      <c r="L7" s="25">
        <f t="shared" si="7"/>
        <v>0.31768207752266825</v>
      </c>
      <c r="M7" s="28">
        <f t="shared" si="8"/>
        <v>0.51110494169905596</v>
      </c>
      <c r="N7" s="29">
        <f>P6/P7</f>
        <v>57.951018652244713</v>
      </c>
      <c r="O7" s="9"/>
      <c r="P7" s="9">
        <f>3.2543/100</f>
        <v>3.2543000000000002E-2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0.61879844106262272</v>
      </c>
      <c r="C8" s="20">
        <f>B8/$B$6</f>
        <v>1.051344126126126</v>
      </c>
      <c r="D8" s="25">
        <f t="shared" si="1"/>
        <v>0.66987605917599036</v>
      </c>
      <c r="E8" s="20">
        <f t="shared" si="2"/>
        <v>1.0825432236475181</v>
      </c>
      <c r="F8" s="25">
        <f t="shared" si="3"/>
        <v>0.72129879633066452</v>
      </c>
      <c r="G8" s="25">
        <f t="shared" si="4"/>
        <v>0.62621850045071326</v>
      </c>
      <c r="H8" s="26">
        <f t="shared" si="9"/>
        <v>0.96015078861788627</v>
      </c>
      <c r="I8" s="26" t="e">
        <f t="shared" si="10"/>
        <v>#DIV/0!</v>
      </c>
      <c r="J8" s="27">
        <f t="shared" si="5"/>
        <v>1.0119910764082543</v>
      </c>
      <c r="K8" s="20">
        <f t="shared" si="6"/>
        <v>0.93482740855229263</v>
      </c>
      <c r="L8" s="25">
        <f t="shared" si="7"/>
        <v>0.33476547006734186</v>
      </c>
      <c r="M8" s="28">
        <f t="shared" si="8"/>
        <v>0.54099274958170662</v>
      </c>
      <c r="N8" s="29">
        <f>N7</f>
        <v>57.951018652244713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0.61448445304629096</v>
      </c>
      <c r="C9" s="20">
        <f>B9/$B$6</f>
        <v>1.0440146216216215</v>
      </c>
      <c r="D9" s="25">
        <f t="shared" si="1"/>
        <v>0.66797790444880445</v>
      </c>
      <c r="E9" s="20">
        <f t="shared" si="2"/>
        <v>1.0870541982589161</v>
      </c>
      <c r="F9" s="25">
        <f t="shared" si="3"/>
        <v>0.73027189140463455</v>
      </c>
      <c r="G9" s="25">
        <f t="shared" si="4"/>
        <v>0.63105016702900485</v>
      </c>
      <c r="H9" s="26">
        <f t="shared" si="9"/>
        <v>0.96755895121951241</v>
      </c>
      <c r="I9" s="26" t="e">
        <f t="shared" si="10"/>
        <v>#DIV/0!</v>
      </c>
      <c r="J9" s="27">
        <f t="shared" si="5"/>
        <v>1.0269587194608256</v>
      </c>
      <c r="K9" s="20">
        <f t="shared" si="6"/>
        <v>0.94471712735727198</v>
      </c>
      <c r="L9" s="25">
        <f t="shared" si="7"/>
        <v>0.33649106527387462</v>
      </c>
      <c r="M9" s="28">
        <f t="shared" si="8"/>
        <v>0.54759898904802029</v>
      </c>
      <c r="N9" s="29">
        <f>N7</f>
        <v>57.951018652244713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0.60378576276578833</v>
      </c>
      <c r="C10" s="20">
        <f>B10/$B$6</f>
        <v>1.0258374504504504</v>
      </c>
      <c r="D10" s="25">
        <f t="shared" si="1"/>
        <v>0.65417314279654282</v>
      </c>
      <c r="E10" s="20">
        <f t="shared" si="2"/>
        <v>1.0834524149757072</v>
      </c>
      <c r="F10" s="25">
        <f t="shared" si="3"/>
        <v>0.72457742722307672</v>
      </c>
      <c r="G10" s="25">
        <f t="shared" si="4"/>
        <v>0.65365546423458309</v>
      </c>
      <c r="H10" s="26">
        <f t="shared" si="9"/>
        <v>1.0022185691056913</v>
      </c>
      <c r="I10" s="26" t="e">
        <f t="shared" si="10"/>
        <v>#DIV/0!</v>
      </c>
      <c r="J10" s="27">
        <f t="shared" si="5"/>
        <v>1.0825950271506144</v>
      </c>
      <c r="K10" s="20">
        <f t="shared" si="6"/>
        <v>0.99920865207069387</v>
      </c>
      <c r="L10" s="25">
        <f t="shared" si="7"/>
        <v>0.31146993477915058</v>
      </c>
      <c r="M10" s="28">
        <f t="shared" si="8"/>
        <v>0.51586167476421829</v>
      </c>
      <c r="N10" s="29">
        <f>N7</f>
        <v>57.951018652244713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0.89051996394294508</v>
      </c>
      <c r="C11" s="20">
        <f>B11/$B$6</f>
        <v>1.5130014414414412</v>
      </c>
      <c r="D11" s="25">
        <f t="shared" si="1"/>
        <v>0.91811872315605281</v>
      </c>
      <c r="E11" s="20">
        <f t="shared" si="2"/>
        <v>1.03099173553719</v>
      </c>
      <c r="F11" s="25">
        <f t="shared" si="3"/>
        <v>1.0818713611538258</v>
      </c>
      <c r="G11" s="25">
        <f t="shared" si="4"/>
        <v>0.82612285911236016</v>
      </c>
      <c r="H11" s="26">
        <f t="shared" si="9"/>
        <v>1.2666545528455284</v>
      </c>
      <c r="I11" s="26" t="e">
        <f t="shared" si="10"/>
        <v>#DIV/0!</v>
      </c>
      <c r="J11" s="27">
        <f t="shared" si="5"/>
        <v>0.9276859504132231</v>
      </c>
      <c r="K11" s="20">
        <f t="shared" si="6"/>
        <v>0.8997995991983968</v>
      </c>
      <c r="L11" s="25">
        <f t="shared" si="7"/>
        <v>0.41398138819661701</v>
      </c>
      <c r="M11" s="28">
        <f t="shared" si="8"/>
        <v>0.46487603305785119</v>
      </c>
      <c r="N11" s="29">
        <f>P6/P11</f>
        <v>27.175134730107494</v>
      </c>
      <c r="O11" s="9"/>
      <c r="P11" s="9">
        <f>6.9398/100</f>
        <v>6.9398000000000001E-2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1.2327574102550507</v>
      </c>
      <c r="E12" s="20" t="e">
        <f t="shared" si="2"/>
        <v>#DIV/0!</v>
      </c>
      <c r="F12" s="25">
        <f>F21*N12</f>
        <v>1.1745085635505597</v>
      </c>
      <c r="G12" s="25">
        <f>G21*N12</f>
        <v>1.1374411156477016</v>
      </c>
      <c r="H12" s="26">
        <f t="shared" si="9"/>
        <v>1.7439839024390247</v>
      </c>
      <c r="I12" s="26" t="e">
        <f t="shared" si="10"/>
        <v>#DIV/0!</v>
      </c>
      <c r="J12" s="27"/>
      <c r="K12" s="20">
        <f t="shared" si="6"/>
        <v>0.92268041237113418</v>
      </c>
      <c r="L12" s="25">
        <f>L21*$N$12</f>
        <v>0.56660241794368749</v>
      </c>
      <c r="M12" s="31">
        <f>L12/D12</f>
        <v>0.45962199312714785</v>
      </c>
      <c r="N12" s="29">
        <f>P13/P6</f>
        <v>1.0590699400816588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1.2369936900153773</v>
      </c>
      <c r="E13" s="20" t="e">
        <f t="shared" si="2"/>
        <v>#DIV/0!</v>
      </c>
      <c r="F13" s="25">
        <f>F22*N13</f>
        <v>1.3344281245028902</v>
      </c>
      <c r="G13" s="25">
        <f>G22*N13</f>
        <v>1.1353229757675383</v>
      </c>
      <c r="H13" s="26">
        <f t="shared" si="9"/>
        <v>1.740736260162602</v>
      </c>
      <c r="I13" s="26" t="e">
        <f t="shared" si="10"/>
        <v>#DIV/0!</v>
      </c>
      <c r="J13" s="27"/>
      <c r="K13" s="20">
        <f t="shared" si="6"/>
        <v>0.91780821917808231</v>
      </c>
      <c r="L13" s="25">
        <f>L22*$N$12</f>
        <v>0.61426056524736206</v>
      </c>
      <c r="M13" s="31">
        <f>L13/D13</f>
        <v>0.49657534246575347</v>
      </c>
      <c r="N13" s="29">
        <f>P13/P6</f>
        <v>1.0590699400816588</v>
      </c>
      <c r="O13" s="9"/>
      <c r="P13" s="34">
        <v>1.9973000000000001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1.1622412641179278</v>
      </c>
      <c r="E14" s="20" t="e">
        <f t="shared" si="2"/>
        <v>#DIV/0!</v>
      </c>
      <c r="F14" s="25">
        <f>F23/N14</f>
        <v>1.2480607667426693</v>
      </c>
      <c r="G14" s="25">
        <f>G23/N14</f>
        <v>1.1377214062251444</v>
      </c>
      <c r="H14" s="26">
        <f t="shared" si="9"/>
        <v>1.7444136585365853</v>
      </c>
      <c r="I14" s="26" t="e">
        <f t="shared" si="10"/>
        <v>#DIV/0!</v>
      </c>
      <c r="J14" s="27"/>
      <c r="K14" s="20">
        <f t="shared" si="6"/>
        <v>0.97890295358649781</v>
      </c>
      <c r="L14" s="25">
        <f>L23/N14</f>
        <v>0.53698488785195397</v>
      </c>
      <c r="M14" s="35">
        <f>L14/D14</f>
        <v>0.46202531645569617</v>
      </c>
      <c r="N14" s="36">
        <f>P6/P14</f>
        <v>4.0783270619782881</v>
      </c>
      <c r="O14" s="9"/>
      <c r="P14" s="37">
        <f>4.6242/10</f>
        <v>0.46242</v>
      </c>
      <c r="Q14" s="9" t="s">
        <v>30</v>
      </c>
    </row>
    <row r="15" spans="1:17" ht="15.75" x14ac:dyDescent="0.25">
      <c r="A15" s="38" t="s">
        <v>31</v>
      </c>
      <c r="B15" s="39">
        <v>1.1100000000000001</v>
      </c>
      <c r="C15" s="38"/>
      <c r="D15" s="39">
        <v>1.19</v>
      </c>
      <c r="E15" s="39"/>
      <c r="F15" s="39">
        <v>1.3</v>
      </c>
      <c r="G15" s="39">
        <v>1.23</v>
      </c>
      <c r="H15" s="38"/>
      <c r="I15" s="38"/>
      <c r="J15" s="38"/>
      <c r="K15" s="40">
        <f t="shared" si="6"/>
        <v>1.0336134453781514</v>
      </c>
      <c r="L15" s="41">
        <v>0.6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36.020000000000003</v>
      </c>
      <c r="C16" s="45"/>
      <c r="D16" s="45">
        <v>39.119999999999997</v>
      </c>
      <c r="E16" s="45"/>
      <c r="F16" s="45">
        <v>44.01</v>
      </c>
      <c r="G16" s="45">
        <v>37.26</v>
      </c>
      <c r="H16" s="46"/>
      <c r="I16" s="46"/>
      <c r="J16" s="46"/>
      <c r="K16" s="47">
        <f t="shared" si="6"/>
        <v>0.9524539877300614</v>
      </c>
      <c r="L16" s="48">
        <v>18.41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36.29</v>
      </c>
      <c r="H17" s="50"/>
      <c r="I17" s="50"/>
      <c r="J17" s="50"/>
      <c r="K17" s="52">
        <f t="shared" si="6"/>
        <v>0.93482740855229263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35.61</v>
      </c>
      <c r="C18" s="50"/>
      <c r="D18" s="45">
        <v>38.71</v>
      </c>
      <c r="E18" s="56"/>
      <c r="F18" s="45">
        <v>42.32</v>
      </c>
      <c r="G18" s="56">
        <v>36.57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34.99</v>
      </c>
      <c r="C19" s="50"/>
      <c r="D19" s="56">
        <v>37.909999999999997</v>
      </c>
      <c r="E19" s="59"/>
      <c r="F19" s="56">
        <v>41.99</v>
      </c>
      <c r="G19" s="56">
        <v>37.880000000000003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24.2</v>
      </c>
      <c r="C20" s="46"/>
      <c r="D20" s="45">
        <v>24.95</v>
      </c>
      <c r="E20" s="51"/>
      <c r="F20" s="45">
        <v>29.4</v>
      </c>
      <c r="G20" s="62">
        <v>22.45</v>
      </c>
      <c r="H20" s="50"/>
      <c r="I20" s="50"/>
      <c r="J20" s="50"/>
      <c r="K20" s="52">
        <f>G20/D20</f>
        <v>0.8997995991983968</v>
      </c>
      <c r="L20" s="63">
        <v>11.25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1.1639999999999999</v>
      </c>
      <c r="E21" s="67"/>
      <c r="F21" s="316">
        <v>1.109</v>
      </c>
      <c r="G21" s="67">
        <v>1.0740000000000001</v>
      </c>
      <c r="H21" s="50"/>
      <c r="I21" s="50"/>
      <c r="J21" s="50"/>
      <c r="K21" s="52">
        <f>G21/D21</f>
        <v>0.92268041237113418</v>
      </c>
      <c r="L21" s="68">
        <v>0.53500000000000003</v>
      </c>
      <c r="M21" s="69"/>
      <c r="N21" s="70" t="s">
        <v>43</v>
      </c>
      <c r="P21" s="71" t="s">
        <v>44</v>
      </c>
      <c r="Q21" s="43"/>
    </row>
    <row r="22" spans="1:18" ht="15.75" x14ac:dyDescent="0.25">
      <c r="A22" s="61" t="s">
        <v>46</v>
      </c>
      <c r="B22" s="66"/>
      <c r="C22" s="50"/>
      <c r="D22" s="67">
        <v>1.1679999999999999</v>
      </c>
      <c r="E22" s="67"/>
      <c r="F22" s="67">
        <v>1.26</v>
      </c>
      <c r="G22" s="67">
        <v>1.0720000000000001</v>
      </c>
      <c r="H22" s="50"/>
      <c r="I22" s="50"/>
      <c r="J22" s="50"/>
      <c r="K22" s="52">
        <f>G22/D22</f>
        <v>0.91780821917808231</v>
      </c>
      <c r="L22" s="68">
        <v>0.57999999999999996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4.74</v>
      </c>
      <c r="E23" s="76">
        <f t="shared" ref="E23:K23" si="11">ROUND((34.45+33.3)/2,2)</f>
        <v>33.880000000000003</v>
      </c>
      <c r="F23" s="76">
        <v>5.09</v>
      </c>
      <c r="G23" s="76">
        <v>4.6399999999999997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2.19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</hyperlinks>
  <pageMargins left="0.70866141732283472" right="0.70866141732283472" top="0.74803149606299213" bottom="0.74803149606299213" header="0.31496062992125984" footer="0.31496062992125984"/>
  <pageSetup paperSize="9" scale="83" orientation="landscape" r:id="rId36"/>
  <drawing r:id="rId37"/>
  <legacyDrawing r:id="rId3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233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0.58513139334413045</v>
      </c>
      <c r="C6" s="20"/>
      <c r="D6" s="19">
        <f t="shared" ref="D6:D11" si="1">D15/N6</f>
        <v>0.62692649286871116</v>
      </c>
      <c r="E6" s="20">
        <f t="shared" ref="E6:E14" si="2">D6/B6</f>
        <v>1.0714285714285714</v>
      </c>
      <c r="F6" s="19">
        <f t="shared" ref="F6:F11" si="3">F15/N6</f>
        <v>0.68439475471500977</v>
      </c>
      <c r="G6" s="19">
        <f t="shared" ref="G6:G11" si="4">G15/N6</f>
        <v>0.64782404263100157</v>
      </c>
      <c r="H6" s="19"/>
      <c r="I6" s="19"/>
      <c r="J6" s="20">
        <f t="shared" ref="J6:J11" si="5">G6/B6</f>
        <v>1.1071428571428572</v>
      </c>
      <c r="K6" s="20">
        <f t="shared" ref="K6:K17" si="6">G6/D6</f>
        <v>1.0333333333333334</v>
      </c>
      <c r="L6" s="19">
        <f t="shared" ref="L6:L11" si="7">L15/N6</f>
        <v>0.31346324643435558</v>
      </c>
      <c r="M6" s="21">
        <f t="shared" ref="M6:M11" si="8">L6/B6</f>
        <v>0.5357142857142857</v>
      </c>
      <c r="N6" s="22">
        <f>P6</f>
        <v>1.9140999999999999</v>
      </c>
      <c r="O6" s="23" t="s">
        <v>17</v>
      </c>
      <c r="P6" s="9">
        <v>1.9140999999999999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0.60892637061804511</v>
      </c>
      <c r="C7" s="20">
        <f>B7/$B$6</f>
        <v>1.0406660410714286</v>
      </c>
      <c r="D7" s="25">
        <f t="shared" si="1"/>
        <v>0.66133258241471182</v>
      </c>
      <c r="E7" s="20">
        <f t="shared" si="2"/>
        <v>1.0860632981676843</v>
      </c>
      <c r="F7" s="25">
        <f t="shared" si="3"/>
        <v>0.7439991552165508</v>
      </c>
      <c r="G7" s="25">
        <f t="shared" si="4"/>
        <v>0.62988885533671168</v>
      </c>
      <c r="H7" s="26">
        <f t="shared" ref="H7:H14" si="9">G7/$G$6</f>
        <v>0.97231472419354814</v>
      </c>
      <c r="I7" s="26" t="e">
        <f t="shared" ref="I7:I14" si="10">G7/$G$5</f>
        <v>#DIV/0!</v>
      </c>
      <c r="J7" s="27">
        <f t="shared" si="5"/>
        <v>1.0344253192670736</v>
      </c>
      <c r="K7" s="20">
        <f t="shared" si="6"/>
        <v>0.95245398773006129</v>
      </c>
      <c r="L7" s="25">
        <f t="shared" si="7"/>
        <v>0.3112252771537537</v>
      </c>
      <c r="M7" s="28">
        <f t="shared" si="8"/>
        <v>0.51110494169905596</v>
      </c>
      <c r="N7" s="29">
        <f>P6/P7</f>
        <v>59.153292972745788</v>
      </c>
      <c r="O7" s="9"/>
      <c r="P7" s="9">
        <f>3.23583/100</f>
        <v>3.23583E-2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0.60622153388015254</v>
      </c>
      <c r="C8" s="20">
        <f>B8/$B$6</f>
        <v>1.0360434267857141</v>
      </c>
      <c r="D8" s="25">
        <f t="shared" si="1"/>
        <v>0.65626101353116351</v>
      </c>
      <c r="E8" s="20">
        <f t="shared" si="2"/>
        <v>1.0825432236475181</v>
      </c>
      <c r="F8" s="25">
        <f t="shared" si="3"/>
        <v>0.70663859777441085</v>
      </c>
      <c r="G8" s="25">
        <f t="shared" si="4"/>
        <v>0.61349078261323853</v>
      </c>
      <c r="H8" s="26">
        <f t="shared" si="9"/>
        <v>0.94700218306451589</v>
      </c>
      <c r="I8" s="26" t="e">
        <f t="shared" si="10"/>
        <v>#DIV/0!</v>
      </c>
      <c r="J8" s="27">
        <f t="shared" si="5"/>
        <v>1.0119910764082543</v>
      </c>
      <c r="K8" s="20">
        <f t="shared" si="6"/>
        <v>0.93482740855229252</v>
      </c>
      <c r="L8" s="25">
        <f t="shared" si="7"/>
        <v>0.3279614544694634</v>
      </c>
      <c r="M8" s="28">
        <f t="shared" si="8"/>
        <v>0.54099274958170651</v>
      </c>
      <c r="N8" s="29">
        <f>N7</f>
        <v>59.153292972745788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0.6019952264771955</v>
      </c>
      <c r="C9" s="20">
        <f>B9/$B$6</f>
        <v>1.0288205919642857</v>
      </c>
      <c r="D9" s="25">
        <f t="shared" si="1"/>
        <v>0.65440143827386243</v>
      </c>
      <c r="E9" s="20">
        <f t="shared" si="2"/>
        <v>1.0870541982589161</v>
      </c>
      <c r="F9" s="25">
        <f t="shared" si="3"/>
        <v>0.71542931717256153</v>
      </c>
      <c r="G9" s="25">
        <f t="shared" si="4"/>
        <v>0.61822424690455047</v>
      </c>
      <c r="H9" s="26">
        <f t="shared" si="9"/>
        <v>0.95430889596774193</v>
      </c>
      <c r="I9" s="26" t="e">
        <f t="shared" si="10"/>
        <v>#DIV/0!</v>
      </c>
      <c r="J9" s="27">
        <f t="shared" si="5"/>
        <v>1.0269587194608258</v>
      </c>
      <c r="K9" s="20">
        <f t="shared" si="6"/>
        <v>0.94471712735727198</v>
      </c>
      <c r="L9" s="25">
        <f t="shared" si="7"/>
        <v>0.32965197743064623</v>
      </c>
      <c r="M9" s="28">
        <f t="shared" si="8"/>
        <v>0.54759898904802018</v>
      </c>
      <c r="N9" s="29">
        <f>N7</f>
        <v>59.153292972745788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0.59151398411786216</v>
      </c>
      <c r="C10" s="20">
        <f>B10/$B$6</f>
        <v>1.0109079616071428</v>
      </c>
      <c r="D10" s="25">
        <f t="shared" si="1"/>
        <v>0.64087725458439992</v>
      </c>
      <c r="E10" s="20">
        <f t="shared" si="2"/>
        <v>1.0834524149757072</v>
      </c>
      <c r="F10" s="25">
        <f t="shared" si="3"/>
        <v>0.70985059140065832</v>
      </c>
      <c r="G10" s="25">
        <f t="shared" si="4"/>
        <v>0.64037009769604514</v>
      </c>
      <c r="H10" s="26">
        <f t="shared" si="9"/>
        <v>0.98849387419354828</v>
      </c>
      <c r="I10" s="26" t="e">
        <f t="shared" si="10"/>
        <v>#DIV/0!</v>
      </c>
      <c r="J10" s="27">
        <f t="shared" si="5"/>
        <v>1.0825950271506144</v>
      </c>
      <c r="K10" s="20">
        <f t="shared" si="6"/>
        <v>0.99920865207069387</v>
      </c>
      <c r="L10" s="25">
        <f t="shared" si="7"/>
        <v>0.30513939449349564</v>
      </c>
      <c r="M10" s="28">
        <f t="shared" si="8"/>
        <v>0.5158616747642184</v>
      </c>
      <c r="N10" s="29">
        <f>N7</f>
        <v>59.153292972745788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0.90180115981401177</v>
      </c>
      <c r="C11" s="20">
        <f>B11/$B$6</f>
        <v>1.5411942857142855</v>
      </c>
      <c r="D11" s="25">
        <f t="shared" si="1"/>
        <v>0.92974954286609901</v>
      </c>
      <c r="E11" s="20">
        <f t="shared" si="2"/>
        <v>1.0309917355371903</v>
      </c>
      <c r="F11" s="25">
        <f t="shared" si="3"/>
        <v>1.0955766156418161</v>
      </c>
      <c r="G11" s="25">
        <f t="shared" si="4"/>
        <v>0.83658826602580849</v>
      </c>
      <c r="H11" s="26">
        <f t="shared" si="9"/>
        <v>1.2913819354838709</v>
      </c>
      <c r="I11" s="26" t="e">
        <f t="shared" si="10"/>
        <v>#DIV/0!</v>
      </c>
      <c r="J11" s="27">
        <f t="shared" si="5"/>
        <v>0.92768595041322321</v>
      </c>
      <c r="K11" s="20">
        <f t="shared" si="6"/>
        <v>0.8997995991983968</v>
      </c>
      <c r="L11" s="25">
        <f t="shared" si="7"/>
        <v>0.41922574578130717</v>
      </c>
      <c r="M11" s="28">
        <f t="shared" si="8"/>
        <v>0.4648760330578513</v>
      </c>
      <c r="N11" s="29">
        <f>P6/P11</f>
        <v>26.835183938986091</v>
      </c>
      <c r="O11" s="9"/>
      <c r="P11" s="9">
        <f>7.1328/100</f>
        <v>7.1328000000000003E-2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1.2339944621493129</v>
      </c>
      <c r="E12" s="20" t="e">
        <f t="shared" si="2"/>
        <v>#DIV/0!</v>
      </c>
      <c r="F12" s="25">
        <f>F21*N12</f>
        <v>1.1756871636800585</v>
      </c>
      <c r="G12" s="25">
        <f>G21*N12</f>
        <v>1.1385825191996239</v>
      </c>
      <c r="H12" s="26">
        <f t="shared" si="9"/>
        <v>1.7575490322580645</v>
      </c>
      <c r="I12" s="26" t="e">
        <f t="shared" si="10"/>
        <v>#DIV/0!</v>
      </c>
      <c r="J12" s="27"/>
      <c r="K12" s="20">
        <f t="shared" si="6"/>
        <v>0.92268041237113418</v>
      </c>
      <c r="L12" s="25">
        <f>L21*$N$12</f>
        <v>0.56717099420092998</v>
      </c>
      <c r="M12" s="31">
        <f>L12/D12</f>
        <v>0.45962199312714785</v>
      </c>
      <c r="N12" s="29">
        <f>P13/P6</f>
        <v>1.0601326994409905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1.2382349929470768</v>
      </c>
      <c r="E13" s="20" t="e">
        <f t="shared" si="2"/>
        <v>#DIV/0!</v>
      </c>
      <c r="F13" s="25">
        <f>F22*N13</f>
        <v>1.3357672012956481</v>
      </c>
      <c r="G13" s="25">
        <f>G22*N13</f>
        <v>1.1364622538007418</v>
      </c>
      <c r="H13" s="26">
        <f t="shared" si="9"/>
        <v>1.7542761290322579</v>
      </c>
      <c r="I13" s="26" t="e">
        <f t="shared" si="10"/>
        <v>#DIV/0!</v>
      </c>
      <c r="J13" s="27"/>
      <c r="K13" s="20">
        <f t="shared" si="6"/>
        <v>0.91780821917808231</v>
      </c>
      <c r="L13" s="25">
        <f>L22*$N$12</f>
        <v>0.61487696567577443</v>
      </c>
      <c r="M13" s="31">
        <f>L13/D13</f>
        <v>0.49657534246575341</v>
      </c>
      <c r="N13" s="29">
        <f>P13/P6</f>
        <v>1.0601326994409905</v>
      </c>
      <c r="O13" s="9"/>
      <c r="P13" s="34">
        <v>2.0291999999999999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1.1629727809414345</v>
      </c>
      <c r="E14" s="20" t="e">
        <f t="shared" si="2"/>
        <v>#DIV/0!</v>
      </c>
      <c r="F14" s="25">
        <f>F23/N14</f>
        <v>1.2488462985214983</v>
      </c>
      <c r="G14" s="25">
        <f>G23/N14</f>
        <v>1.1384374902042733</v>
      </c>
      <c r="H14" s="26">
        <f t="shared" si="9"/>
        <v>1.757325161290322</v>
      </c>
      <c r="I14" s="26" t="e">
        <f t="shared" si="10"/>
        <v>#DIV/0!</v>
      </c>
      <c r="J14" s="27"/>
      <c r="K14" s="20">
        <f t="shared" si="6"/>
        <v>0.97890295358649781</v>
      </c>
      <c r="L14" s="25">
        <f>L23/N14</f>
        <v>0.53732286714382738</v>
      </c>
      <c r="M14" s="35">
        <f>L14/D14</f>
        <v>0.46202531645569622</v>
      </c>
      <c r="N14" s="36">
        <f>P6/P14</f>
        <v>4.0757617699039672</v>
      </c>
      <c r="O14" s="9"/>
      <c r="P14" s="37">
        <f>4.6963/10</f>
        <v>0.46962999999999999</v>
      </c>
      <c r="Q14" s="9" t="s">
        <v>30</v>
      </c>
    </row>
    <row r="15" spans="1:17" ht="15.75" x14ac:dyDescent="0.25">
      <c r="A15" s="38" t="s">
        <v>31</v>
      </c>
      <c r="B15" s="39">
        <v>1.1200000000000001</v>
      </c>
      <c r="C15" s="38"/>
      <c r="D15" s="39">
        <v>1.2</v>
      </c>
      <c r="E15" s="39"/>
      <c r="F15" s="39">
        <v>1.31</v>
      </c>
      <c r="G15" s="39">
        <v>1.24</v>
      </c>
      <c r="H15" s="38"/>
      <c r="I15" s="38"/>
      <c r="J15" s="38"/>
      <c r="K15" s="40">
        <f t="shared" si="6"/>
        <v>1.0333333333333334</v>
      </c>
      <c r="L15" s="41">
        <v>0.6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36.020000000000003</v>
      </c>
      <c r="C16" s="45"/>
      <c r="D16" s="45">
        <v>39.119999999999997</v>
      </c>
      <c r="E16" s="45"/>
      <c r="F16" s="45">
        <v>44.01</v>
      </c>
      <c r="G16" s="45">
        <v>37.26</v>
      </c>
      <c r="H16" s="46"/>
      <c r="I16" s="46"/>
      <c r="J16" s="46"/>
      <c r="K16" s="47">
        <f t="shared" si="6"/>
        <v>0.9524539877300614</v>
      </c>
      <c r="L16" s="48">
        <v>18.41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36.29</v>
      </c>
      <c r="H17" s="50"/>
      <c r="I17" s="50"/>
      <c r="J17" s="50"/>
      <c r="K17" s="52">
        <f t="shared" si="6"/>
        <v>0.93482740855229263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35.61</v>
      </c>
      <c r="C18" s="50"/>
      <c r="D18" s="45">
        <v>38.71</v>
      </c>
      <c r="E18" s="56"/>
      <c r="F18" s="45">
        <v>42.32</v>
      </c>
      <c r="G18" s="56">
        <v>36.57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34.99</v>
      </c>
      <c r="C19" s="50"/>
      <c r="D19" s="56">
        <v>37.909999999999997</v>
      </c>
      <c r="E19" s="59"/>
      <c r="F19" s="56">
        <v>41.99</v>
      </c>
      <c r="G19" s="56">
        <v>37.880000000000003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24.2</v>
      </c>
      <c r="C20" s="46"/>
      <c r="D20" s="45">
        <v>24.95</v>
      </c>
      <c r="E20" s="51"/>
      <c r="F20" s="45">
        <v>29.4</v>
      </c>
      <c r="G20" s="62">
        <v>22.45</v>
      </c>
      <c r="H20" s="50"/>
      <c r="I20" s="50"/>
      <c r="J20" s="50"/>
      <c r="K20" s="52">
        <f>G20/D20</f>
        <v>0.8997995991983968</v>
      </c>
      <c r="L20" s="63">
        <v>11.25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1.1639999999999999</v>
      </c>
      <c r="E21" s="67"/>
      <c r="F21" s="316">
        <v>1.109</v>
      </c>
      <c r="G21" s="67">
        <v>1.0740000000000001</v>
      </c>
      <c r="H21" s="50"/>
      <c r="I21" s="50"/>
      <c r="J21" s="50"/>
      <c r="K21" s="52">
        <f>G21/D21</f>
        <v>0.92268041237113418</v>
      </c>
      <c r="L21" s="68">
        <v>0.53500000000000003</v>
      </c>
      <c r="M21" s="69"/>
      <c r="N21" s="70" t="s">
        <v>43</v>
      </c>
      <c r="P21" s="71" t="s">
        <v>44</v>
      </c>
      <c r="Q21" s="43"/>
    </row>
    <row r="22" spans="1:18" ht="15.75" x14ac:dyDescent="0.25">
      <c r="A22" s="61" t="s">
        <v>46</v>
      </c>
      <c r="B22" s="66"/>
      <c r="C22" s="50"/>
      <c r="D22" s="67">
        <v>1.1679999999999999</v>
      </c>
      <c r="E22" s="67"/>
      <c r="F22" s="67">
        <v>1.26</v>
      </c>
      <c r="G22" s="67">
        <v>1.0720000000000001</v>
      </c>
      <c r="H22" s="50"/>
      <c r="I22" s="50"/>
      <c r="J22" s="50"/>
      <c r="K22" s="52">
        <f>G22/D22</f>
        <v>0.91780821917808231</v>
      </c>
      <c r="L22" s="68">
        <v>0.57999999999999996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4.74</v>
      </c>
      <c r="E23" s="76">
        <f t="shared" ref="E23:K23" si="11">ROUND((34.45+33.3)/2,2)</f>
        <v>33.880000000000003</v>
      </c>
      <c r="F23" s="76">
        <v>5.09</v>
      </c>
      <c r="G23" s="76">
        <v>4.6399999999999997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2.19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</hyperlinks>
  <pageMargins left="0.70866141732283472" right="0.70866141732283472" top="0.74803149606299213" bottom="0.74803149606299213" header="0.31496062992125984" footer="0.31496062992125984"/>
  <pageSetup paperSize="9" scale="83" orientation="landscape" r:id="rId36"/>
  <drawing r:id="rId37"/>
  <legacyDrawing r:id="rId3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233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0.60080816673755844</v>
      </c>
      <c r="C6" s="20"/>
      <c r="D6" s="19">
        <f t="shared" ref="D6:D11" si="1">D15/N6</f>
        <v>0.64334325818800508</v>
      </c>
      <c r="E6" s="20">
        <f t="shared" ref="E6:E14" si="2">D6/B6</f>
        <v>1.0707964601769913</v>
      </c>
      <c r="F6" s="19">
        <f t="shared" ref="F6:F11" si="3">F15/N6</f>
        <v>0.70182900893236921</v>
      </c>
      <c r="G6" s="19">
        <f t="shared" ref="G6:G11" si="4">G15/N6</f>
        <v>0.66461080391322835</v>
      </c>
      <c r="H6" s="19"/>
      <c r="I6" s="19"/>
      <c r="J6" s="20">
        <f t="shared" ref="J6:J11" si="5">G6/B6</f>
        <v>1.1061946902654867</v>
      </c>
      <c r="K6" s="20">
        <f t="shared" ref="K6:K17" si="6">G6/D6</f>
        <v>1.0330578512396693</v>
      </c>
      <c r="L6" s="19">
        <f t="shared" ref="L6:L11" si="7">L15/N6</f>
        <v>0.34028073160357297</v>
      </c>
      <c r="M6" s="21">
        <f t="shared" ref="M6:M11" si="8">L6/B6</f>
        <v>0.56637168141592931</v>
      </c>
      <c r="N6" s="22">
        <f>P6</f>
        <v>1.8808</v>
      </c>
      <c r="O6" s="23" t="s">
        <v>17</v>
      </c>
      <c r="P6" s="9">
        <v>1.8808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0.63392266056997015</v>
      </c>
      <c r="C7" s="20">
        <f>B7/$B$6</f>
        <v>1.0551165840707963</v>
      </c>
      <c r="D7" s="25">
        <f t="shared" si="1"/>
        <v>0.68550075499787322</v>
      </c>
      <c r="E7" s="20">
        <f t="shared" si="2"/>
        <v>1.0813633864760859</v>
      </c>
      <c r="F7" s="25">
        <f t="shared" si="3"/>
        <v>0.77245166418545286</v>
      </c>
      <c r="G7" s="25">
        <f t="shared" si="4"/>
        <v>0.64977943960017004</v>
      </c>
      <c r="H7" s="26">
        <f t="shared" ref="H7:H14" si="9">G7/$G$6</f>
        <v>0.97768413599999993</v>
      </c>
      <c r="I7" s="26" t="e">
        <f t="shared" ref="I7:I14" si="10">G7/$G$5</f>
        <v>#DIV/0!</v>
      </c>
      <c r="J7" s="27">
        <f t="shared" si="5"/>
        <v>1.0250137438152831</v>
      </c>
      <c r="K7" s="20">
        <f t="shared" si="6"/>
        <v>0.94789018810371117</v>
      </c>
      <c r="L7" s="25">
        <f t="shared" si="7"/>
        <v>0.31452182581880045</v>
      </c>
      <c r="M7" s="28">
        <f t="shared" si="8"/>
        <v>0.49615173172072563</v>
      </c>
      <c r="N7" s="29">
        <f>P6/P7</f>
        <v>57.388704116193217</v>
      </c>
      <c r="O7" s="9"/>
      <c r="P7" s="9">
        <f>3.2773/100</f>
        <v>3.2772999999999997E-2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0.62486164398128441</v>
      </c>
      <c r="C8" s="20">
        <f>B8/$B$6</f>
        <v>1.0400352035398228</v>
      </c>
      <c r="D8" s="25">
        <f t="shared" si="1"/>
        <v>0.67643973840918747</v>
      </c>
      <c r="E8" s="20">
        <f t="shared" si="2"/>
        <v>1.0825432236475183</v>
      </c>
      <c r="F8" s="25">
        <f t="shared" si="3"/>
        <v>0.72836633347511681</v>
      </c>
      <c r="G8" s="25">
        <f t="shared" si="4"/>
        <v>0.63270290833687781</v>
      </c>
      <c r="H8" s="26">
        <f t="shared" si="9"/>
        <v>0.95199010399999995</v>
      </c>
      <c r="I8" s="26" t="e">
        <f t="shared" si="10"/>
        <v>#DIV/0!</v>
      </c>
      <c r="J8" s="27">
        <f t="shared" si="5"/>
        <v>1.0125488008923593</v>
      </c>
      <c r="K8" s="20">
        <f t="shared" si="6"/>
        <v>0.93534260690365789</v>
      </c>
      <c r="L8" s="25">
        <f t="shared" si="7"/>
        <v>0.33804561888558055</v>
      </c>
      <c r="M8" s="28">
        <f t="shared" si="8"/>
        <v>0.54099274958170662</v>
      </c>
      <c r="N8" s="29">
        <f>N7</f>
        <v>57.388704116193217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0.63078615482773281</v>
      </c>
      <c r="C9" s="20">
        <f>B9/$B$6</f>
        <v>1.0498961061946903</v>
      </c>
      <c r="D9" s="25">
        <f t="shared" si="1"/>
        <v>0.68480375372182034</v>
      </c>
      <c r="E9" s="20">
        <f t="shared" si="2"/>
        <v>1.0856353591160219</v>
      </c>
      <c r="F9" s="25">
        <f t="shared" si="3"/>
        <v>0.74579136537643542</v>
      </c>
      <c r="G9" s="25">
        <f t="shared" si="4"/>
        <v>0.6485596873670777</v>
      </c>
      <c r="H9" s="26">
        <f t="shared" si="9"/>
        <v>0.97584884799999982</v>
      </c>
      <c r="I9" s="26" t="e">
        <f t="shared" si="10"/>
        <v>#DIV/0!</v>
      </c>
      <c r="J9" s="27">
        <f t="shared" si="5"/>
        <v>1.0281767955801104</v>
      </c>
      <c r="K9" s="20">
        <f t="shared" si="6"/>
        <v>0.94707379134860048</v>
      </c>
      <c r="L9" s="25">
        <f t="shared" si="7"/>
        <v>0.33978812207571241</v>
      </c>
      <c r="M9" s="28">
        <f t="shared" si="8"/>
        <v>0.53867403314917128</v>
      </c>
      <c r="N9" s="29">
        <f>N7</f>
        <v>57.388704116193217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0.61248987133134825</v>
      </c>
      <c r="C10" s="20">
        <f>B10/$B$6</f>
        <v>1.0194433185840708</v>
      </c>
      <c r="D10" s="25">
        <f t="shared" si="1"/>
        <v>0.66633321990642269</v>
      </c>
      <c r="E10" s="20">
        <f t="shared" si="2"/>
        <v>1.0879089615931721</v>
      </c>
      <c r="F10" s="25">
        <f t="shared" si="3"/>
        <v>0.73167708953636745</v>
      </c>
      <c r="G10" s="25">
        <f t="shared" si="4"/>
        <v>0.6621512122501062</v>
      </c>
      <c r="H10" s="26">
        <f t="shared" si="9"/>
        <v>0.99629919999999994</v>
      </c>
      <c r="I10" s="26" t="e">
        <f t="shared" si="10"/>
        <v>#DIV/0!</v>
      </c>
      <c r="J10" s="27">
        <f t="shared" si="5"/>
        <v>1.0810810810810811</v>
      </c>
      <c r="K10" s="20">
        <f t="shared" si="6"/>
        <v>0.99372384937238489</v>
      </c>
      <c r="L10" s="25">
        <f t="shared" si="7"/>
        <v>0.31452182581880045</v>
      </c>
      <c r="M10" s="28">
        <f t="shared" si="8"/>
        <v>0.51351351351351349</v>
      </c>
      <c r="N10" s="29">
        <f>N7</f>
        <v>57.388704116193217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0.885526775840068</v>
      </c>
      <c r="C11" s="20">
        <f>B11/$B$6</f>
        <v>1.4738927079646018</v>
      </c>
      <c r="D11" s="25">
        <f t="shared" si="1"/>
        <v>0.9198123670778392</v>
      </c>
      <c r="E11" s="20">
        <f t="shared" si="2"/>
        <v>1.0387177352206496</v>
      </c>
      <c r="F11" s="25">
        <f t="shared" si="3"/>
        <v>1.0838670778392172</v>
      </c>
      <c r="G11" s="25">
        <f t="shared" si="4"/>
        <v>0.82727813696299457</v>
      </c>
      <c r="H11" s="26">
        <f t="shared" si="9"/>
        <v>1.2447557760000003</v>
      </c>
      <c r="I11" s="26" t="e">
        <f t="shared" si="10"/>
        <v>#DIV/0!</v>
      </c>
      <c r="J11" s="27">
        <f t="shared" si="5"/>
        <v>0.93422148209825162</v>
      </c>
      <c r="K11" s="20">
        <f t="shared" si="6"/>
        <v>0.89939879759519048</v>
      </c>
      <c r="L11" s="25">
        <f t="shared" si="7"/>
        <v>0.38783270948532539</v>
      </c>
      <c r="M11" s="28">
        <f t="shared" si="8"/>
        <v>0.43796835970024983</v>
      </c>
      <c r="N11" s="29">
        <f>P6/P11</f>
        <v>27.12509734921688</v>
      </c>
      <c r="O11" s="9"/>
      <c r="P11" s="9">
        <f>6.9338 /100</f>
        <v>6.9337999999999997E-2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1.2328047639302424</v>
      </c>
      <c r="E12" s="20" t="e">
        <f t="shared" si="2"/>
        <v>#DIV/0!</v>
      </c>
      <c r="F12" s="25">
        <f>F21*N12</f>
        <v>1.1950878349638452</v>
      </c>
      <c r="G12" s="25">
        <f>G21*N12</f>
        <v>1.1358183751595068</v>
      </c>
      <c r="H12" s="26">
        <f t="shared" si="9"/>
        <v>1.7089977600000004</v>
      </c>
      <c r="I12" s="26" t="e">
        <f t="shared" si="10"/>
        <v>#DIV/0!</v>
      </c>
      <c r="J12" s="27"/>
      <c r="K12" s="20">
        <f t="shared" si="6"/>
        <v>0.92132867132867147</v>
      </c>
      <c r="L12" s="25">
        <f>L21*$N$12</f>
        <v>0.57653019991492993</v>
      </c>
      <c r="M12" s="31">
        <f>L12/D12</f>
        <v>0.46765734265734277</v>
      </c>
      <c r="N12" s="29">
        <f>P13/P6</f>
        <v>1.0776265418970652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1.2414257762654191</v>
      </c>
      <c r="E13" s="20" t="e">
        <f t="shared" si="2"/>
        <v>#DIV/0!</v>
      </c>
      <c r="F13" s="25">
        <f>F22*N13</f>
        <v>1.1853891960867717</v>
      </c>
      <c r="G13" s="25">
        <f>G22*N13</f>
        <v>1.1476722671203743</v>
      </c>
      <c r="H13" s="26">
        <f t="shared" si="9"/>
        <v>1.7268336000000002</v>
      </c>
      <c r="I13" s="26" t="e">
        <f t="shared" si="10"/>
        <v>#DIV/0!</v>
      </c>
      <c r="J13" s="27"/>
      <c r="K13" s="20">
        <f t="shared" si="6"/>
        <v>0.92447916666666663</v>
      </c>
      <c r="L13" s="25">
        <f>L22*$N$12</f>
        <v>0.61424712888132715</v>
      </c>
      <c r="M13" s="31">
        <f>L13/D13</f>
        <v>0.49479166666666669</v>
      </c>
      <c r="N13" s="29">
        <f>P13/P6</f>
        <v>1.0776265418970652</v>
      </c>
      <c r="O13" s="9"/>
      <c r="P13" s="34">
        <v>2.0268000000000002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1.2097151212250108</v>
      </c>
      <c r="E14" s="20" t="e">
        <f t="shared" si="2"/>
        <v>#DIV/0!</v>
      </c>
      <c r="F14" s="25">
        <f>F23/N14</f>
        <v>1.2957618034878775</v>
      </c>
      <c r="G14" s="25">
        <f>G23/N14</f>
        <v>1.174284134410889</v>
      </c>
      <c r="H14" s="26">
        <f t="shared" si="9"/>
        <v>1.76687488</v>
      </c>
      <c r="I14" s="26" t="e">
        <f t="shared" si="10"/>
        <v>#DIV/0!</v>
      </c>
      <c r="J14" s="27"/>
      <c r="K14" s="20">
        <f t="shared" si="6"/>
        <v>0.97071129707112958</v>
      </c>
      <c r="L14" s="25">
        <f>L23/N14</f>
        <v>0.56689578902594651</v>
      </c>
      <c r="M14" s="35">
        <f>L14/D14</f>
        <v>0.46861924686192469</v>
      </c>
      <c r="N14" s="36">
        <f>P6/P14</f>
        <v>3.951343515620076</v>
      </c>
      <c r="O14" s="9"/>
      <c r="P14" s="37">
        <f>4.7599/10</f>
        <v>0.47599000000000002</v>
      </c>
      <c r="Q14" s="9" t="s">
        <v>30</v>
      </c>
    </row>
    <row r="15" spans="1:17" ht="15.75" x14ac:dyDescent="0.25">
      <c r="A15" s="38" t="s">
        <v>31</v>
      </c>
      <c r="B15" s="39">
        <v>1.1299999999999999</v>
      </c>
      <c r="C15" s="38"/>
      <c r="D15" s="39">
        <v>1.21</v>
      </c>
      <c r="E15" s="39"/>
      <c r="F15" s="39">
        <v>1.32</v>
      </c>
      <c r="G15" s="39">
        <v>1.25</v>
      </c>
      <c r="H15" s="38"/>
      <c r="I15" s="38"/>
      <c r="J15" s="38"/>
      <c r="K15" s="40">
        <f t="shared" si="6"/>
        <v>1.0330578512396695</v>
      </c>
      <c r="L15" s="41">
        <v>0.64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36.380000000000003</v>
      </c>
      <c r="C16" s="45"/>
      <c r="D16" s="45">
        <v>39.340000000000003</v>
      </c>
      <c r="E16" s="45"/>
      <c r="F16" s="45">
        <v>44.33</v>
      </c>
      <c r="G16" s="45">
        <v>37.29</v>
      </c>
      <c r="H16" s="46"/>
      <c r="I16" s="46"/>
      <c r="J16" s="46"/>
      <c r="K16" s="47">
        <f t="shared" si="6"/>
        <v>0.94789018810371117</v>
      </c>
      <c r="L16" s="48">
        <v>18.05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36.31</v>
      </c>
      <c r="H17" s="50"/>
      <c r="I17" s="50"/>
      <c r="J17" s="50"/>
      <c r="K17" s="52">
        <f t="shared" si="6"/>
        <v>0.935342606903658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36.200000000000003</v>
      </c>
      <c r="C18" s="50"/>
      <c r="D18" s="45">
        <v>39.299999999999997</v>
      </c>
      <c r="E18" s="56"/>
      <c r="F18" s="45">
        <v>42.8</v>
      </c>
      <c r="G18" s="56">
        <v>37.22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35.15</v>
      </c>
      <c r="C19" s="50"/>
      <c r="D19" s="56">
        <v>38.24</v>
      </c>
      <c r="E19" s="59"/>
      <c r="F19" s="56">
        <v>41.99</v>
      </c>
      <c r="G19" s="56">
        <v>38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24.02</v>
      </c>
      <c r="C20" s="46"/>
      <c r="D20" s="45">
        <v>24.95</v>
      </c>
      <c r="E20" s="51"/>
      <c r="F20" s="45">
        <v>29.4</v>
      </c>
      <c r="G20" s="62">
        <v>22.44</v>
      </c>
      <c r="H20" s="50"/>
      <c r="I20" s="50"/>
      <c r="J20" s="50"/>
      <c r="K20" s="52">
        <f>G20/D20</f>
        <v>0.89939879759519048</v>
      </c>
      <c r="L20" s="63">
        <v>10.52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1.1439999999999999</v>
      </c>
      <c r="E21" s="67"/>
      <c r="F21" s="316">
        <v>1.109</v>
      </c>
      <c r="G21" s="67">
        <v>1.054</v>
      </c>
      <c r="H21" s="50"/>
      <c r="I21" s="50"/>
      <c r="J21" s="50"/>
      <c r="K21" s="52">
        <f>G21/D21</f>
        <v>0.92132867132867147</v>
      </c>
      <c r="L21" s="68">
        <v>0.53500000000000003</v>
      </c>
      <c r="M21" s="69"/>
      <c r="N21" s="70" t="s">
        <v>43</v>
      </c>
      <c r="P21" s="71" t="s">
        <v>44</v>
      </c>
      <c r="Q21" s="43"/>
    </row>
    <row r="22" spans="1:18" ht="15.75" x14ac:dyDescent="0.25">
      <c r="A22" s="61" t="s">
        <v>46</v>
      </c>
      <c r="B22" s="66"/>
      <c r="C22" s="50"/>
      <c r="D22" s="67">
        <v>1.1519999999999999</v>
      </c>
      <c r="E22" s="67"/>
      <c r="F22" s="67">
        <v>1.1000000000000001</v>
      </c>
      <c r="G22" s="67">
        <v>1.0649999999999999</v>
      </c>
      <c r="H22" s="50"/>
      <c r="I22" s="50"/>
      <c r="J22" s="50"/>
      <c r="K22" s="52">
        <f>G22/D22</f>
        <v>0.92447916666666674</v>
      </c>
      <c r="L22" s="68">
        <v>0.56999999999999995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4.78</v>
      </c>
      <c r="E23" s="76">
        <f t="shared" ref="E23:K23" si="11">ROUND((34.45+33.3)/2,2)</f>
        <v>33.880000000000003</v>
      </c>
      <c r="F23" s="76">
        <v>5.12</v>
      </c>
      <c r="G23" s="76">
        <v>4.6399999999999997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2.2400000000000002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</hyperlinks>
  <pageMargins left="0.70866141732283472" right="0.70866141732283472" top="0.74803149606299213" bottom="0.74803149606299213" header="0.31496062992125984" footer="0.31496062992125984"/>
  <pageSetup paperSize="9" scale="83" orientation="landscape" r:id="rId36"/>
  <drawing r:id="rId37"/>
  <legacyDrawing r:id="rId3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10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234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0.608941830030447</v>
      </c>
      <c r="C6" s="20"/>
      <c r="D6" s="19">
        <f t="shared" ref="D6:D11" si="1">D15/N6</f>
        <v>0.65167459003258366</v>
      </c>
      <c r="E6" s="20">
        <f t="shared" ref="E6:E14" si="2">D6/B6</f>
        <v>1.0701754385964912</v>
      </c>
      <c r="F6" s="19">
        <f t="shared" ref="F6:F11" si="3">F15/N6</f>
        <v>0.71043213503552161</v>
      </c>
      <c r="G6" s="19">
        <f t="shared" ref="G6:G11" si="4">G15/N6</f>
        <v>0.67304097003365204</v>
      </c>
      <c r="H6" s="19"/>
      <c r="I6" s="19"/>
      <c r="J6" s="20">
        <f t="shared" ref="J6:J11" si="5">G6/B6</f>
        <v>1.1052631578947369</v>
      </c>
      <c r="K6" s="20">
        <f t="shared" ref="K6:K17" si="6">G6/D6</f>
        <v>1.0327868852459017</v>
      </c>
      <c r="L6" s="19">
        <f t="shared" ref="L6:L11" si="7">L15/N6</f>
        <v>0.34186208001709312</v>
      </c>
      <c r="M6" s="21">
        <f t="shared" ref="M6:M11" si="8">L6/B6</f>
        <v>0.5614035087719299</v>
      </c>
      <c r="N6" s="22">
        <f>P6</f>
        <v>1.8721000000000001</v>
      </c>
      <c r="O6" s="23" t="s">
        <v>17</v>
      </c>
      <c r="P6" s="9">
        <v>1.8721000000000001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0.65000131403237005</v>
      </c>
      <c r="C7" s="20">
        <f>B7/$B$6</f>
        <v>1.0674275964912283</v>
      </c>
      <c r="D7" s="25">
        <f t="shared" si="1"/>
        <v>0.70433191603012657</v>
      </c>
      <c r="E7" s="20">
        <f t="shared" si="2"/>
        <v>1.0835853725598019</v>
      </c>
      <c r="F7" s="25">
        <f t="shared" si="3"/>
        <v>0.79226170610544311</v>
      </c>
      <c r="G7" s="25">
        <f t="shared" si="4"/>
        <v>0.66948169435393412</v>
      </c>
      <c r="H7" s="26">
        <f t="shared" ref="H7:H14" si="9">G7/$G$6</f>
        <v>0.99471165079365087</v>
      </c>
      <c r="I7" s="26" t="e">
        <f t="shared" ref="I7:I14" si="10">G7/$G$5</f>
        <v>#DIV/0!</v>
      </c>
      <c r="J7" s="27">
        <f t="shared" si="5"/>
        <v>1.0299697552928238</v>
      </c>
      <c r="K7" s="20">
        <f t="shared" si="6"/>
        <v>0.9505201725450394</v>
      </c>
      <c r="L7" s="25">
        <f t="shared" si="7"/>
        <v>0.32258794936167939</v>
      </c>
      <c r="M7" s="28">
        <f t="shared" si="8"/>
        <v>0.49628814957382461</v>
      </c>
      <c r="N7" s="29">
        <f>P6/P7</f>
        <v>55.953733038436248</v>
      </c>
      <c r="O7" s="9"/>
      <c r="P7" s="9">
        <f>3.3458/100</f>
        <v>3.3458000000000002E-2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0.64088664067090428</v>
      </c>
      <c r="C8" s="20">
        <f>B8/$B$6</f>
        <v>1.0524595438596491</v>
      </c>
      <c r="D8" s="25">
        <f t="shared" si="1"/>
        <v>0.69378748998450934</v>
      </c>
      <c r="E8" s="20">
        <f t="shared" si="2"/>
        <v>1.0825432236475181</v>
      </c>
      <c r="F8" s="25">
        <f t="shared" si="3"/>
        <v>0.74704577746915224</v>
      </c>
      <c r="G8" s="25">
        <f t="shared" si="4"/>
        <v>0.64928643769029426</v>
      </c>
      <c r="H8" s="26">
        <f t="shared" si="9"/>
        <v>0.96470566666666657</v>
      </c>
      <c r="I8" s="26" t="e">
        <f t="shared" si="10"/>
        <v>#DIV/0!</v>
      </c>
      <c r="J8" s="27">
        <f t="shared" si="5"/>
        <v>1.013106525376464</v>
      </c>
      <c r="K8" s="20">
        <f t="shared" si="6"/>
        <v>0.93585780525502316</v>
      </c>
      <c r="L8" s="25">
        <f t="shared" si="7"/>
        <v>0.34671502590673575</v>
      </c>
      <c r="M8" s="28">
        <f t="shared" si="8"/>
        <v>0.54099274958170673</v>
      </c>
      <c r="N8" s="29">
        <f>N7</f>
        <v>55.953733038436248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0.6469630895785482</v>
      </c>
      <c r="C9" s="20">
        <f>B9/$B$6</f>
        <v>1.0624382456140353</v>
      </c>
      <c r="D9" s="25">
        <f t="shared" si="1"/>
        <v>0.70236600608941824</v>
      </c>
      <c r="E9" s="20">
        <f t="shared" si="2"/>
        <v>1.0856353591160219</v>
      </c>
      <c r="F9" s="25">
        <f t="shared" si="3"/>
        <v>0.76491768602104582</v>
      </c>
      <c r="G9" s="25">
        <f t="shared" si="4"/>
        <v>0.6650137172159607</v>
      </c>
      <c r="H9" s="26">
        <f t="shared" si="9"/>
        <v>0.98807315873015877</v>
      </c>
      <c r="I9" s="26" t="e">
        <f t="shared" si="10"/>
        <v>#DIV/0!</v>
      </c>
      <c r="J9" s="27">
        <f t="shared" si="5"/>
        <v>1.0279005524861877</v>
      </c>
      <c r="K9" s="20">
        <f t="shared" si="6"/>
        <v>0.94681933842239197</v>
      </c>
      <c r="L9" s="25">
        <f t="shared" si="7"/>
        <v>0.34850221676192511</v>
      </c>
      <c r="M9" s="28">
        <f t="shared" si="8"/>
        <v>0.53867403314917128</v>
      </c>
      <c r="N9" s="29">
        <f>N7</f>
        <v>55.953733038436248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0.63481019176326059</v>
      </c>
      <c r="C10" s="20">
        <f>B10/$B$6</f>
        <v>1.0424808421052634</v>
      </c>
      <c r="D10" s="25">
        <f t="shared" si="1"/>
        <v>0.68342178302441114</v>
      </c>
      <c r="E10" s="20">
        <f t="shared" si="2"/>
        <v>1.0765765765765765</v>
      </c>
      <c r="F10" s="25">
        <f t="shared" si="3"/>
        <v>0.75044144009401215</v>
      </c>
      <c r="G10" s="25">
        <f t="shared" si="4"/>
        <v>0.67913252497195664</v>
      </c>
      <c r="H10" s="26">
        <f t="shared" si="9"/>
        <v>1.0090507936507938</v>
      </c>
      <c r="I10" s="26" t="e">
        <f t="shared" si="10"/>
        <v>#DIV/0!</v>
      </c>
      <c r="J10" s="27">
        <f t="shared" si="5"/>
        <v>1.0698198198198197</v>
      </c>
      <c r="K10" s="20">
        <f t="shared" si="6"/>
        <v>0.99372384937238489</v>
      </c>
      <c r="L10" s="25">
        <f t="shared" si="7"/>
        <v>0.32258794936167939</v>
      </c>
      <c r="M10" s="28">
        <f t="shared" si="8"/>
        <v>0.50816441441441429</v>
      </c>
      <c r="N10" s="29">
        <f>N7</f>
        <v>55.953733038436248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0.88880800170931029</v>
      </c>
      <c r="C11" s="20">
        <f>B11/$B$6</f>
        <v>1.4595942631578949</v>
      </c>
      <c r="D11" s="25">
        <f t="shared" si="1"/>
        <v>0.92322063458148595</v>
      </c>
      <c r="E11" s="20">
        <f t="shared" si="2"/>
        <v>1.0387177352206496</v>
      </c>
      <c r="F11" s="25">
        <f t="shared" si="3"/>
        <v>1.0878832327332941</v>
      </c>
      <c r="G11" s="25">
        <f t="shared" si="4"/>
        <v>0.82331299075904063</v>
      </c>
      <c r="H11" s="26">
        <f t="shared" si="9"/>
        <v>1.2232732142857143</v>
      </c>
      <c r="I11" s="26" t="e">
        <f t="shared" si="10"/>
        <v>#DIV/0!</v>
      </c>
      <c r="J11" s="27">
        <f t="shared" si="5"/>
        <v>0.92631140716069948</v>
      </c>
      <c r="K11" s="20">
        <f t="shared" si="6"/>
        <v>0.89178356713426854</v>
      </c>
      <c r="L11" s="25">
        <f t="shared" si="7"/>
        <v>0.39778043373751398</v>
      </c>
      <c r="M11" s="28">
        <f t="shared" si="8"/>
        <v>0.44754371357202333</v>
      </c>
      <c r="N11" s="29">
        <f>P6/P11</f>
        <v>27.02495921932066</v>
      </c>
      <c r="O11" s="9"/>
      <c r="P11" s="9">
        <f>6.9273/100</f>
        <v>6.9273000000000001E-2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1.2329634100742479</v>
      </c>
      <c r="E12" s="20" t="e">
        <f t="shared" si="2"/>
        <v>#DIV/0!</v>
      </c>
      <c r="F12" s="25">
        <f>F21*N12</f>
        <v>1.2821109983441055</v>
      </c>
      <c r="G12" s="25">
        <f>G21*N12</f>
        <v>1.1239839752149992</v>
      </c>
      <c r="H12" s="26">
        <f t="shared" si="9"/>
        <v>1.6700082539682539</v>
      </c>
      <c r="I12" s="26" t="e">
        <f t="shared" si="10"/>
        <v>#DIV/0!</v>
      </c>
      <c r="J12" s="27"/>
      <c r="K12" s="20">
        <f t="shared" si="6"/>
        <v>0.91161178509532081</v>
      </c>
      <c r="L12" s="25">
        <f>L21*$N$12</f>
        <v>0.57160782009508038</v>
      </c>
      <c r="M12" s="31">
        <f>L12/D12</f>
        <v>0.46360485268630858</v>
      </c>
      <c r="N12" s="29">
        <f>P13/P6</f>
        <v>1.0684258319534212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1.1763368409807167</v>
      </c>
      <c r="E13" s="20" t="e">
        <f t="shared" si="2"/>
        <v>#DIV/0!</v>
      </c>
      <c r="F13" s="25">
        <f>F22*N13</f>
        <v>1.3248480316222424</v>
      </c>
      <c r="G13" s="25">
        <f>G22*N13</f>
        <v>1.0556047219699802</v>
      </c>
      <c r="H13" s="26">
        <f t="shared" si="9"/>
        <v>1.5684107936507936</v>
      </c>
      <c r="I13" s="26" t="e">
        <f t="shared" si="10"/>
        <v>#DIV/0!</v>
      </c>
      <c r="J13" s="27"/>
      <c r="K13" s="20">
        <f t="shared" si="6"/>
        <v>0.89736603088101741</v>
      </c>
      <c r="L13" s="25">
        <f>L22*$N$12</f>
        <v>0.55130772928796534</v>
      </c>
      <c r="M13" s="31">
        <f>L13/D13</f>
        <v>0.46866485013623982</v>
      </c>
      <c r="N13" s="29">
        <f>P13/P6</f>
        <v>1.0684258319534212</v>
      </c>
      <c r="O13" s="9"/>
      <c r="P13" s="34">
        <v>2.0002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1.206704770044335</v>
      </c>
      <c r="E14" s="20" t="e">
        <f t="shared" si="2"/>
        <v>#DIV/0!</v>
      </c>
      <c r="F14" s="25">
        <f>F23/N14</f>
        <v>1.2876577105923828</v>
      </c>
      <c r="G14" s="25">
        <f>G23/N14</f>
        <v>1.1712878585545643</v>
      </c>
      <c r="H14" s="26">
        <f t="shared" si="9"/>
        <v>1.7402920634920633</v>
      </c>
      <c r="I14" s="26" t="e">
        <f t="shared" si="10"/>
        <v>#DIV/0!</v>
      </c>
      <c r="J14" s="27"/>
      <c r="K14" s="20">
        <f t="shared" si="6"/>
        <v>0.97064989517819722</v>
      </c>
      <c r="L14" s="25">
        <f>L23/N14</f>
        <v>0.56667058383633351</v>
      </c>
      <c r="M14" s="35">
        <f>L14/D14</f>
        <v>0.46960167714884704</v>
      </c>
      <c r="N14" s="36">
        <f>P6/P14</f>
        <v>3.9529138513513518</v>
      </c>
      <c r="O14" s="9"/>
      <c r="P14" s="37">
        <f>4.736/10</f>
        <v>0.47359999999999997</v>
      </c>
      <c r="Q14" s="9" t="s">
        <v>30</v>
      </c>
    </row>
    <row r="15" spans="1:17" ht="15.75" x14ac:dyDescent="0.25">
      <c r="A15" s="38" t="s">
        <v>31</v>
      </c>
      <c r="B15" s="39">
        <v>1.1399999999999999</v>
      </c>
      <c r="C15" s="38"/>
      <c r="D15" s="39">
        <v>1.22</v>
      </c>
      <c r="E15" s="39"/>
      <c r="F15" s="39">
        <v>1.33</v>
      </c>
      <c r="G15" s="39">
        <v>1.26</v>
      </c>
      <c r="H15" s="38"/>
      <c r="I15" s="38"/>
      <c r="J15" s="38"/>
      <c r="K15" s="40">
        <f t="shared" si="6"/>
        <v>1.0327868852459017</v>
      </c>
      <c r="L15" s="41">
        <v>0.64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36.369999999999997</v>
      </c>
      <c r="C16" s="45"/>
      <c r="D16" s="45">
        <v>39.409999999999997</v>
      </c>
      <c r="E16" s="45"/>
      <c r="F16" s="45">
        <v>44.33</v>
      </c>
      <c r="G16" s="45">
        <v>37.46</v>
      </c>
      <c r="H16" s="46"/>
      <c r="I16" s="46"/>
      <c r="J16" s="46"/>
      <c r="K16" s="47">
        <f t="shared" si="6"/>
        <v>0.9505201725450394</v>
      </c>
      <c r="L16" s="48">
        <v>18.05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36.33</v>
      </c>
      <c r="H17" s="50"/>
      <c r="I17" s="50"/>
      <c r="J17" s="50"/>
      <c r="K17" s="52">
        <f t="shared" si="6"/>
        <v>0.93585780525502316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36.200000000000003</v>
      </c>
      <c r="C18" s="50"/>
      <c r="D18" s="45">
        <v>39.299999999999997</v>
      </c>
      <c r="E18" s="56"/>
      <c r="F18" s="45">
        <v>42.8</v>
      </c>
      <c r="G18" s="56">
        <v>37.21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35.520000000000003</v>
      </c>
      <c r="C19" s="50"/>
      <c r="D19" s="56">
        <v>38.24</v>
      </c>
      <c r="E19" s="59"/>
      <c r="F19" s="56">
        <v>41.99</v>
      </c>
      <c r="G19" s="56">
        <v>38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24.02</v>
      </c>
      <c r="C20" s="46"/>
      <c r="D20" s="45">
        <v>24.95</v>
      </c>
      <c r="E20" s="51"/>
      <c r="F20" s="45">
        <v>29.4</v>
      </c>
      <c r="G20" s="62">
        <v>22.25</v>
      </c>
      <c r="H20" s="50"/>
      <c r="I20" s="50"/>
      <c r="J20" s="50"/>
      <c r="K20" s="52">
        <f>G20/D20</f>
        <v>0.89178356713426854</v>
      </c>
      <c r="L20" s="63">
        <v>10.75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1.1539999999999999</v>
      </c>
      <c r="E21" s="67"/>
      <c r="F21" s="316">
        <v>1.2</v>
      </c>
      <c r="G21" s="67">
        <v>1.052</v>
      </c>
      <c r="H21" s="50"/>
      <c r="I21" s="50"/>
      <c r="J21" s="50"/>
      <c r="K21" s="52">
        <f>G21/D21</f>
        <v>0.9116117850953207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1.101</v>
      </c>
      <c r="E22" s="67"/>
      <c r="F22" s="67">
        <v>1.24</v>
      </c>
      <c r="G22" s="67">
        <v>0.98799999999999999</v>
      </c>
      <c r="H22" s="50"/>
      <c r="I22" s="50"/>
      <c r="J22" s="50"/>
      <c r="K22" s="52">
        <f>G22/D22</f>
        <v>0.8973660308810173</v>
      </c>
      <c r="L22" s="68">
        <v>0.51600000000000001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4.7699999999999996</v>
      </c>
      <c r="E23" s="76">
        <f t="shared" ref="E23:K23" si="11">ROUND((34.45+33.3)/2,2)</f>
        <v>33.880000000000003</v>
      </c>
      <c r="F23" s="76">
        <v>5.09</v>
      </c>
      <c r="G23" s="76">
        <v>4.63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2.2400000000000002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drawing r:id="rId38"/>
  <legacyDrawing r:id="rId39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235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0.60440426761969823</v>
      </c>
      <c r="C6" s="20"/>
      <c r="D6" s="19">
        <f t="shared" ref="D6:D11" si="1">D15/N6</f>
        <v>0.64644978188889468</v>
      </c>
      <c r="E6" s="20">
        <f t="shared" ref="E6:E14" si="2">D6/B6</f>
        <v>1.0695652173913044</v>
      </c>
      <c r="F6" s="19">
        <f t="shared" ref="F6:F11" si="3">F15/N6</f>
        <v>0.70426236400903985</v>
      </c>
      <c r="G6" s="19">
        <f t="shared" ref="G6:G11" si="4">G15/N6</f>
        <v>0.66747253902349291</v>
      </c>
      <c r="H6" s="19"/>
      <c r="I6" s="19"/>
      <c r="J6" s="20">
        <f t="shared" ref="J6:J11" si="5">G6/B6</f>
        <v>1.1043478260869566</v>
      </c>
      <c r="K6" s="20">
        <f t="shared" ref="K6:K17" si="6">G6/D6</f>
        <v>1.032520325203252</v>
      </c>
      <c r="L6" s="19">
        <f t="shared" ref="L6:L11" si="7">L15/N6</f>
        <v>0.33636411415357126</v>
      </c>
      <c r="M6" s="21">
        <f t="shared" ref="M6:M11" si="8">L6/B6</f>
        <v>0.5565217391304349</v>
      </c>
      <c r="N6" s="22">
        <f>P6</f>
        <v>1.9027000000000001</v>
      </c>
      <c r="O6" s="23" t="s">
        <v>17</v>
      </c>
      <c r="P6" s="9">
        <v>1.9027000000000001</v>
      </c>
      <c r="Q6" s="9" t="s">
        <v>18</v>
      </c>
    </row>
    <row r="7" spans="1:17" s="5" customFormat="1" ht="15.75" x14ac:dyDescent="0.25">
      <c r="A7" s="24" t="s">
        <v>19</v>
      </c>
      <c r="B7" s="25">
        <f>B16/N7</f>
        <v>0.63534148841120519</v>
      </c>
      <c r="C7" s="20">
        <f>B7/$B$6</f>
        <v>1.0511863043478265</v>
      </c>
      <c r="D7" s="25">
        <f t="shared" si="1"/>
        <v>0.68745866400378408</v>
      </c>
      <c r="E7" s="20">
        <f t="shared" si="2"/>
        <v>1.0820301783264745</v>
      </c>
      <c r="F7" s="25">
        <f t="shared" si="3"/>
        <v>0.77931736479739322</v>
      </c>
      <c r="G7" s="25">
        <f t="shared" si="4"/>
        <v>0.65312059179061333</v>
      </c>
      <c r="H7" s="26">
        <f t="shared" ref="H7:H14" si="9">G7/$G$6</f>
        <v>0.97849807086614171</v>
      </c>
      <c r="I7" s="26" t="e">
        <f t="shared" ref="I7:I14" si="10">G7/$G$5</f>
        <v>#DIV/0!</v>
      </c>
      <c r="J7" s="27">
        <f t="shared" si="5"/>
        <v>1.0279835390946501</v>
      </c>
      <c r="K7" s="20">
        <f t="shared" si="6"/>
        <v>0.95005070993914809</v>
      </c>
      <c r="L7" s="25">
        <f t="shared" si="7"/>
        <v>0.31462040784148843</v>
      </c>
      <c r="M7" s="28">
        <f t="shared" si="8"/>
        <v>0.49519890260631</v>
      </c>
      <c r="N7" s="29">
        <f>P6/P7</f>
        <v>57.370722146841551</v>
      </c>
      <c r="O7" s="9"/>
      <c r="P7" s="9">
        <f>3.3165/100</f>
        <v>3.3165E-2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0.62505749724076309</v>
      </c>
      <c r="C8" s="20">
        <f>B8/$B$6</f>
        <v>1.0341712173913045</v>
      </c>
      <c r="D8" s="25">
        <f t="shared" si="1"/>
        <v>0.67665175802806532</v>
      </c>
      <c r="E8" s="20">
        <f t="shared" si="2"/>
        <v>1.0825432236475181</v>
      </c>
      <c r="F8" s="25">
        <f t="shared" si="3"/>
        <v>0.72859462868555203</v>
      </c>
      <c r="G8" s="25">
        <f t="shared" si="4"/>
        <v>0.6332498291900982</v>
      </c>
      <c r="H8" s="26">
        <f t="shared" si="9"/>
        <v>0.94872791338582674</v>
      </c>
      <c r="I8" s="26" t="e">
        <f t="shared" si="10"/>
        <v>#DIV/0!</v>
      </c>
      <c r="J8" s="27">
        <f t="shared" si="5"/>
        <v>1.013106525376464</v>
      </c>
      <c r="K8" s="20">
        <f t="shared" si="6"/>
        <v>0.93585780525502316</v>
      </c>
      <c r="L8" s="25">
        <f t="shared" si="7"/>
        <v>0.33815157407894042</v>
      </c>
      <c r="M8" s="28">
        <f t="shared" si="8"/>
        <v>0.54099274958170662</v>
      </c>
      <c r="N8" s="29">
        <f>N7</f>
        <v>57.370722146841551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0.63098386503389925</v>
      </c>
      <c r="C9" s="20">
        <f>B9/$B$6</f>
        <v>1.0439765217391306</v>
      </c>
      <c r="D9" s="25">
        <f t="shared" si="1"/>
        <v>0.68501839491249272</v>
      </c>
      <c r="E9" s="20">
        <f t="shared" si="2"/>
        <v>1.0856353591160219</v>
      </c>
      <c r="F9" s="25">
        <f t="shared" si="3"/>
        <v>0.74602512219477579</v>
      </c>
      <c r="G9" s="25">
        <f t="shared" si="4"/>
        <v>0.6485886634782152</v>
      </c>
      <c r="H9" s="26">
        <f t="shared" si="9"/>
        <v>0.97170838582677177</v>
      </c>
      <c r="I9" s="26" t="e">
        <f t="shared" si="10"/>
        <v>#DIV/0!</v>
      </c>
      <c r="J9" s="27">
        <f t="shared" si="5"/>
        <v>1.0279005524861877</v>
      </c>
      <c r="K9" s="20">
        <f t="shared" si="6"/>
        <v>0.94681933842239197</v>
      </c>
      <c r="L9" s="25">
        <f t="shared" si="7"/>
        <v>0.33989462342986282</v>
      </c>
      <c r="M9" s="28">
        <f t="shared" si="8"/>
        <v>0.53867403314917117</v>
      </c>
      <c r="N9" s="29">
        <f>N7</f>
        <v>57.370722146841551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0.61913112944762705</v>
      </c>
      <c r="C10" s="20">
        <f>B10/$B$6</f>
        <v>1.0243659130434783</v>
      </c>
      <c r="D10" s="25">
        <f t="shared" si="1"/>
        <v>0.66654207179271563</v>
      </c>
      <c r="E10" s="20">
        <f t="shared" si="2"/>
        <v>1.0765765765765767</v>
      </c>
      <c r="F10" s="25">
        <f t="shared" si="3"/>
        <v>0.73190642245230464</v>
      </c>
      <c r="G10" s="25">
        <f t="shared" si="4"/>
        <v>0.66235875335050187</v>
      </c>
      <c r="H10" s="26">
        <f t="shared" si="9"/>
        <v>0.99233858267716535</v>
      </c>
      <c r="I10" s="26" t="e">
        <f t="shared" si="10"/>
        <v>#DIV/0!</v>
      </c>
      <c r="J10" s="27">
        <f t="shared" si="5"/>
        <v>1.0698198198198197</v>
      </c>
      <c r="K10" s="20">
        <f t="shared" si="6"/>
        <v>0.99372384937238489</v>
      </c>
      <c r="L10" s="25">
        <f t="shared" si="7"/>
        <v>0.31462040784148843</v>
      </c>
      <c r="M10" s="28">
        <f t="shared" si="8"/>
        <v>0.5081644144144144</v>
      </c>
      <c r="N10" s="29">
        <f>N7</f>
        <v>57.370722146841551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0.89144283386766165</v>
      </c>
      <c r="C11" s="20">
        <f>B11/$B$6</f>
        <v>1.474911547826087</v>
      </c>
      <c r="D11" s="25">
        <f t="shared" si="1"/>
        <v>0.92595748147369517</v>
      </c>
      <c r="E11" s="20">
        <f t="shared" si="2"/>
        <v>1.0387177352206494</v>
      </c>
      <c r="F11" s="25">
        <f t="shared" si="3"/>
        <v>1.0911082146423501</v>
      </c>
      <c r="G11" s="25">
        <f t="shared" si="4"/>
        <v>0.8328050454617123</v>
      </c>
      <c r="H11" s="26">
        <f t="shared" si="9"/>
        <v>1.2476993385826771</v>
      </c>
      <c r="I11" s="26" t="e">
        <f t="shared" si="10"/>
        <v>#DIV/0!</v>
      </c>
      <c r="J11" s="27">
        <f t="shared" si="5"/>
        <v>0.93422148209825151</v>
      </c>
      <c r="K11" s="20">
        <f t="shared" si="6"/>
        <v>0.89939879759519048</v>
      </c>
      <c r="L11" s="25">
        <f t="shared" si="7"/>
        <v>0.41194901981394855</v>
      </c>
      <c r="M11" s="28">
        <f t="shared" si="8"/>
        <v>0.46211490424646129</v>
      </c>
      <c r="N11" s="29">
        <f>P6/P11</f>
        <v>26.945081711841848</v>
      </c>
      <c r="O11" s="9"/>
      <c r="P11" s="9">
        <f>7.0614/100</f>
        <v>7.0613999999999996E-2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1.1999766647395802</v>
      </c>
      <c r="E12" s="20" t="e">
        <f t="shared" si="2"/>
        <v>#DIV/0!</v>
      </c>
      <c r="F12" s="25">
        <f>F21*N12</f>
        <v>1.2486529668366004</v>
      </c>
      <c r="G12" s="25">
        <f>G21*N12</f>
        <v>1.0835768118988804</v>
      </c>
      <c r="H12" s="26">
        <f t="shared" si="9"/>
        <v>1.6234028346456693</v>
      </c>
      <c r="I12" s="26" t="e">
        <f t="shared" si="10"/>
        <v>#DIV/0!</v>
      </c>
      <c r="J12" s="27"/>
      <c r="K12" s="20">
        <f t="shared" si="6"/>
        <v>0.90299823633156984</v>
      </c>
      <c r="L12" s="25">
        <f>L21*$N$12</f>
        <v>0.56612655699795023</v>
      </c>
      <c r="M12" s="31">
        <f>L12/D12</f>
        <v>0.47178130511463856</v>
      </c>
      <c r="N12" s="29">
        <f>P13/P6</f>
        <v>1.0581804803700003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1.2486529668366004</v>
      </c>
      <c r="E13" s="20" t="e">
        <f t="shared" si="2"/>
        <v>#DIV/0!</v>
      </c>
      <c r="F13" s="25">
        <f>F22*N13</f>
        <v>1.3227256004625003</v>
      </c>
      <c r="G13" s="25">
        <f>G22*N13</f>
        <v>1.0655877437325902</v>
      </c>
      <c r="H13" s="26">
        <f t="shared" si="9"/>
        <v>1.5964518110236217</v>
      </c>
      <c r="I13" s="26" t="e">
        <f t="shared" si="10"/>
        <v>#DIV/0!</v>
      </c>
      <c r="J13" s="27"/>
      <c r="K13" s="20">
        <f t="shared" si="6"/>
        <v>0.8533898305084745</v>
      </c>
      <c r="L13" s="25">
        <f>L22*$N$12</f>
        <v>0.55448657171388016</v>
      </c>
      <c r="M13" s="31">
        <f>L13/D13</f>
        <v>0.44406779661016949</v>
      </c>
      <c r="N13" s="29">
        <f>P13/P6</f>
        <v>1.0581804803700003</v>
      </c>
      <c r="O13" s="9"/>
      <c r="P13" s="34">
        <v>2.0133999999999999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1.182338413832974</v>
      </c>
      <c r="E14" s="20" t="e">
        <f t="shared" si="2"/>
        <v>#DIV/0!</v>
      </c>
      <c r="F14" s="25">
        <f>F23/N14</f>
        <v>1.2648271403794604</v>
      </c>
      <c r="G14" s="25">
        <f>G23/N14</f>
        <v>1.1473431965102221</v>
      </c>
      <c r="H14" s="26">
        <f t="shared" si="9"/>
        <v>1.7189369291338581</v>
      </c>
      <c r="I14" s="26" t="e">
        <f t="shared" si="10"/>
        <v>#DIV/0!</v>
      </c>
      <c r="J14" s="27"/>
      <c r="K14" s="20">
        <f t="shared" si="6"/>
        <v>0.97040169133192389</v>
      </c>
      <c r="L14" s="25">
        <f>L23/N14</f>
        <v>0.5549241604036369</v>
      </c>
      <c r="M14" s="35">
        <f>L14/D14</f>
        <v>0.46934460887949264</v>
      </c>
      <c r="N14" s="36">
        <f>P6/P14</f>
        <v>4.0005466663863256</v>
      </c>
      <c r="O14" s="9"/>
      <c r="P14" s="37">
        <f>4.7561/10</f>
        <v>0.47560999999999998</v>
      </c>
      <c r="Q14" s="9" t="s">
        <v>30</v>
      </c>
    </row>
    <row r="15" spans="1:17" ht="15.75" x14ac:dyDescent="0.25">
      <c r="A15" s="38" t="s">
        <v>31</v>
      </c>
      <c r="B15" s="39">
        <v>1.1499999999999999</v>
      </c>
      <c r="C15" s="38"/>
      <c r="D15" s="39">
        <v>1.23</v>
      </c>
      <c r="E15" s="39"/>
      <c r="F15" s="39">
        <v>1.34</v>
      </c>
      <c r="G15" s="39">
        <v>1.27</v>
      </c>
      <c r="H15" s="38"/>
      <c r="I15" s="38"/>
      <c r="J15" s="38"/>
      <c r="K15" s="40">
        <f t="shared" si="6"/>
        <v>1.032520325203252</v>
      </c>
      <c r="L15" s="41">
        <v>0.64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36.450000000000003</v>
      </c>
      <c r="C16" s="45"/>
      <c r="D16" s="45">
        <v>39.44</v>
      </c>
      <c r="E16" s="45"/>
      <c r="F16" s="45">
        <v>44.71</v>
      </c>
      <c r="G16" s="45">
        <v>37.47</v>
      </c>
      <c r="H16" s="46"/>
      <c r="I16" s="46"/>
      <c r="J16" s="46"/>
      <c r="K16" s="47">
        <f t="shared" si="6"/>
        <v>0.95005070993914809</v>
      </c>
      <c r="L16" s="48">
        <v>18.05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36.33</v>
      </c>
      <c r="H17" s="50"/>
      <c r="I17" s="50"/>
      <c r="J17" s="50"/>
      <c r="K17" s="52">
        <f t="shared" si="6"/>
        <v>0.93585780525502316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36.200000000000003</v>
      </c>
      <c r="C18" s="50"/>
      <c r="D18" s="45">
        <v>39.299999999999997</v>
      </c>
      <c r="E18" s="56"/>
      <c r="F18" s="45">
        <v>42.8</v>
      </c>
      <c r="G18" s="56">
        <v>37.21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35.520000000000003</v>
      </c>
      <c r="C19" s="50"/>
      <c r="D19" s="56">
        <v>38.24</v>
      </c>
      <c r="E19" s="59"/>
      <c r="F19" s="56">
        <v>41.99</v>
      </c>
      <c r="G19" s="56">
        <v>38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24.02</v>
      </c>
      <c r="C20" s="46"/>
      <c r="D20" s="45">
        <v>24.95</v>
      </c>
      <c r="E20" s="51"/>
      <c r="F20" s="45">
        <v>29.4</v>
      </c>
      <c r="G20" s="62">
        <v>22.44</v>
      </c>
      <c r="H20" s="50"/>
      <c r="I20" s="50"/>
      <c r="J20" s="50"/>
      <c r="K20" s="52">
        <f>G20/D20</f>
        <v>0.89939879759519048</v>
      </c>
      <c r="L20" s="63">
        <v>11.1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1.1339999999999999</v>
      </c>
      <c r="E21" s="67"/>
      <c r="F21" s="67">
        <v>1.18</v>
      </c>
      <c r="G21" s="67">
        <v>1.024</v>
      </c>
      <c r="H21" s="50"/>
      <c r="I21" s="50"/>
      <c r="J21" s="50"/>
      <c r="K21" s="52">
        <f>G21/D21</f>
        <v>0.90299823633156973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1.18</v>
      </c>
      <c r="E22" s="67"/>
      <c r="F22" s="67">
        <v>1.25</v>
      </c>
      <c r="G22" s="67">
        <v>1.0069999999999999</v>
      </c>
      <c r="H22" s="50"/>
      <c r="I22" s="50"/>
      <c r="J22" s="50"/>
      <c r="K22" s="52">
        <f>G22/D22</f>
        <v>0.8533898305084745</v>
      </c>
      <c r="L22" s="68">
        <v>0.52400000000000002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4.7300000000000004</v>
      </c>
      <c r="E23" s="76">
        <f t="shared" ref="E23:K23" si="11">ROUND((34.45+33.3)/2,2)</f>
        <v>33.880000000000003</v>
      </c>
      <c r="F23" s="76">
        <v>5.0599999999999996</v>
      </c>
      <c r="G23" s="76">
        <v>4.59</v>
      </c>
      <c r="H23" s="77"/>
      <c r="I23" s="77">
        <f t="shared" si="11"/>
        <v>33.880000000000003</v>
      </c>
      <c r="J23" s="77">
        <f t="shared" si="11"/>
        <v>33.880000000000003</v>
      </c>
      <c r="K23" s="78">
        <f t="shared" si="11"/>
        <v>33.880000000000003</v>
      </c>
      <c r="L23" s="76">
        <v>2.2200000000000002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drawing r:id="rId38"/>
  <legacyDrawing r:id="rId39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A2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236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0.61646383589307541</v>
      </c>
      <c r="C6" s="20"/>
      <c r="D6" s="19">
        <f t="shared" ref="D6:D11" si="1">D15/N6</f>
        <v>0.65897858319604619</v>
      </c>
      <c r="E6" s="20">
        <f t="shared" ref="E6:E14" si="2">D6/B6</f>
        <v>1.0689655172413794</v>
      </c>
      <c r="F6" s="19">
        <f t="shared" ref="F6:F11" si="3">F15/N6</f>
        <v>0.71743636073763095</v>
      </c>
      <c r="G6" s="19">
        <f t="shared" ref="G6:G11" si="4">G15/N6</f>
        <v>0.68023595684753158</v>
      </c>
      <c r="H6" s="19"/>
      <c r="I6" s="19"/>
      <c r="J6" s="20">
        <f t="shared" ref="J6:J11" si="5">G6/B6</f>
        <v>1.1034482758620692</v>
      </c>
      <c r="K6" s="20">
        <f t="shared" ref="K6:K17" si="6">G6/D6</f>
        <v>1.032258064516129</v>
      </c>
      <c r="L6" s="19">
        <f t="shared" ref="L6:L11" si="7">L15/N6</f>
        <v>0.34011797842376579</v>
      </c>
      <c r="M6" s="21">
        <f t="shared" ref="M6:M11" si="8">L6/B6</f>
        <v>0.55172413793103459</v>
      </c>
      <c r="N6" s="22">
        <f>P6</f>
        <v>1.8816999999999999</v>
      </c>
      <c r="O6" s="23" t="s">
        <v>17</v>
      </c>
      <c r="P6" s="9">
        <v>1.8816999999999999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0.64785579529149184</v>
      </c>
      <c r="C7" s="20">
        <f>B7/$B$6</f>
        <v>1.0509226293103451</v>
      </c>
      <c r="D7" s="25">
        <f t="shared" si="1"/>
        <v>0.70099952170909285</v>
      </c>
      <c r="E7" s="20">
        <f t="shared" si="2"/>
        <v>1.0820301783264745</v>
      </c>
      <c r="F7" s="25">
        <f t="shared" si="3"/>
        <v>0.79466756124780791</v>
      </c>
      <c r="G7" s="25">
        <f t="shared" si="4"/>
        <v>0.66598509326672695</v>
      </c>
      <c r="H7" s="26">
        <f t="shared" ref="H7:H14" si="9">G7/$G$6</f>
        <v>0.9790501171874999</v>
      </c>
      <c r="I7" s="26" t="e">
        <f t="shared" ref="I7:I14" si="10">G7/$G$5</f>
        <v>#DIV/0!</v>
      </c>
      <c r="J7" s="27">
        <f t="shared" si="5"/>
        <v>1.0279835390946501</v>
      </c>
      <c r="K7" s="20">
        <f t="shared" si="6"/>
        <v>0.95005070993914809</v>
      </c>
      <c r="L7" s="25">
        <f t="shared" si="7"/>
        <v>0.32081747887548501</v>
      </c>
      <c r="M7" s="28">
        <f t="shared" si="8"/>
        <v>0.49519890260631005</v>
      </c>
      <c r="N7" s="29">
        <f>P6/P7</f>
        <v>56.262520556136934</v>
      </c>
      <c r="O7" s="9"/>
      <c r="P7" s="9">
        <f>3.3445/100</f>
        <v>3.3445000000000003E-2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0.6373692405803264</v>
      </c>
      <c r="C8" s="20">
        <f>B8/$B$6</f>
        <v>1.0339118103448277</v>
      </c>
      <c r="D8" s="25">
        <f t="shared" si="1"/>
        <v>0.68997975235159703</v>
      </c>
      <c r="E8" s="20">
        <f t="shared" si="2"/>
        <v>1.0825432236475181</v>
      </c>
      <c r="F8" s="25">
        <f t="shared" si="3"/>
        <v>0.74294574055375462</v>
      </c>
      <c r="G8" s="25">
        <f t="shared" si="4"/>
        <v>0.64572293670616998</v>
      </c>
      <c r="H8" s="26">
        <f t="shared" si="9"/>
        <v>0.94926316406249989</v>
      </c>
      <c r="I8" s="26" t="e">
        <f t="shared" si="10"/>
        <v>#DIV/0!</v>
      </c>
      <c r="J8" s="27">
        <f t="shared" si="5"/>
        <v>1.013106525376464</v>
      </c>
      <c r="K8" s="20">
        <f t="shared" si="6"/>
        <v>0.93585780525502316</v>
      </c>
      <c r="L8" s="25">
        <f t="shared" si="7"/>
        <v>0.34481213796035504</v>
      </c>
      <c r="M8" s="28">
        <f t="shared" si="8"/>
        <v>0.54099274958170662</v>
      </c>
      <c r="N8" s="29">
        <f>N7</f>
        <v>56.262520556136934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0.64874448636870918</v>
      </c>
      <c r="C9" s="20">
        <f>B9/$B$6</f>
        <v>1.0523642241379312</v>
      </c>
      <c r="D9" s="25">
        <f t="shared" si="1"/>
        <v>0.70384333315618863</v>
      </c>
      <c r="E9" s="20">
        <f t="shared" si="2"/>
        <v>1.0849315068493151</v>
      </c>
      <c r="F9" s="25">
        <f t="shared" si="3"/>
        <v>0.76071956209810287</v>
      </c>
      <c r="G9" s="25">
        <f t="shared" si="4"/>
        <v>0.66136389966519649</v>
      </c>
      <c r="H9" s="26">
        <f t="shared" si="9"/>
        <v>0.97225660156250004</v>
      </c>
      <c r="I9" s="26" t="e">
        <f t="shared" si="10"/>
        <v>#DIV/0!</v>
      </c>
      <c r="J9" s="27">
        <f t="shared" si="5"/>
        <v>1.0194520547945207</v>
      </c>
      <c r="K9" s="20">
        <f t="shared" si="6"/>
        <v>0.93964646464646473</v>
      </c>
      <c r="L9" s="25">
        <f t="shared" si="7"/>
        <v>0.34658952011478988</v>
      </c>
      <c r="M9" s="28">
        <f t="shared" si="8"/>
        <v>0.53424657534246578</v>
      </c>
      <c r="N9" s="29">
        <f>N7</f>
        <v>56.262520556136934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0.631326141255248</v>
      </c>
      <c r="C10" s="20">
        <f>B10/$B$6</f>
        <v>1.0241089655172415</v>
      </c>
      <c r="D10" s="25">
        <f t="shared" si="1"/>
        <v>0.67967093585587512</v>
      </c>
      <c r="E10" s="20">
        <f t="shared" si="2"/>
        <v>1.0765765765765767</v>
      </c>
      <c r="F10" s="25">
        <f t="shared" si="3"/>
        <v>0.74632276664718089</v>
      </c>
      <c r="G10" s="25">
        <f t="shared" si="4"/>
        <v>0.67540521868523151</v>
      </c>
      <c r="H10" s="26">
        <f t="shared" si="9"/>
        <v>0.99289843749999995</v>
      </c>
      <c r="I10" s="26" t="e">
        <f t="shared" si="10"/>
        <v>#DIV/0!</v>
      </c>
      <c r="J10" s="27">
        <f t="shared" si="5"/>
        <v>1.0698198198198199</v>
      </c>
      <c r="K10" s="20">
        <f t="shared" si="6"/>
        <v>0.99372384937238489</v>
      </c>
      <c r="L10" s="25">
        <f t="shared" si="7"/>
        <v>0.32081747887548501</v>
      </c>
      <c r="M10" s="28">
        <f t="shared" si="8"/>
        <v>0.50816441441441451</v>
      </c>
      <c r="N10" s="29">
        <f>N7</f>
        <v>56.262520556136934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0.89535357389594505</v>
      </c>
      <c r="C11" s="20">
        <f>B11/$B$6</f>
        <v>1.4524024310344825</v>
      </c>
      <c r="D11" s="25">
        <f t="shared" si="1"/>
        <v>0.94082948397725452</v>
      </c>
      <c r="E11" s="20">
        <f t="shared" si="2"/>
        <v>1.0507910074937552</v>
      </c>
      <c r="F11" s="25">
        <f t="shared" si="3"/>
        <v>1.1052137163203486</v>
      </c>
      <c r="G11" s="25">
        <f t="shared" si="4"/>
        <v>0.83459477600042509</v>
      </c>
      <c r="H11" s="26">
        <f t="shared" si="9"/>
        <v>1.2269195234374997</v>
      </c>
      <c r="I11" s="26" t="e">
        <f t="shared" si="10"/>
        <v>#DIV/0!</v>
      </c>
      <c r="J11" s="27">
        <f t="shared" si="5"/>
        <v>0.9321398834304746</v>
      </c>
      <c r="K11" s="20">
        <f t="shared" si="6"/>
        <v>0.88708399366085577</v>
      </c>
      <c r="L11" s="25">
        <f t="shared" si="7"/>
        <v>0.42941187224318433</v>
      </c>
      <c r="M11" s="28">
        <f t="shared" si="8"/>
        <v>0.47960033305578686</v>
      </c>
      <c r="N11" s="29">
        <f>P6/P11</f>
        <v>26.827390541908443</v>
      </c>
      <c r="O11" s="9"/>
      <c r="P11" s="9">
        <f>7.0141/100</f>
        <v>7.0140999999999995E-2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1.2251399266620608</v>
      </c>
      <c r="E12" s="20" t="e">
        <f t="shared" si="2"/>
        <v>#DIV/0!</v>
      </c>
      <c r="F12" s="25">
        <f>F21*N12</f>
        <v>1.2633591964712758</v>
      </c>
      <c r="G12" s="25">
        <f>G21*N12</f>
        <v>1.1083588244672371</v>
      </c>
      <c r="H12" s="26">
        <f t="shared" si="9"/>
        <v>1.6293740624999999</v>
      </c>
      <c r="I12" s="26" t="e">
        <f t="shared" si="10"/>
        <v>#DIV/0!</v>
      </c>
      <c r="J12" s="27"/>
      <c r="K12" s="20">
        <f t="shared" si="6"/>
        <v>0.90467937608318894</v>
      </c>
      <c r="L12" s="25">
        <f>L21*$N$12</f>
        <v>0.56798081522027954</v>
      </c>
      <c r="M12" s="31">
        <f>L12/D12</f>
        <v>0.46360485268630852</v>
      </c>
      <c r="N12" s="29">
        <f>P13/P6</f>
        <v>1.0616463835893075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1.1975371206887389</v>
      </c>
      <c r="E13" s="20" t="e">
        <f t="shared" si="2"/>
        <v>#DIV/0!</v>
      </c>
      <c r="F13" s="25">
        <f>F22*N13</f>
        <v>1.2952085879789552</v>
      </c>
      <c r="G13" s="25">
        <f>G22*N13</f>
        <v>1.0839409576446828</v>
      </c>
      <c r="H13" s="26">
        <f t="shared" si="9"/>
        <v>1.5934778906249996</v>
      </c>
      <c r="I13" s="26" t="e">
        <f t="shared" si="10"/>
        <v>#DIV/0!</v>
      </c>
      <c r="J13" s="27"/>
      <c r="K13" s="20">
        <f t="shared" si="6"/>
        <v>0.90514184397163111</v>
      </c>
      <c r="L13" s="25">
        <f>L22*$N$12</f>
        <v>0.55630270500079715</v>
      </c>
      <c r="M13" s="31">
        <f>L13/D13</f>
        <v>0.46453900709219859</v>
      </c>
      <c r="N13" s="29">
        <f>P13/P6</f>
        <v>1.0616463835893075</v>
      </c>
      <c r="O13" s="9"/>
      <c r="P13" s="34">
        <v>1.9977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1.1748304193016954</v>
      </c>
      <c r="E14" s="20" t="e">
        <f t="shared" si="2"/>
        <v>#DIV/0!</v>
      </c>
      <c r="F14" s="25">
        <f>F23/N14</f>
        <v>1.2599993622787904</v>
      </c>
      <c r="G14" s="25">
        <f>G23/N14</f>
        <v>1.1422658234575116</v>
      </c>
      <c r="H14" s="26">
        <f t="shared" si="9"/>
        <v>1.6792199999999995</v>
      </c>
      <c r="I14" s="26" t="e">
        <f t="shared" si="10"/>
        <v>#DIV/0!</v>
      </c>
      <c r="J14" s="27"/>
      <c r="K14" s="20">
        <f t="shared" si="6"/>
        <v>0.97228144989338994</v>
      </c>
      <c r="L14" s="25">
        <f>L23/N14</f>
        <v>0.55610309826220972</v>
      </c>
      <c r="M14" s="35">
        <f>L14/D14</f>
        <v>0.47334754797441358</v>
      </c>
      <c r="N14" s="36">
        <f>P6/P14</f>
        <v>3.9920655125594027</v>
      </c>
      <c r="O14" s="9"/>
      <c r="P14" s="37">
        <f>4.7136/10</f>
        <v>0.47135999999999995</v>
      </c>
      <c r="Q14" s="9" t="s">
        <v>30</v>
      </c>
    </row>
    <row r="15" spans="1:17" ht="15.75" x14ac:dyDescent="0.25">
      <c r="A15" s="38" t="s">
        <v>31</v>
      </c>
      <c r="B15" s="39">
        <v>1.1599999999999999</v>
      </c>
      <c r="C15" s="38"/>
      <c r="D15" s="39">
        <v>1.24</v>
      </c>
      <c r="E15" s="39"/>
      <c r="F15" s="39">
        <v>1.35</v>
      </c>
      <c r="G15" s="39">
        <v>1.28</v>
      </c>
      <c r="H15" s="38"/>
      <c r="I15" s="38"/>
      <c r="J15" s="38"/>
      <c r="K15" s="40">
        <f t="shared" si="6"/>
        <v>1.032258064516129</v>
      </c>
      <c r="L15" s="41">
        <v>0.64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36.450000000000003</v>
      </c>
      <c r="C16" s="45"/>
      <c r="D16" s="45">
        <v>39.44</v>
      </c>
      <c r="E16" s="45"/>
      <c r="F16" s="45">
        <v>44.71</v>
      </c>
      <c r="G16" s="45">
        <v>37.47</v>
      </c>
      <c r="H16" s="46"/>
      <c r="I16" s="46"/>
      <c r="J16" s="46"/>
      <c r="K16" s="47">
        <f t="shared" si="6"/>
        <v>0.95005070993914809</v>
      </c>
      <c r="L16" s="48">
        <v>18.05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35.86</v>
      </c>
      <c r="C17" s="50"/>
      <c r="D17" s="45">
        <v>38.82</v>
      </c>
      <c r="E17" s="45"/>
      <c r="F17" s="51">
        <v>41.8</v>
      </c>
      <c r="G17" s="45">
        <v>36.33</v>
      </c>
      <c r="H17" s="50"/>
      <c r="I17" s="50"/>
      <c r="J17" s="50"/>
      <c r="K17" s="52">
        <f t="shared" si="6"/>
        <v>0.93585780525502316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36.5</v>
      </c>
      <c r="C18" s="50"/>
      <c r="D18" s="45">
        <v>39.6</v>
      </c>
      <c r="E18" s="56"/>
      <c r="F18" s="45">
        <v>42.8</v>
      </c>
      <c r="G18" s="56">
        <v>37.21</v>
      </c>
      <c r="H18" s="50"/>
      <c r="I18" s="50"/>
      <c r="J18" s="50"/>
      <c r="K18" s="52"/>
      <c r="L18" s="57">
        <v>19.5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35.520000000000003</v>
      </c>
      <c r="C19" s="50"/>
      <c r="D19" s="56">
        <v>38.24</v>
      </c>
      <c r="E19" s="59"/>
      <c r="F19" s="56">
        <v>41.99</v>
      </c>
      <c r="G19" s="56">
        <v>38</v>
      </c>
      <c r="H19" s="50"/>
      <c r="I19" s="50"/>
      <c r="J19" s="50"/>
      <c r="K19" s="52"/>
      <c r="L19" s="60">
        <v>18.05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24.02</v>
      </c>
      <c r="C20" s="46"/>
      <c r="D20" s="45">
        <v>25.24</v>
      </c>
      <c r="E20" s="51"/>
      <c r="F20" s="45">
        <v>29.65</v>
      </c>
      <c r="G20" s="62">
        <v>22.39</v>
      </c>
      <c r="H20" s="50"/>
      <c r="I20" s="50"/>
      <c r="J20" s="50"/>
      <c r="K20" s="52">
        <f>G20/D20</f>
        <v>0.88708399366085589</v>
      </c>
      <c r="L20" s="63">
        <v>11.52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1.1539999999999999</v>
      </c>
      <c r="E21" s="67"/>
      <c r="F21" s="67">
        <v>1.19</v>
      </c>
      <c r="G21" s="67">
        <v>1.044</v>
      </c>
      <c r="H21" s="50"/>
      <c r="I21" s="50"/>
      <c r="J21" s="50"/>
      <c r="K21" s="52">
        <f>G21/D21</f>
        <v>0.90467937608318905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1.1279999999999999</v>
      </c>
      <c r="E22" s="67"/>
      <c r="F22" s="67">
        <v>1.22</v>
      </c>
      <c r="G22" s="67">
        <v>1.0209999999999999</v>
      </c>
      <c r="H22" s="50"/>
      <c r="I22" s="50"/>
      <c r="J22" s="50"/>
      <c r="K22" s="52">
        <f>G22/D22</f>
        <v>0.90514184397163122</v>
      </c>
      <c r="L22" s="68">
        <v>0.52400000000000002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4.6900000000000004</v>
      </c>
      <c r="E23" s="76">
        <f>ROUND((34.45+33.3)/2,2)</f>
        <v>33.880000000000003</v>
      </c>
      <c r="F23" s="76">
        <v>5.03</v>
      </c>
      <c r="G23" s="76">
        <v>4.5599999999999996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2.2200000000000002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237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0.62960770596782001</v>
      </c>
      <c r="C6" s="20"/>
      <c r="D6" s="19">
        <f t="shared" ref="D6:D11" si="1">D15/N6</f>
        <v>0.67265780552117527</v>
      </c>
      <c r="E6" s="20">
        <f t="shared" ref="E6:E14" si="2">D6/B6</f>
        <v>1.0683760683760684</v>
      </c>
      <c r="F6" s="19">
        <f t="shared" ref="F6:F11" si="3">F15/N6</f>
        <v>0.73185169240703873</v>
      </c>
      <c r="G6" s="19">
        <f t="shared" ref="G6:G11" si="4">G15/N6</f>
        <v>0.69418285529785284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0.34978205887101116</v>
      </c>
      <c r="M6" s="21">
        <f t="shared" ref="M6:M11" si="8">L6/B6</f>
        <v>0.55555555555555558</v>
      </c>
      <c r="N6" s="22">
        <f>P6</f>
        <v>1.8583000000000001</v>
      </c>
      <c r="O6" s="23" t="s">
        <v>17</v>
      </c>
      <c r="P6" s="9">
        <v>1.8583000000000001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0.65223376204057459</v>
      </c>
      <c r="C7" s="20">
        <f>B7/$B$6</f>
        <v>1.035936752136752</v>
      </c>
      <c r="D7" s="25">
        <f t="shared" si="1"/>
        <v>0.70335478663294393</v>
      </c>
      <c r="E7" s="20">
        <f t="shared" si="2"/>
        <v>1.0783783783783782</v>
      </c>
      <c r="F7" s="25">
        <f t="shared" si="3"/>
        <v>0.79149448420599455</v>
      </c>
      <c r="G7" s="25">
        <f t="shared" si="4"/>
        <v>0.67338728945810677</v>
      </c>
      <c r="H7" s="26">
        <f t="shared" ref="H7:H14" si="9">G7/$G$6</f>
        <v>0.97004310077519373</v>
      </c>
      <c r="I7" s="26" t="e">
        <f t="shared" ref="I7:I14" si="10">G7/$G$5</f>
        <v>#DIV/0!</v>
      </c>
      <c r="J7" s="27">
        <f t="shared" si="5"/>
        <v>1.0324324324324325</v>
      </c>
      <c r="K7" s="20">
        <f t="shared" si="6"/>
        <v>0.95739348370927324</v>
      </c>
      <c r="L7" s="25">
        <f t="shared" si="7"/>
        <v>0.29086100199106707</v>
      </c>
      <c r="M7" s="28">
        <f t="shared" si="8"/>
        <v>0.445945945945946</v>
      </c>
      <c r="N7" s="29">
        <f>P6/P7</f>
        <v>56.728127480310164</v>
      </c>
      <c r="O7" s="9"/>
      <c r="P7" s="9">
        <f>3.2758/100</f>
        <v>3.2757999999999995E-2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0.63407698434052617</v>
      </c>
      <c r="C8" s="20">
        <f>B8/$B$6</f>
        <v>1.0070985128205128</v>
      </c>
      <c r="D8" s="25">
        <f t="shared" si="1"/>
        <v>0.68696080288435657</v>
      </c>
      <c r="E8" s="20">
        <f t="shared" si="2"/>
        <v>1.0834028356964138</v>
      </c>
      <c r="F8" s="25">
        <f t="shared" si="3"/>
        <v>0.75095022332239136</v>
      </c>
      <c r="G8" s="25">
        <f t="shared" si="4"/>
        <v>0.6411281601463702</v>
      </c>
      <c r="H8" s="26">
        <f t="shared" si="9"/>
        <v>0.92357244961240292</v>
      </c>
      <c r="I8" s="26" t="e">
        <f t="shared" si="10"/>
        <v>#DIV/0!</v>
      </c>
      <c r="J8" s="27">
        <f t="shared" si="5"/>
        <v>1.011120378092855</v>
      </c>
      <c r="K8" s="20">
        <f t="shared" si="6"/>
        <v>0.93328201180395165</v>
      </c>
      <c r="L8" s="25">
        <f t="shared" si="7"/>
        <v>0.3419820265834364</v>
      </c>
      <c r="M8" s="28">
        <f t="shared" si="8"/>
        <v>0.53933833750347515</v>
      </c>
      <c r="N8" s="29">
        <f>N7</f>
        <v>56.728127480310164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0.64870817413765247</v>
      </c>
      <c r="C9" s="20">
        <f>B9/$B$6</f>
        <v>1.0303370940170937</v>
      </c>
      <c r="D9" s="25">
        <f t="shared" si="1"/>
        <v>0.70511758058440499</v>
      </c>
      <c r="E9" s="20">
        <f t="shared" si="2"/>
        <v>1.0869565217391306</v>
      </c>
      <c r="F9" s="25">
        <f t="shared" si="3"/>
        <v>0.75800139912823539</v>
      </c>
      <c r="G9" s="25">
        <f t="shared" si="4"/>
        <v>0.66104773179787968</v>
      </c>
      <c r="H9" s="26">
        <f t="shared" si="9"/>
        <v>0.95226744186046497</v>
      </c>
      <c r="I9" s="26" t="e">
        <f t="shared" si="10"/>
        <v>#DIV/0!</v>
      </c>
      <c r="J9" s="27">
        <f t="shared" si="5"/>
        <v>1.019021739130435</v>
      </c>
      <c r="K9" s="20">
        <f t="shared" si="6"/>
        <v>0.9375</v>
      </c>
      <c r="L9" s="25">
        <f t="shared" si="7"/>
        <v>0.3419820265834364</v>
      </c>
      <c r="M9" s="28">
        <f t="shared" si="8"/>
        <v>0.52717391304347838</v>
      </c>
      <c r="N9" s="29">
        <f>N7</f>
        <v>56.728127480310164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0.63284302857450347</v>
      </c>
      <c r="C10" s="20">
        <f>B10/$B$6</f>
        <v>1.0051386324786324</v>
      </c>
      <c r="D10" s="25">
        <f t="shared" si="1"/>
        <v>0.68572684711833376</v>
      </c>
      <c r="E10" s="20">
        <f t="shared" si="2"/>
        <v>1.0835654596100277</v>
      </c>
      <c r="F10" s="25">
        <f t="shared" si="3"/>
        <v>0.75958791368455036</v>
      </c>
      <c r="G10" s="25">
        <f t="shared" si="4"/>
        <v>0.67338728945810677</v>
      </c>
      <c r="H10" s="26">
        <f t="shared" si="9"/>
        <v>0.97004310077519373</v>
      </c>
      <c r="I10" s="26" t="e">
        <f t="shared" si="10"/>
        <v>#DIV/0!</v>
      </c>
      <c r="J10" s="27">
        <f t="shared" si="5"/>
        <v>1.0640668523676879</v>
      </c>
      <c r="K10" s="20">
        <f t="shared" si="6"/>
        <v>0.98200514138817496</v>
      </c>
      <c r="L10" s="25">
        <f t="shared" si="7"/>
        <v>0.31554011731152121</v>
      </c>
      <c r="M10" s="28">
        <f t="shared" si="8"/>
        <v>0.49860724233983283</v>
      </c>
      <c r="N10" s="29">
        <f>N7</f>
        <v>56.728127480310164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0.92505853737286758</v>
      </c>
      <c r="C11" s="20">
        <f>B11/$B$6</f>
        <v>1.4692617777777777</v>
      </c>
      <c r="D11" s="25">
        <f t="shared" si="1"/>
        <v>0.96101621374374424</v>
      </c>
      <c r="E11" s="20">
        <f t="shared" si="2"/>
        <v>1.0388707037643208</v>
      </c>
      <c r="F11" s="25">
        <f t="shared" si="3"/>
        <v>1.1222580046278856</v>
      </c>
      <c r="G11" s="25">
        <f t="shared" si="4"/>
        <v>0.85692820319646978</v>
      </c>
      <c r="H11" s="26">
        <f t="shared" si="9"/>
        <v>1.2344416124031006</v>
      </c>
      <c r="I11" s="26" t="e">
        <f t="shared" si="10"/>
        <v>#DIV/0!</v>
      </c>
      <c r="J11" s="27">
        <f t="shared" si="5"/>
        <v>0.92635024549918166</v>
      </c>
      <c r="K11" s="20">
        <f t="shared" si="6"/>
        <v>0.89168964159117758</v>
      </c>
      <c r="L11" s="25">
        <f t="shared" si="7"/>
        <v>0.42846410159823489</v>
      </c>
      <c r="M11" s="28">
        <f t="shared" si="8"/>
        <v>0.46317512274959083</v>
      </c>
      <c r="N11" s="29">
        <f>P6/P11</f>
        <v>26.419949670870242</v>
      </c>
      <c r="O11" s="9"/>
      <c r="P11" s="9">
        <f>7.0337/100</f>
        <v>7.0336999999999997E-2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1.2293356293386428</v>
      </c>
      <c r="E12" s="20" t="e">
        <f t="shared" si="2"/>
        <v>#DIV/0!</v>
      </c>
      <c r="F12" s="25">
        <f>F21*N12</f>
        <v>1.2537448205348971</v>
      </c>
      <c r="G12" s="25">
        <f>G21*N12</f>
        <v>1.1472319862239679</v>
      </c>
      <c r="H12" s="26">
        <f t="shared" si="9"/>
        <v>1.6526365891472865</v>
      </c>
      <c r="I12" s="26" t="e">
        <f t="shared" si="10"/>
        <v>#DIV/0!</v>
      </c>
      <c r="J12" s="27"/>
      <c r="K12" s="20">
        <f t="shared" si="6"/>
        <v>0.93321299638989152</v>
      </c>
      <c r="L12" s="25">
        <f>L21*$N$12</f>
        <v>0.59358714954528324</v>
      </c>
      <c r="M12" s="31">
        <f>L12/D12</f>
        <v>0.48285198555956671</v>
      </c>
      <c r="N12" s="29">
        <f>P13/P6</f>
        <v>1.1095086907388472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1.2237880858849484</v>
      </c>
      <c r="E13" s="20" t="e">
        <f t="shared" si="2"/>
        <v>#DIV/0!</v>
      </c>
      <c r="F13" s="25">
        <f>F22*N13</f>
        <v>1.386885863423559</v>
      </c>
      <c r="G13" s="25">
        <f>G22*N13</f>
        <v>1.1017421299036751</v>
      </c>
      <c r="H13" s="26">
        <f t="shared" si="9"/>
        <v>1.5871065116279066</v>
      </c>
      <c r="I13" s="26" t="e">
        <f t="shared" si="10"/>
        <v>#DIV/0!</v>
      </c>
      <c r="J13" s="27"/>
      <c r="K13" s="20">
        <f t="shared" si="6"/>
        <v>0.90027198549410692</v>
      </c>
      <c r="L13" s="25">
        <f>L22*$N$12</f>
        <v>0.55142581929720702</v>
      </c>
      <c r="M13" s="31">
        <f>L13/D13</f>
        <v>0.45058930190389845</v>
      </c>
      <c r="N13" s="29">
        <f>P13/P6</f>
        <v>1.1095086907388472</v>
      </c>
      <c r="O13" s="9"/>
      <c r="P13" s="34">
        <v>2.0617999999999999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1.2419679276758329</v>
      </c>
      <c r="E14" s="20" t="e">
        <f t="shared" si="2"/>
        <v>#DIV/0!</v>
      </c>
      <c r="F14" s="25">
        <f>F23/N14</f>
        <v>1.3346521013829846</v>
      </c>
      <c r="G14" s="25">
        <f>G23/N14</f>
        <v>1.1995980196954208</v>
      </c>
      <c r="H14" s="26">
        <f t="shared" si="9"/>
        <v>1.7280720930232563</v>
      </c>
      <c r="I14" s="26" t="e">
        <f t="shared" si="10"/>
        <v>#DIV/0!</v>
      </c>
      <c r="J14" s="27"/>
      <c r="K14" s="20">
        <f t="shared" si="6"/>
        <v>0.96588486140724961</v>
      </c>
      <c r="L14" s="25">
        <f>L23/N14</f>
        <v>0.57199375773556482</v>
      </c>
      <c r="M14" s="35">
        <f>L14/D14</f>
        <v>0.4605543710021322</v>
      </c>
      <c r="N14" s="36">
        <f>P6/P14</f>
        <v>3.7762649867913023</v>
      </c>
      <c r="O14" s="9"/>
      <c r="P14" s="37">
        <f>4.921/10</f>
        <v>0.49210000000000004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0.65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</v>
      </c>
      <c r="C16" s="45"/>
      <c r="D16" s="45">
        <v>39.9</v>
      </c>
      <c r="E16" s="45"/>
      <c r="F16" s="45">
        <v>44.9</v>
      </c>
      <c r="G16" s="45">
        <v>38.200000000000003</v>
      </c>
      <c r="H16" s="46"/>
      <c r="I16" s="46"/>
      <c r="J16" s="46"/>
      <c r="K16" s="47">
        <f t="shared" si="6"/>
        <v>0.95739348370927324</v>
      </c>
      <c r="L16" s="48">
        <v>16.5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35.97</v>
      </c>
      <c r="C17" s="50"/>
      <c r="D17" s="45">
        <v>38.97</v>
      </c>
      <c r="E17" s="45"/>
      <c r="F17" s="51">
        <v>42.6</v>
      </c>
      <c r="G17" s="45">
        <v>36.369999999999997</v>
      </c>
      <c r="H17" s="50"/>
      <c r="I17" s="50"/>
      <c r="J17" s="50"/>
      <c r="K17" s="52">
        <f t="shared" si="6"/>
        <v>0.93328201180395176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36.799999999999997</v>
      </c>
      <c r="C18" s="50"/>
      <c r="D18" s="45">
        <v>40</v>
      </c>
      <c r="E18" s="56"/>
      <c r="F18" s="45">
        <v>43</v>
      </c>
      <c r="G18" s="56">
        <v>37.5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35.9</v>
      </c>
      <c r="C19" s="50"/>
      <c r="D19" s="56">
        <v>38.9</v>
      </c>
      <c r="E19" s="59"/>
      <c r="F19" s="56">
        <v>43.09</v>
      </c>
      <c r="G19" s="56">
        <v>38.200000000000003</v>
      </c>
      <c r="H19" s="50"/>
      <c r="I19" s="50"/>
      <c r="J19" s="50"/>
      <c r="K19" s="52"/>
      <c r="L19" s="60">
        <v>17.899999999999999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24.44</v>
      </c>
      <c r="C20" s="46"/>
      <c r="D20" s="45">
        <v>25.39</v>
      </c>
      <c r="E20" s="51"/>
      <c r="F20" s="45">
        <v>29.65</v>
      </c>
      <c r="G20" s="62">
        <v>22.64</v>
      </c>
      <c r="H20" s="50"/>
      <c r="I20" s="50"/>
      <c r="J20" s="50"/>
      <c r="K20" s="52">
        <f>G20/D20</f>
        <v>0.89168964159117758</v>
      </c>
      <c r="L20" s="63">
        <v>11.32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1.1080000000000001</v>
      </c>
      <c r="E21" s="67"/>
      <c r="F21" s="67">
        <v>1.1299999999999999</v>
      </c>
      <c r="G21" s="67">
        <v>1.034</v>
      </c>
      <c r="H21" s="50"/>
      <c r="I21" s="50"/>
      <c r="J21" s="50"/>
      <c r="K21" s="52">
        <f>G21/D21</f>
        <v>0.93321299638989164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1.103</v>
      </c>
      <c r="E22" s="67"/>
      <c r="F22" s="67">
        <v>1.25</v>
      </c>
      <c r="G22" s="67">
        <v>0.99299999999999999</v>
      </c>
      <c r="H22" s="50"/>
      <c r="I22" s="50"/>
      <c r="J22" s="50"/>
      <c r="K22" s="52">
        <f>G22/D22</f>
        <v>0.90027198549410703</v>
      </c>
      <c r="L22" s="68">
        <v>0.497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4.6900000000000004</v>
      </c>
      <c r="E23" s="76">
        <f>ROUND((34.45+33.3)/2,2)</f>
        <v>33.880000000000003</v>
      </c>
      <c r="F23" s="76">
        <v>5.04</v>
      </c>
      <c r="G23" s="76">
        <v>4.53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2.16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F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238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0.6278508183525624</v>
      </c>
      <c r="C6" s="20"/>
      <c r="D6" s="19">
        <f t="shared" ref="D6:D11" si="1">D15/N6</f>
        <v>0.67078078883820769</v>
      </c>
      <c r="E6" s="20">
        <f t="shared" ref="E6:E14" si="2">D6/B6</f>
        <v>1.0683760683760684</v>
      </c>
      <c r="F6" s="19">
        <f t="shared" ref="F6:F11" si="3">F15/N6</f>
        <v>0.72980949825597008</v>
      </c>
      <c r="G6" s="19">
        <f t="shared" ref="G6:G11" si="4">G15/N6</f>
        <v>0.69224577408103039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0.34880601019586799</v>
      </c>
      <c r="M6" s="21">
        <f t="shared" ref="M6:M11" si="8">L6/B6</f>
        <v>0.55555555555555558</v>
      </c>
      <c r="N6" s="22">
        <f>P6</f>
        <v>1.8634999999999999</v>
      </c>
      <c r="O6" s="23" t="s">
        <v>17</v>
      </c>
      <c r="P6" s="9">
        <v>1.8634999999999999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0.65354011269117251</v>
      </c>
      <c r="C7" s="20">
        <f>B7/$B$6</f>
        <v>1.0409162393162392</v>
      </c>
      <c r="D7" s="25">
        <f t="shared" si="1"/>
        <v>0.70730904212503354</v>
      </c>
      <c r="E7" s="20">
        <f t="shared" si="2"/>
        <v>1.0822733423545332</v>
      </c>
      <c r="F7" s="25">
        <f t="shared" si="3"/>
        <v>0.80105092567748859</v>
      </c>
      <c r="G7" s="25">
        <f t="shared" si="4"/>
        <v>0.66662860209283603</v>
      </c>
      <c r="H7" s="26">
        <f t="shared" ref="H7:H14" si="9">G7/$G$6</f>
        <v>0.96299410852713163</v>
      </c>
      <c r="I7" s="26" t="e">
        <f t="shared" ref="I7:I14" si="10">G7/$G$5</f>
        <v>#DIV/0!</v>
      </c>
      <c r="J7" s="27">
        <f t="shared" si="5"/>
        <v>1.0200270635994586</v>
      </c>
      <c r="K7" s="20">
        <f t="shared" si="6"/>
        <v>0.9424856214053513</v>
      </c>
      <c r="L7" s="25">
        <f t="shared" si="7"/>
        <v>0.29378352562382609</v>
      </c>
      <c r="M7" s="28">
        <f t="shared" si="8"/>
        <v>0.44952638700947223</v>
      </c>
      <c r="N7" s="29">
        <f>P6/P7</f>
        <v>56.538228155339809</v>
      </c>
      <c r="O7" s="9"/>
      <c r="P7" s="9">
        <f>3.296/100</f>
        <v>3.2959999999999996E-2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0.63797542259189699</v>
      </c>
      <c r="C8" s="20">
        <f>B8/$B$6</f>
        <v>1.0161258119658119</v>
      </c>
      <c r="D8" s="25">
        <f t="shared" si="1"/>
        <v>0.69139060906895633</v>
      </c>
      <c r="E8" s="20">
        <f t="shared" si="2"/>
        <v>1.0837260881619075</v>
      </c>
      <c r="F8" s="25">
        <f t="shared" si="3"/>
        <v>0.75347249798765759</v>
      </c>
      <c r="G8" s="25">
        <f t="shared" si="4"/>
        <v>0.65053329755835787</v>
      </c>
      <c r="H8" s="26">
        <f t="shared" si="9"/>
        <v>0.93974325581395335</v>
      </c>
      <c r="I8" s="26" t="e">
        <f t="shared" si="10"/>
        <v>#DIV/0!</v>
      </c>
      <c r="J8" s="27">
        <f t="shared" si="5"/>
        <v>1.0196839478791238</v>
      </c>
      <c r="K8" s="20">
        <f t="shared" si="6"/>
        <v>0.94090560245587085</v>
      </c>
      <c r="L8" s="25">
        <f t="shared" si="7"/>
        <v>0.34313066809766563</v>
      </c>
      <c r="M8" s="28">
        <f t="shared" si="8"/>
        <v>0.53784308289437199</v>
      </c>
      <c r="N8" s="29">
        <f>N7</f>
        <v>56.538228155339809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0.65300949825596999</v>
      </c>
      <c r="C9" s="20">
        <f>B9/$B$6</f>
        <v>1.0400711111111112</v>
      </c>
      <c r="D9" s="25">
        <f t="shared" si="1"/>
        <v>0.71650635900187809</v>
      </c>
      <c r="E9" s="20">
        <f t="shared" si="2"/>
        <v>1.0972372697724808</v>
      </c>
      <c r="F9" s="25">
        <f t="shared" si="3"/>
        <v>0.76001674268848929</v>
      </c>
      <c r="G9" s="25">
        <f t="shared" si="4"/>
        <v>0.66291430104641791</v>
      </c>
      <c r="H9" s="26">
        <f t="shared" si="9"/>
        <v>0.9576285271317827</v>
      </c>
      <c r="I9" s="26" t="e">
        <f t="shared" si="10"/>
        <v>#DIV/0!</v>
      </c>
      <c r="J9" s="27">
        <f t="shared" si="5"/>
        <v>1.0151679306608881</v>
      </c>
      <c r="K9" s="20">
        <f t="shared" si="6"/>
        <v>0.92520365341890887</v>
      </c>
      <c r="L9" s="25">
        <f t="shared" si="7"/>
        <v>0.34313066809766563</v>
      </c>
      <c r="M9" s="28">
        <f t="shared" si="8"/>
        <v>0.52546045503791972</v>
      </c>
      <c r="N9" s="29">
        <f>N7</f>
        <v>56.538228155339809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0.63797542259189699</v>
      </c>
      <c r="C10" s="20">
        <f>B10/$B$6</f>
        <v>1.0161258119658119</v>
      </c>
      <c r="D10" s="25">
        <f t="shared" si="1"/>
        <v>0.69245183793936138</v>
      </c>
      <c r="E10" s="20">
        <f t="shared" si="2"/>
        <v>1.0853895203770445</v>
      </c>
      <c r="F10" s="25">
        <f t="shared" si="3"/>
        <v>0.76213920042929972</v>
      </c>
      <c r="G10" s="25">
        <f t="shared" si="4"/>
        <v>0.67635653340488333</v>
      </c>
      <c r="H10" s="26">
        <f t="shared" si="9"/>
        <v>0.97704682170542634</v>
      </c>
      <c r="I10" s="26" t="e">
        <f t="shared" si="10"/>
        <v>#DIV/0!</v>
      </c>
      <c r="J10" s="27">
        <f t="shared" si="5"/>
        <v>1.0601607984474632</v>
      </c>
      <c r="K10" s="20">
        <f t="shared" si="6"/>
        <v>0.97675606641123891</v>
      </c>
      <c r="L10" s="25">
        <f t="shared" si="7"/>
        <v>0.31659994633753685</v>
      </c>
      <c r="M10" s="28">
        <f t="shared" si="8"/>
        <v>0.49625727751594112</v>
      </c>
      <c r="N10" s="29">
        <f>N7</f>
        <v>56.538228155339809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0.96746050979339959</v>
      </c>
      <c r="C11" s="20">
        <f>B11/$B$6</f>
        <v>1.5409082564102565</v>
      </c>
      <c r="D11" s="25">
        <f t="shared" si="1"/>
        <v>0.96746050979339959</v>
      </c>
      <c r="E11" s="20">
        <f t="shared" si="2"/>
        <v>1</v>
      </c>
      <c r="F11" s="25">
        <f t="shared" si="3"/>
        <v>1.1284502012342366</v>
      </c>
      <c r="G11" s="25">
        <f t="shared" si="4"/>
        <v>0.84262689562650928</v>
      </c>
      <c r="H11" s="26">
        <f t="shared" si="9"/>
        <v>1.2172366046511627</v>
      </c>
      <c r="I11" s="26" t="e">
        <f t="shared" si="10"/>
        <v>#DIV/0!</v>
      </c>
      <c r="J11" s="27">
        <f t="shared" si="5"/>
        <v>0.87096774193548387</v>
      </c>
      <c r="K11" s="20">
        <f t="shared" si="6"/>
        <v>0.87096774193548387</v>
      </c>
      <c r="L11" s="25">
        <f t="shared" si="7"/>
        <v>0.41484341293265364</v>
      </c>
      <c r="M11" s="28">
        <f t="shared" si="8"/>
        <v>0.42879622344610541</v>
      </c>
      <c r="N11" s="29">
        <f>P6/P11</f>
        <v>26.274974267867968</v>
      </c>
      <c r="O11" s="9"/>
      <c r="P11" s="9">
        <f>7.0923/100</f>
        <v>7.0923E-2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1.2620647169305075</v>
      </c>
      <c r="E12" s="20" t="e">
        <f t="shared" si="2"/>
        <v>#DIV/0!</v>
      </c>
      <c r="F12" s="25">
        <f>F21*N12</f>
        <v>1.3137150523209016</v>
      </c>
      <c r="G12" s="25">
        <f>G21*N12</f>
        <v>1.1677467131741348</v>
      </c>
      <c r="H12" s="26">
        <f t="shared" si="9"/>
        <v>1.6868961240310079</v>
      </c>
      <c r="I12" s="26" t="e">
        <f t="shared" si="10"/>
        <v>#DIV/0!</v>
      </c>
      <c r="J12" s="27"/>
      <c r="K12" s="20">
        <f t="shared" si="6"/>
        <v>0.92526690391459054</v>
      </c>
      <c r="L12" s="25">
        <f>L21*$N$12</f>
        <v>0.56141668902602637</v>
      </c>
      <c r="M12" s="31">
        <f>L12/D12</f>
        <v>0.44483985765124551</v>
      </c>
      <c r="N12" s="29">
        <f>P13/P6</f>
        <v>1.1228333780520527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1.3451543869063591</v>
      </c>
      <c r="E13" s="20" t="e">
        <f t="shared" si="2"/>
        <v>#DIV/0!</v>
      </c>
      <c r="F13" s="25">
        <f>F22*N13</f>
        <v>1.3698567212235042</v>
      </c>
      <c r="G13" s="25">
        <f>G22*N13</f>
        <v>1.1071137107593241</v>
      </c>
      <c r="H13" s="26">
        <f t="shared" si="9"/>
        <v>1.5993072868217055</v>
      </c>
      <c r="I13" s="26" t="e">
        <f t="shared" si="10"/>
        <v>#DIV/0!</v>
      </c>
      <c r="J13" s="27"/>
      <c r="K13" s="20">
        <f t="shared" si="6"/>
        <v>0.82303839732888151</v>
      </c>
      <c r="L13" s="25">
        <f>L22*$N$12</f>
        <v>0.55131118862355788</v>
      </c>
      <c r="M13" s="31">
        <f>L13/D13</f>
        <v>0.40984974958263776</v>
      </c>
      <c r="N13" s="29">
        <f>P13/P6</f>
        <v>1.1228333780520527</v>
      </c>
      <c r="O13" s="9"/>
      <c r="P13" s="34">
        <v>2.0924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1.2483010464180309</v>
      </c>
      <c r="E14" s="20" t="e">
        <f t="shared" si="2"/>
        <v>#DIV/0!</v>
      </c>
      <c r="F14" s="25">
        <f>F23/N14</f>
        <v>1.3368901529380202</v>
      </c>
      <c r="G14" s="25">
        <f>G23/N14</f>
        <v>1.2026642339683393</v>
      </c>
      <c r="H14" s="26">
        <f t="shared" si="9"/>
        <v>1.737337054263566</v>
      </c>
      <c r="I14" s="26" t="e">
        <f t="shared" si="10"/>
        <v>#DIV/0!</v>
      </c>
      <c r="J14" s="27"/>
      <c r="K14" s="20">
        <f t="shared" si="6"/>
        <v>0.96344086021505371</v>
      </c>
      <c r="L14" s="25">
        <f>L23/N14</f>
        <v>0.57180241481083982</v>
      </c>
      <c r="M14" s="35">
        <f>L14/D14</f>
        <v>0.45806451612903215</v>
      </c>
      <c r="N14" s="36">
        <f>P6/P14</f>
        <v>3.7250629672570259</v>
      </c>
      <c r="O14" s="9"/>
      <c r="P14" s="37">
        <f>5.0026/10</f>
        <v>0.50026000000000004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0.65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36.950000000000003</v>
      </c>
      <c r="C16" s="45"/>
      <c r="D16" s="45">
        <v>39.99</v>
      </c>
      <c r="E16" s="45"/>
      <c r="F16" s="45">
        <v>45.29</v>
      </c>
      <c r="G16" s="45">
        <v>37.69</v>
      </c>
      <c r="H16" s="46"/>
      <c r="I16" s="46"/>
      <c r="J16" s="46"/>
      <c r="K16" s="47">
        <f t="shared" si="6"/>
        <v>0.94248562140535119</v>
      </c>
      <c r="L16" s="48">
        <v>16.61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36.07</v>
      </c>
      <c r="C17" s="50"/>
      <c r="D17" s="45">
        <v>39.090000000000003</v>
      </c>
      <c r="E17" s="45"/>
      <c r="F17" s="51">
        <v>42.6</v>
      </c>
      <c r="G17" s="45">
        <v>36.78</v>
      </c>
      <c r="H17" s="50"/>
      <c r="I17" s="50"/>
      <c r="J17" s="50"/>
      <c r="K17" s="52">
        <f t="shared" si="6"/>
        <v>0.94090560245587096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36.92</v>
      </c>
      <c r="C18" s="50"/>
      <c r="D18" s="45">
        <v>40.51</v>
      </c>
      <c r="E18" s="56"/>
      <c r="F18" s="45">
        <v>42.97</v>
      </c>
      <c r="G18" s="56">
        <v>37.479999999999997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36.07</v>
      </c>
      <c r="C19" s="50"/>
      <c r="D19" s="56">
        <v>39.15</v>
      </c>
      <c r="E19" s="59"/>
      <c r="F19" s="56">
        <v>43.09</v>
      </c>
      <c r="G19" s="56">
        <v>38.24</v>
      </c>
      <c r="H19" s="50"/>
      <c r="I19" s="50"/>
      <c r="J19" s="50"/>
      <c r="K19" s="52"/>
      <c r="L19" s="60">
        <v>17.899999999999999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25.42</v>
      </c>
      <c r="C20" s="46"/>
      <c r="D20" s="45">
        <v>25.42</v>
      </c>
      <c r="E20" s="51"/>
      <c r="F20" s="45">
        <v>29.65</v>
      </c>
      <c r="G20" s="62">
        <v>22.14</v>
      </c>
      <c r="H20" s="50"/>
      <c r="I20" s="50"/>
      <c r="J20" s="50"/>
      <c r="K20" s="52">
        <f>G20/D20</f>
        <v>0.87096774193548387</v>
      </c>
      <c r="L20" s="63">
        <v>10.9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1.1240000000000001</v>
      </c>
      <c r="E21" s="67"/>
      <c r="F21" s="67">
        <v>1.17</v>
      </c>
      <c r="G21" s="67">
        <v>1.04</v>
      </c>
      <c r="H21" s="50"/>
      <c r="I21" s="50"/>
      <c r="J21" s="50"/>
      <c r="K21" s="52">
        <f>G21/D21</f>
        <v>0.92526690391459065</v>
      </c>
      <c r="L21" s="68">
        <v>0.5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1.198</v>
      </c>
      <c r="E22" s="67"/>
      <c r="F22" s="67">
        <v>1.22</v>
      </c>
      <c r="G22" s="67">
        <v>0.98599999999999999</v>
      </c>
      <c r="H22" s="50"/>
      <c r="I22" s="50"/>
      <c r="J22" s="50"/>
      <c r="K22" s="52">
        <f>G22/D22</f>
        <v>0.82303839732888151</v>
      </c>
      <c r="L22" s="68">
        <v>0.49099999999999999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4.6500000000000004</v>
      </c>
      <c r="E23" s="76">
        <f>ROUND((34.45+33.3)/2,2)</f>
        <v>33.880000000000003</v>
      </c>
      <c r="F23" s="76">
        <v>4.9800000000000004</v>
      </c>
      <c r="G23" s="76">
        <v>4.4800000000000004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2.13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F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238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0.59825126553152319</v>
      </c>
      <c r="C6" s="20"/>
      <c r="D6" s="19">
        <f t="shared" ref="D6:D11" si="1">D15/N6</f>
        <v>0.63915733496957616</v>
      </c>
      <c r="E6" s="20">
        <f t="shared" ref="E6:E14" si="2">D6/B6</f>
        <v>1.0683760683760686</v>
      </c>
      <c r="F6" s="19">
        <f t="shared" ref="F6:F11" si="3">F15/N6</f>
        <v>0.69540318044689886</v>
      </c>
      <c r="G6" s="19">
        <f t="shared" ref="G6:G11" si="4">G15/N6</f>
        <v>0.65961036968860254</v>
      </c>
      <c r="H6" s="19"/>
      <c r="I6" s="19"/>
      <c r="J6" s="20">
        <f t="shared" ref="J6:J11" si="5">G6/B6</f>
        <v>1.1025641025641026</v>
      </c>
      <c r="K6" s="20">
        <f t="shared" ref="K6:K17" si="6">G6/D6</f>
        <v>1.0319999999999998</v>
      </c>
      <c r="L6" s="19">
        <f t="shared" ref="L6:L11" si="7">L15/N6</f>
        <v>0.33747507286393619</v>
      </c>
      <c r="M6" s="21">
        <f t="shared" ref="M6:M11" si="8">L6/B6</f>
        <v>0.5641025641025641</v>
      </c>
      <c r="N6" s="22">
        <f>P6</f>
        <v>1.9557</v>
      </c>
      <c r="O6" s="23" t="s">
        <v>17</v>
      </c>
      <c r="P6" s="9">
        <v>1.9557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0.62901230761364224</v>
      </c>
      <c r="C7" s="20">
        <f>B7/$B$6</f>
        <v>1.0514182649572652</v>
      </c>
      <c r="D7" s="25">
        <f t="shared" si="1"/>
        <v>0.68035340287365142</v>
      </c>
      <c r="E7" s="20">
        <f t="shared" si="2"/>
        <v>1.0816217658042144</v>
      </c>
      <c r="F7" s="25">
        <f t="shared" si="3"/>
        <v>0.75702948304954754</v>
      </c>
      <c r="G7" s="25">
        <f t="shared" si="4"/>
        <v>0.63505243646776099</v>
      </c>
      <c r="H7" s="26">
        <f t="shared" ref="H7:H14" si="9">G7/$G$6</f>
        <v>0.96276903100775213</v>
      </c>
      <c r="I7" s="26" t="e">
        <f t="shared" ref="I7:I14" si="10">G7/$G$5</f>
        <v>#DIV/0!</v>
      </c>
      <c r="J7" s="27">
        <f t="shared" si="5"/>
        <v>1.0096025606828487</v>
      </c>
      <c r="K7" s="20">
        <f t="shared" si="6"/>
        <v>0.93341553637484598</v>
      </c>
      <c r="L7" s="25">
        <f t="shared" si="7"/>
        <v>0.26777904586593038</v>
      </c>
      <c r="M7" s="28">
        <f t="shared" si="8"/>
        <v>0.425713523606295</v>
      </c>
      <c r="N7" s="29">
        <f>P6/P7</f>
        <v>59.601377502818998</v>
      </c>
      <c r="O7" s="9"/>
      <c r="P7" s="9">
        <f>3.2813/100</f>
        <v>3.2813000000000002E-2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0.61223417190775686</v>
      </c>
      <c r="C8" s="20">
        <f>B8/$B$6</f>
        <v>1.0233729658119659</v>
      </c>
      <c r="D8" s="25">
        <f t="shared" si="1"/>
        <v>0.662568579025413</v>
      </c>
      <c r="E8" s="20">
        <f t="shared" si="2"/>
        <v>1.0822143052891204</v>
      </c>
      <c r="F8" s="25">
        <f t="shared" si="3"/>
        <v>0.71474858107071648</v>
      </c>
      <c r="G8" s="25">
        <f t="shared" si="4"/>
        <v>0.62381108554481779</v>
      </c>
      <c r="H8" s="26">
        <f t="shared" si="9"/>
        <v>0.94572662015503894</v>
      </c>
      <c r="I8" s="26" t="e">
        <f t="shared" si="10"/>
        <v>#DIV/0!</v>
      </c>
      <c r="J8" s="27">
        <f t="shared" si="5"/>
        <v>1.0189092902164978</v>
      </c>
      <c r="K8" s="20">
        <f t="shared" si="6"/>
        <v>0.9415041782729805</v>
      </c>
      <c r="L8" s="25">
        <f t="shared" si="7"/>
        <v>0.32549583269417603</v>
      </c>
      <c r="M8" s="28">
        <f t="shared" si="8"/>
        <v>0.53165250753631133</v>
      </c>
      <c r="N8" s="29">
        <f>N7</f>
        <v>59.601377502818998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0.6249855550442297</v>
      </c>
      <c r="C9" s="20">
        <f>B9/$B$6</f>
        <v>1.0446873931623932</v>
      </c>
      <c r="D9" s="25">
        <f t="shared" si="1"/>
        <v>0.67968227744541598</v>
      </c>
      <c r="E9" s="20">
        <f t="shared" si="2"/>
        <v>1.08751677852349</v>
      </c>
      <c r="F9" s="25">
        <f t="shared" si="3"/>
        <v>0.72095649128189399</v>
      </c>
      <c r="G9" s="25">
        <f t="shared" si="4"/>
        <v>0.62884452625658338</v>
      </c>
      <c r="H9" s="26">
        <f t="shared" si="9"/>
        <v>0.95335755038759695</v>
      </c>
      <c r="I9" s="26" t="e">
        <f t="shared" si="10"/>
        <v>#DIV/0!</v>
      </c>
      <c r="J9" s="27">
        <f t="shared" si="5"/>
        <v>1.0061744966442954</v>
      </c>
      <c r="K9" s="20">
        <f t="shared" si="6"/>
        <v>0.92520365341890898</v>
      </c>
      <c r="L9" s="25">
        <f t="shared" si="7"/>
        <v>0.32549583269417603</v>
      </c>
      <c r="M9" s="28">
        <f t="shared" si="8"/>
        <v>0.52080536912751685</v>
      </c>
      <c r="N9" s="29">
        <f>N7</f>
        <v>59.601377502818998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0.61139526512246256</v>
      </c>
      <c r="C10" s="20">
        <f>B10/$B$6</f>
        <v>1.021970700854701</v>
      </c>
      <c r="D10" s="25">
        <f t="shared" si="1"/>
        <v>0.66021964002658906</v>
      </c>
      <c r="E10" s="20">
        <f t="shared" si="2"/>
        <v>1.0798572996706917</v>
      </c>
      <c r="F10" s="25">
        <f t="shared" si="3"/>
        <v>0.72313764892365917</v>
      </c>
      <c r="G10" s="25">
        <f t="shared" si="4"/>
        <v>0.64461597382011571</v>
      </c>
      <c r="H10" s="26">
        <f t="shared" si="9"/>
        <v>0.97726779844961265</v>
      </c>
      <c r="I10" s="26" t="e">
        <f t="shared" si="10"/>
        <v>#DIV/0!</v>
      </c>
      <c r="J10" s="27">
        <f t="shared" si="5"/>
        <v>1.0543358946212955</v>
      </c>
      <c r="K10" s="20">
        <f t="shared" si="6"/>
        <v>0.97636594663278276</v>
      </c>
      <c r="L10" s="25">
        <f t="shared" si="7"/>
        <v>0.30871769698829066</v>
      </c>
      <c r="M10" s="28">
        <f t="shared" si="8"/>
        <v>0.50493962678375415</v>
      </c>
      <c r="N10" s="29">
        <f>N7</f>
        <v>59.601377502818998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0.92354744081403084</v>
      </c>
      <c r="C11" s="20">
        <f>B11/$B$6</f>
        <v>1.5437450683760685</v>
      </c>
      <c r="D11" s="25">
        <f t="shared" si="1"/>
        <v>0.95458783197831987</v>
      </c>
      <c r="E11" s="20">
        <f t="shared" si="2"/>
        <v>1.0336099585062242</v>
      </c>
      <c r="F11" s="25">
        <f t="shared" si="3"/>
        <v>1.117070867208672</v>
      </c>
      <c r="G11" s="25">
        <f t="shared" si="4"/>
        <v>0.86031701436825692</v>
      </c>
      <c r="H11" s="26">
        <f t="shared" si="9"/>
        <v>1.3042806085271319</v>
      </c>
      <c r="I11" s="26" t="e">
        <f t="shared" si="10"/>
        <v>#DIV/0!</v>
      </c>
      <c r="J11" s="27">
        <f t="shared" si="5"/>
        <v>0.93153526970954359</v>
      </c>
      <c r="K11" s="20">
        <f t="shared" si="6"/>
        <v>0.90124448012846237</v>
      </c>
      <c r="L11" s="25">
        <f t="shared" si="7"/>
        <v>0.39547757631538583</v>
      </c>
      <c r="M11" s="28">
        <f t="shared" si="8"/>
        <v>0.4282157676348548</v>
      </c>
      <c r="N11" s="29">
        <f>P6/P11</f>
        <v>26.095031976654973</v>
      </c>
      <c r="O11" s="9"/>
      <c r="P11" s="9">
        <f>7.49453/100</f>
        <v>7.4945300000000006E-2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1.242574116684563</v>
      </c>
      <c r="E12" s="20" t="e">
        <f t="shared" si="2"/>
        <v>#DIV/0!</v>
      </c>
      <c r="F12" s="25">
        <f>F21*N12</f>
        <v>1.3061793731144855</v>
      </c>
      <c r="G12" s="25">
        <f>G21*N12</f>
        <v>1.0949190571150993</v>
      </c>
      <c r="H12" s="26">
        <f t="shared" si="9"/>
        <v>1.6599482170542634</v>
      </c>
      <c r="I12" s="26" t="e">
        <f t="shared" si="10"/>
        <v>#DIV/0!</v>
      </c>
      <c r="J12" s="27"/>
      <c r="K12" s="20">
        <f t="shared" si="6"/>
        <v>0.88117001828153563</v>
      </c>
      <c r="L12" s="25">
        <f>L21*$N$12</f>
        <v>0.56790407526716769</v>
      </c>
      <c r="M12" s="31">
        <f>L12/D12</f>
        <v>0.45703839122486284</v>
      </c>
      <c r="N12" s="29">
        <f>P13/P6</f>
        <v>1.1358081505343354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1.2187221455233419</v>
      </c>
      <c r="E13" s="20" t="e">
        <f t="shared" si="2"/>
        <v>#DIV/0!</v>
      </c>
      <c r="F13" s="25">
        <f>F22*N13</f>
        <v>1.3175374546198289</v>
      </c>
      <c r="G13" s="25">
        <f>G22*N13</f>
        <v>1.0778819348570843</v>
      </c>
      <c r="H13" s="26">
        <f t="shared" si="9"/>
        <v>1.6341191472868215</v>
      </c>
      <c r="I13" s="26" t="e">
        <f t="shared" si="10"/>
        <v>#DIV/0!</v>
      </c>
      <c r="J13" s="27"/>
      <c r="K13" s="20">
        <f t="shared" si="6"/>
        <v>0.88443616029822925</v>
      </c>
      <c r="L13" s="25">
        <f>L22*$N$12</f>
        <v>0.54973114485861829</v>
      </c>
      <c r="M13" s="31">
        <f>L13/D13</f>
        <v>0.45107176141658895</v>
      </c>
      <c r="N13" s="29">
        <f>P13/P6</f>
        <v>1.1358081505343354</v>
      </c>
      <c r="O13" s="9"/>
      <c r="P13" s="34">
        <v>2.2212999999999998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1.1832962110753185</v>
      </c>
      <c r="E14" s="20" t="e">
        <f t="shared" si="2"/>
        <v>#DIV/0!</v>
      </c>
      <c r="F14" s="25">
        <f>F23/N14</f>
        <v>1.2765740655519764</v>
      </c>
      <c r="G14" s="25">
        <f>G23/N14</f>
        <v>1.1273294983893238</v>
      </c>
      <c r="H14" s="26">
        <f t="shared" si="9"/>
        <v>1.7090839534883726</v>
      </c>
      <c r="I14" s="26" t="e">
        <f t="shared" si="10"/>
        <v>#DIV/0!</v>
      </c>
      <c r="J14" s="27"/>
      <c r="K14" s="20">
        <f t="shared" si="6"/>
        <v>0.95270270270270285</v>
      </c>
      <c r="L14" s="25">
        <f>L23/N14</f>
        <v>0.51969090351280878</v>
      </c>
      <c r="M14" s="35">
        <f>L14/D14</f>
        <v>0.4391891891891892</v>
      </c>
      <c r="N14" s="36">
        <f>P6/P14</f>
        <v>3.7522303869841327</v>
      </c>
      <c r="O14" s="9"/>
      <c r="P14" s="37">
        <f>5.2121/10</f>
        <v>0.52121000000000006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37.49</v>
      </c>
      <c r="C16" s="45"/>
      <c r="D16" s="45">
        <v>40.549999999999997</v>
      </c>
      <c r="E16" s="45"/>
      <c r="F16" s="45">
        <v>45.12</v>
      </c>
      <c r="G16" s="45">
        <v>37.85</v>
      </c>
      <c r="H16" s="46"/>
      <c r="I16" s="46"/>
      <c r="J16" s="46"/>
      <c r="K16" s="47">
        <f t="shared" si="6"/>
        <v>0.93341553637484598</v>
      </c>
      <c r="L16" s="48">
        <v>15.96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36.49</v>
      </c>
      <c r="C17" s="50"/>
      <c r="D17" s="45">
        <v>39.49</v>
      </c>
      <c r="E17" s="45"/>
      <c r="F17" s="51">
        <v>42.6</v>
      </c>
      <c r="G17" s="45">
        <v>37.18</v>
      </c>
      <c r="H17" s="50"/>
      <c r="I17" s="50"/>
      <c r="J17" s="50"/>
      <c r="K17" s="52">
        <f t="shared" si="6"/>
        <v>0.9415041782729805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37.25</v>
      </c>
      <c r="C18" s="50"/>
      <c r="D18" s="45">
        <v>40.51</v>
      </c>
      <c r="E18" s="56"/>
      <c r="F18" s="45">
        <v>42.97</v>
      </c>
      <c r="G18" s="56">
        <v>37.479999999999997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36.44</v>
      </c>
      <c r="C19" s="50"/>
      <c r="D19" s="56">
        <v>39.35</v>
      </c>
      <c r="E19" s="59"/>
      <c r="F19" s="56">
        <v>43.1</v>
      </c>
      <c r="G19" s="56">
        <v>38.42</v>
      </c>
      <c r="H19" s="50"/>
      <c r="I19" s="50"/>
      <c r="J19" s="50"/>
      <c r="K19" s="52"/>
      <c r="L19" s="60">
        <v>18.399999999999999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24.1</v>
      </c>
      <c r="C20" s="46"/>
      <c r="D20" s="45">
        <v>24.91</v>
      </c>
      <c r="E20" s="51"/>
      <c r="F20" s="45">
        <v>29.15</v>
      </c>
      <c r="G20" s="62">
        <v>22.45</v>
      </c>
      <c r="H20" s="50"/>
      <c r="I20" s="50"/>
      <c r="J20" s="50"/>
      <c r="K20" s="52">
        <f>G20/D20</f>
        <v>0.90124448012846248</v>
      </c>
      <c r="L20" s="63">
        <v>10.32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1.0940000000000001</v>
      </c>
      <c r="E21" s="67"/>
      <c r="F21" s="67">
        <v>1.1499999999999999</v>
      </c>
      <c r="G21" s="67">
        <v>0.96399999999999997</v>
      </c>
      <c r="H21" s="50"/>
      <c r="I21" s="50"/>
      <c r="J21" s="50"/>
      <c r="K21" s="52">
        <f>G21/D21</f>
        <v>0.88117001828153552</v>
      </c>
      <c r="L21" s="68">
        <v>0.5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1.073</v>
      </c>
      <c r="E22" s="67"/>
      <c r="F22" s="67">
        <v>1.1599999999999999</v>
      </c>
      <c r="G22" s="67">
        <v>0.94899999999999995</v>
      </c>
      <c r="H22" s="50"/>
      <c r="I22" s="50"/>
      <c r="J22" s="50"/>
      <c r="K22" s="52">
        <f>G22/D22</f>
        <v>0.88443616029822925</v>
      </c>
      <c r="L22" s="68">
        <v>0.48399999999999999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4.4400000000000004</v>
      </c>
      <c r="E23" s="76">
        <f>ROUND((34.45+33.3)/2,2)</f>
        <v>33.880000000000003</v>
      </c>
      <c r="F23" s="76">
        <v>4.79</v>
      </c>
      <c r="G23" s="76">
        <v>4.2300000000000004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1.95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239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0.60015388561169525</v>
      </c>
      <c r="C6" s="20"/>
      <c r="D6" s="19">
        <f t="shared" ref="D6:D11" si="1">D15/N6</f>
        <v>0.64119004873044372</v>
      </c>
      <c r="E6" s="20">
        <f t="shared" ref="E6:E14" si="2">D6/B6</f>
        <v>1.0683760683760686</v>
      </c>
      <c r="F6" s="19">
        <f t="shared" ref="F6:F11" si="3">F15/N6</f>
        <v>0.69761477301872277</v>
      </c>
      <c r="G6" s="19">
        <f t="shared" ref="G6:G11" si="4">G15/N6</f>
        <v>0.6617081302898179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0.33854834572967429</v>
      </c>
      <c r="M6" s="21">
        <f t="shared" ref="M6:M11" si="8">L6/B6</f>
        <v>0.56410256410256421</v>
      </c>
      <c r="N6" s="22">
        <f>P6</f>
        <v>1.9495</v>
      </c>
      <c r="O6" s="23" t="s">
        <v>17</v>
      </c>
      <c r="P6" s="9">
        <v>1.9495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0.62240699153629142</v>
      </c>
      <c r="C7" s="20">
        <f>B7/$B$6</f>
        <v>1.0370790000000003</v>
      </c>
      <c r="D7" s="25">
        <f t="shared" si="1"/>
        <v>0.67298896127212104</v>
      </c>
      <c r="E7" s="20">
        <f t="shared" si="2"/>
        <v>1.0812683186783905</v>
      </c>
      <c r="F7" s="25">
        <f t="shared" si="3"/>
        <v>0.74877899461400355</v>
      </c>
      <c r="G7" s="25">
        <f t="shared" si="4"/>
        <v>0.62920653500897661</v>
      </c>
      <c r="H7" s="26">
        <f t="shared" ref="H7:H14" si="9">G7/$G$6</f>
        <v>0.95088227906976741</v>
      </c>
      <c r="I7" s="26" t="e">
        <f t="shared" ref="I7:I14" si="10">G7/$G$5</f>
        <v>#DIV/0!</v>
      </c>
      <c r="J7" s="27">
        <f t="shared" si="5"/>
        <v>1.0109245936584064</v>
      </c>
      <c r="K7" s="20">
        <f t="shared" si="6"/>
        <v>0.93494332183341544</v>
      </c>
      <c r="L7" s="25">
        <f t="shared" si="7"/>
        <v>0.26567972300589893</v>
      </c>
      <c r="M7" s="28">
        <f t="shared" si="8"/>
        <v>0.42685851318944834</v>
      </c>
      <c r="N7" s="29">
        <f>P6/P7</f>
        <v>60.298165847019888</v>
      </c>
      <c r="O7" s="9"/>
      <c r="P7" s="9">
        <f>3.2331/100</f>
        <v>3.2330999999999999E-2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0.60300341626057963</v>
      </c>
      <c r="C8" s="20">
        <f>B8/$B$6</f>
        <v>1.004748</v>
      </c>
      <c r="D8" s="25">
        <f t="shared" si="1"/>
        <v>0.65259033085406515</v>
      </c>
      <c r="E8" s="20">
        <f t="shared" si="2"/>
        <v>1.0822332233223322</v>
      </c>
      <c r="F8" s="25">
        <f t="shared" si="3"/>
        <v>0.71478127725057705</v>
      </c>
      <c r="G8" s="25">
        <f t="shared" si="4"/>
        <v>0.6124564401128495</v>
      </c>
      <c r="H8" s="26">
        <f t="shared" si="9"/>
        <v>0.92556886046511633</v>
      </c>
      <c r="I8" s="26" t="e">
        <f t="shared" si="10"/>
        <v>#DIV/0!</v>
      </c>
      <c r="J8" s="27">
        <f t="shared" si="5"/>
        <v>1.0156765676567658</v>
      </c>
      <c r="K8" s="20">
        <f t="shared" si="6"/>
        <v>0.93850063532401529</v>
      </c>
      <c r="L8" s="25">
        <f t="shared" si="7"/>
        <v>0.2487637855860477</v>
      </c>
      <c r="M8" s="28">
        <f t="shared" si="8"/>
        <v>0.41254125412541254</v>
      </c>
      <c r="N8" s="29">
        <f>N7</f>
        <v>60.298165847019888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0.61776340087201842</v>
      </c>
      <c r="C9" s="20">
        <f>B9/$B$6</f>
        <v>1.0293416666666666</v>
      </c>
      <c r="D9" s="25">
        <f t="shared" si="1"/>
        <v>0.66751615798922803</v>
      </c>
      <c r="E9" s="20">
        <f t="shared" si="2"/>
        <v>1.080536912751678</v>
      </c>
      <c r="F9" s="25">
        <f t="shared" si="3"/>
        <v>0.71312285201333681</v>
      </c>
      <c r="G9" s="25">
        <f t="shared" si="4"/>
        <v>0.62290451910746347</v>
      </c>
      <c r="H9" s="26">
        <f t="shared" si="9"/>
        <v>0.94135841860465119</v>
      </c>
      <c r="I9" s="26" t="e">
        <f t="shared" si="10"/>
        <v>#DIV/0!</v>
      </c>
      <c r="J9" s="27">
        <f t="shared" si="5"/>
        <v>1.0083221476510069</v>
      </c>
      <c r="K9" s="20">
        <f t="shared" si="6"/>
        <v>0.93316770186335407</v>
      </c>
      <c r="L9" s="25">
        <f t="shared" si="7"/>
        <v>0.32173449602462167</v>
      </c>
      <c r="M9" s="28">
        <f t="shared" si="8"/>
        <v>0.52080536912751674</v>
      </c>
      <c r="N9" s="29">
        <f>N7</f>
        <v>60.298165847019888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0.61378318030264167</v>
      </c>
      <c r="C10" s="20">
        <f>B10/$B$6</f>
        <v>1.0227096666666666</v>
      </c>
      <c r="D10" s="25">
        <f t="shared" si="1"/>
        <v>0.66071661451654273</v>
      </c>
      <c r="E10" s="20">
        <f t="shared" si="2"/>
        <v>1.0764658200486357</v>
      </c>
      <c r="F10" s="25">
        <f t="shared" si="3"/>
        <v>0.71793228520133368</v>
      </c>
      <c r="G10" s="25">
        <f t="shared" si="4"/>
        <v>0.63915708643241853</v>
      </c>
      <c r="H10" s="26">
        <f t="shared" si="9"/>
        <v>0.96591995348837201</v>
      </c>
      <c r="I10" s="26" t="e">
        <f t="shared" si="10"/>
        <v>#DIV/0!</v>
      </c>
      <c r="J10" s="27">
        <f t="shared" si="5"/>
        <v>1.041340178330181</v>
      </c>
      <c r="K10" s="20">
        <f t="shared" si="6"/>
        <v>0.96736947791164651</v>
      </c>
      <c r="L10" s="25">
        <f t="shared" si="7"/>
        <v>0.29403879456270837</v>
      </c>
      <c r="M10" s="28">
        <f t="shared" si="8"/>
        <v>0.47905971359092137</v>
      </c>
      <c r="N10" s="29">
        <f>N7</f>
        <v>60.298165847019888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0.93439569120287258</v>
      </c>
      <c r="C11" s="20">
        <f>B11/$B$6</f>
        <v>1.5569268376068379</v>
      </c>
      <c r="D11" s="25">
        <f t="shared" si="1"/>
        <v>0.96420035906642731</v>
      </c>
      <c r="E11" s="20">
        <f t="shared" si="2"/>
        <v>1.031897265948633</v>
      </c>
      <c r="F11" s="25">
        <f t="shared" si="3"/>
        <v>1.1089658886894076</v>
      </c>
      <c r="G11" s="25">
        <f t="shared" si="4"/>
        <v>0.85930341113105924</v>
      </c>
      <c r="H11" s="26">
        <f t="shared" si="9"/>
        <v>1.2986139534883721</v>
      </c>
      <c r="I11" s="26" t="e">
        <f t="shared" si="10"/>
        <v>#DIV/0!</v>
      </c>
      <c r="J11" s="27">
        <f t="shared" si="5"/>
        <v>0.91963545981772987</v>
      </c>
      <c r="K11" s="20">
        <f t="shared" si="6"/>
        <v>0.8912083500602167</v>
      </c>
      <c r="L11" s="25">
        <f t="shared" si="7"/>
        <v>0.41881364452423703</v>
      </c>
      <c r="M11" s="28">
        <f t="shared" si="8"/>
        <v>0.44821872410936209</v>
      </c>
      <c r="N11" s="29">
        <f>P6/P11</f>
        <v>25.834879406307977</v>
      </c>
      <c r="O11" s="9"/>
      <c r="P11" s="9">
        <f>7.546/100</f>
        <v>7.5459999999999999E-2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1.2781191074634524</v>
      </c>
      <c r="E12" s="20" t="e">
        <f t="shared" si="2"/>
        <v>#DIV/0!</v>
      </c>
      <c r="F12" s="25">
        <f>F21*N12</f>
        <v>1.3434504744806361</v>
      </c>
      <c r="G12" s="25">
        <f>G21*N12</f>
        <v>1.1213238266222108</v>
      </c>
      <c r="H12" s="26">
        <f t="shared" si="9"/>
        <v>1.6945897674418604</v>
      </c>
      <c r="I12" s="26" t="e">
        <f t="shared" si="10"/>
        <v>#DIV/0!</v>
      </c>
      <c r="J12" s="27"/>
      <c r="K12" s="20">
        <f t="shared" si="6"/>
        <v>0.87732342007434927</v>
      </c>
      <c r="L12" s="25">
        <f>L21*$N$12</f>
        <v>0.58798230315465505</v>
      </c>
      <c r="M12" s="31">
        <f>L12/D12</f>
        <v>0.46003717472118955</v>
      </c>
      <c r="N12" s="29">
        <f>P13/P6</f>
        <v>1.1878430366760708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1.3648316491408055</v>
      </c>
      <c r="E13" s="20" t="e">
        <f t="shared" si="2"/>
        <v>#DIV/0!</v>
      </c>
      <c r="F13" s="25">
        <f>F22*N13</f>
        <v>1.5180634008720186</v>
      </c>
      <c r="G13" s="25">
        <f>G22*N13</f>
        <v>1.2341689151064374</v>
      </c>
      <c r="H13" s="26">
        <f t="shared" si="9"/>
        <v>1.8651258139534883</v>
      </c>
      <c r="I13" s="26" t="e">
        <f t="shared" si="10"/>
        <v>#DIV/0!</v>
      </c>
      <c r="J13" s="27"/>
      <c r="K13" s="20">
        <f t="shared" si="6"/>
        <v>0.90426457789382053</v>
      </c>
      <c r="L13" s="25">
        <f>L22*$N$12</f>
        <v>0.64975014106181084</v>
      </c>
      <c r="M13" s="31">
        <f>L13/D13</f>
        <v>0.47606614447345524</v>
      </c>
      <c r="N13" s="29">
        <f>P13/P6</f>
        <v>1.1878430366760708</v>
      </c>
      <c r="O13" s="9"/>
      <c r="P13" s="34">
        <v>2.3157000000000001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1.208536342651962</v>
      </c>
      <c r="E14" s="20" t="e">
        <f t="shared" si="2"/>
        <v>#DIV/0!</v>
      </c>
      <c r="F14" s="25">
        <f>F23/N14</f>
        <v>1.3064501667094126</v>
      </c>
      <c r="G14" s="25">
        <f>G23/N14</f>
        <v>1.1497880482174916</v>
      </c>
      <c r="H14" s="26">
        <f t="shared" si="9"/>
        <v>1.7376060465116279</v>
      </c>
      <c r="I14" s="26" t="e">
        <f t="shared" si="10"/>
        <v>#DIV/0!</v>
      </c>
      <c r="J14" s="27"/>
      <c r="K14" s="20">
        <f t="shared" si="6"/>
        <v>0.95138888888888884</v>
      </c>
      <c r="L14" s="25">
        <f>L23/N14</f>
        <v>0.5175444985893819</v>
      </c>
      <c r="M14" s="35">
        <f>L14/D14</f>
        <v>0.42824074074074076</v>
      </c>
      <c r="N14" s="36">
        <f>P6/P14</f>
        <v>3.5745718581539481</v>
      </c>
      <c r="O14" s="9"/>
      <c r="P14" s="37">
        <f>5.4538/10</f>
        <v>0.54537999999999998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37.53</v>
      </c>
      <c r="C16" s="45"/>
      <c r="D16" s="45">
        <v>40.58</v>
      </c>
      <c r="E16" s="45"/>
      <c r="F16" s="45">
        <v>45.15</v>
      </c>
      <c r="G16" s="45">
        <v>37.94</v>
      </c>
      <c r="H16" s="46"/>
      <c r="I16" s="46"/>
      <c r="J16" s="46"/>
      <c r="K16" s="47">
        <f t="shared" si="6"/>
        <v>0.93494332183341544</v>
      </c>
      <c r="L16" s="48">
        <v>16.02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36.36</v>
      </c>
      <c r="C17" s="50"/>
      <c r="D17" s="45">
        <v>39.35</v>
      </c>
      <c r="E17" s="45"/>
      <c r="F17" s="51">
        <v>43.1</v>
      </c>
      <c r="G17" s="45">
        <v>36.93</v>
      </c>
      <c r="H17" s="50"/>
      <c r="I17" s="50"/>
      <c r="J17" s="50"/>
      <c r="K17" s="52">
        <f t="shared" si="6"/>
        <v>0.93850063532401518</v>
      </c>
      <c r="L17" s="53">
        <v>15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37.25</v>
      </c>
      <c r="C18" s="50"/>
      <c r="D18" s="45">
        <v>40.25</v>
      </c>
      <c r="E18" s="56"/>
      <c r="F18" s="45">
        <v>43</v>
      </c>
      <c r="G18" s="56">
        <v>37.56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37.01</v>
      </c>
      <c r="C19" s="50"/>
      <c r="D19" s="56">
        <v>39.840000000000003</v>
      </c>
      <c r="E19" s="59"/>
      <c r="F19" s="56">
        <v>43.29</v>
      </c>
      <c r="G19" s="56">
        <v>38.54</v>
      </c>
      <c r="H19" s="50"/>
      <c r="I19" s="50"/>
      <c r="J19" s="50"/>
      <c r="K19" s="52"/>
      <c r="L19" s="60">
        <v>17.73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24.14</v>
      </c>
      <c r="C20" s="46"/>
      <c r="D20" s="45">
        <v>24.91</v>
      </c>
      <c r="E20" s="51"/>
      <c r="F20" s="45">
        <v>28.65</v>
      </c>
      <c r="G20" s="62">
        <v>22.2</v>
      </c>
      <c r="H20" s="50"/>
      <c r="I20" s="50"/>
      <c r="J20" s="50"/>
      <c r="K20" s="52">
        <f>G20/D20</f>
        <v>0.8912083500602167</v>
      </c>
      <c r="L20" s="63">
        <v>10.82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1.0760000000000001</v>
      </c>
      <c r="E21" s="67"/>
      <c r="F21" s="67">
        <v>1.131</v>
      </c>
      <c r="G21" s="67">
        <v>0.94399999999999995</v>
      </c>
      <c r="H21" s="50"/>
      <c r="I21" s="50"/>
      <c r="J21" s="50"/>
      <c r="K21" s="52">
        <f>G21/D21</f>
        <v>0.87732342007434938</v>
      </c>
      <c r="L21" s="68">
        <v>0.495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1.149</v>
      </c>
      <c r="E22" s="67"/>
      <c r="F22" s="67">
        <v>1.278</v>
      </c>
      <c r="G22" s="67">
        <v>1.0389999999999999</v>
      </c>
      <c r="H22" s="50"/>
      <c r="I22" s="50"/>
      <c r="J22" s="50"/>
      <c r="K22" s="52">
        <f>G22/D22</f>
        <v>0.90426457789382064</v>
      </c>
      <c r="L22" s="68">
        <v>0.54700000000000004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4.32</v>
      </c>
      <c r="E23" s="76">
        <f>ROUND((34.45+33.3)/2,2)</f>
        <v>33.880000000000003</v>
      </c>
      <c r="F23" s="76">
        <v>4.67</v>
      </c>
      <c r="G23" s="76">
        <v>4.1100000000000003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1.85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240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0.60512024825446076</v>
      </c>
      <c r="C6" s="20"/>
      <c r="D6" s="19">
        <f t="shared" ref="D6:D11" si="1">D15/N6</f>
        <v>0.64649599172485128</v>
      </c>
      <c r="E6" s="20">
        <f t="shared" ref="E6:E14" si="2">D6/B6</f>
        <v>1.0683760683760684</v>
      </c>
      <c r="F6" s="19">
        <f t="shared" ref="F6:F11" si="3">F15/N6</f>
        <v>0.70338763899663825</v>
      </c>
      <c r="G6" s="19">
        <f t="shared" ref="G6:G11" si="4">G15/N6</f>
        <v>0.66718386346004654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0.3413498836307215</v>
      </c>
      <c r="M6" s="21">
        <f t="shared" ref="M6:M11" si="8">L6/B6</f>
        <v>0.56410256410256421</v>
      </c>
      <c r="N6" s="22">
        <f>P6</f>
        <v>1.9335</v>
      </c>
      <c r="O6" s="23" t="s">
        <v>17</v>
      </c>
      <c r="P6" s="9">
        <v>1.9335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0.63939347297646754</v>
      </c>
      <c r="C7" s="20">
        <f>B7/$B$6</f>
        <v>1.0566387008547009</v>
      </c>
      <c r="D7" s="25">
        <f t="shared" si="1"/>
        <v>0.69049044737522636</v>
      </c>
      <c r="E7" s="20">
        <f t="shared" si="2"/>
        <v>1.0799147575919021</v>
      </c>
      <c r="F7" s="25">
        <f t="shared" si="3"/>
        <v>0.77003140418929406</v>
      </c>
      <c r="G7" s="25">
        <f t="shared" si="4"/>
        <v>0.64654704939229379</v>
      </c>
      <c r="H7" s="26">
        <f t="shared" ref="H7:H14" si="9">G7/$G$6</f>
        <v>0.96906877519379853</v>
      </c>
      <c r="I7" s="26" t="e">
        <f t="shared" ref="I7:I14" si="10">G7/$G$5</f>
        <v>#DIV/0!</v>
      </c>
      <c r="J7" s="27">
        <f t="shared" si="5"/>
        <v>1.0111880660628663</v>
      </c>
      <c r="K7" s="20">
        <f t="shared" si="6"/>
        <v>0.93635915145535265</v>
      </c>
      <c r="L7" s="25">
        <f t="shared" si="7"/>
        <v>0.27268752004137581</v>
      </c>
      <c r="M7" s="28">
        <f t="shared" si="8"/>
        <v>0.4264784230154503</v>
      </c>
      <c r="N7" s="29">
        <f>P6/P7</f>
        <v>58.711891169682978</v>
      </c>
      <c r="O7" s="9"/>
      <c r="P7" s="9">
        <f>3.2932/100</f>
        <v>3.2932000000000003E-2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0.6037959141453324</v>
      </c>
      <c r="C8" s="20">
        <f>B8/$B$6</f>
        <v>0.99781145299145324</v>
      </c>
      <c r="D8" s="25">
        <f t="shared" si="1"/>
        <v>0.65318965606413248</v>
      </c>
      <c r="E8" s="20">
        <f t="shared" si="2"/>
        <v>1.0818053596614949</v>
      </c>
      <c r="F8" s="25">
        <f t="shared" si="3"/>
        <v>0.73409319886216717</v>
      </c>
      <c r="G8" s="25">
        <f t="shared" si="4"/>
        <v>0.60124106542539435</v>
      </c>
      <c r="H8" s="26">
        <f t="shared" si="9"/>
        <v>0.90116248062015503</v>
      </c>
      <c r="I8" s="26" t="e">
        <f t="shared" si="10"/>
        <v>#DIV/0!</v>
      </c>
      <c r="J8" s="27">
        <f t="shared" si="5"/>
        <v>0.99576868829337073</v>
      </c>
      <c r="K8" s="20">
        <f t="shared" si="6"/>
        <v>0.92046936114732714</v>
      </c>
      <c r="L8" s="25">
        <f t="shared" si="7"/>
        <v>0.29295598655288341</v>
      </c>
      <c r="M8" s="28">
        <f t="shared" si="8"/>
        <v>0.48519040902679827</v>
      </c>
      <c r="N8" s="29">
        <f>N7</f>
        <v>58.711891169682978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0.62849278510473239</v>
      </c>
      <c r="C9" s="20">
        <f>B9/$B$6</f>
        <v>1.0386246153846155</v>
      </c>
      <c r="D9" s="25">
        <f t="shared" si="1"/>
        <v>0.6795897595034911</v>
      </c>
      <c r="E9" s="20">
        <f t="shared" si="2"/>
        <v>1.0813008130081301</v>
      </c>
      <c r="F9" s="25">
        <f t="shared" si="3"/>
        <v>0.73238996638220843</v>
      </c>
      <c r="G9" s="25">
        <f t="shared" si="4"/>
        <v>0.63275086630462896</v>
      </c>
      <c r="H9" s="26">
        <f t="shared" si="9"/>
        <v>0.94839054263565903</v>
      </c>
      <c r="I9" s="26" t="e">
        <f t="shared" si="10"/>
        <v>#DIV/0!</v>
      </c>
      <c r="J9" s="27">
        <f t="shared" si="5"/>
        <v>1.0067750677506775</v>
      </c>
      <c r="K9" s="20">
        <f t="shared" si="6"/>
        <v>0.93107769423558906</v>
      </c>
      <c r="L9" s="25">
        <f t="shared" si="7"/>
        <v>0.3304271011119731</v>
      </c>
      <c r="M9" s="28">
        <f t="shared" si="8"/>
        <v>0.5257452574525745</v>
      </c>
      <c r="N9" s="29">
        <f>N7</f>
        <v>58.711891169682978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0.62338308766485651</v>
      </c>
      <c r="C10" s="20">
        <f>B10/$B$6</f>
        <v>1.030180512820513</v>
      </c>
      <c r="D10" s="25">
        <f t="shared" si="1"/>
        <v>0.67277682958365659</v>
      </c>
      <c r="E10" s="20">
        <f t="shared" si="2"/>
        <v>1.0792349726775956</v>
      </c>
      <c r="F10" s="25">
        <f t="shared" si="3"/>
        <v>0.74073580553400575</v>
      </c>
      <c r="G10" s="25">
        <f t="shared" si="4"/>
        <v>0.65574450478407043</v>
      </c>
      <c r="H10" s="26">
        <f t="shared" si="9"/>
        <v>0.98285426356589156</v>
      </c>
      <c r="I10" s="26" t="e">
        <f t="shared" si="10"/>
        <v>#DIV/0!</v>
      </c>
      <c r="J10" s="27">
        <f t="shared" si="5"/>
        <v>1.0519125683060111</v>
      </c>
      <c r="K10" s="20">
        <f t="shared" si="6"/>
        <v>0.97468354430379756</v>
      </c>
      <c r="L10" s="25">
        <f t="shared" si="7"/>
        <v>0.30147214895267649</v>
      </c>
      <c r="M10" s="28">
        <f t="shared" si="8"/>
        <v>0.48360655737704916</v>
      </c>
      <c r="N10" s="29">
        <f>N7</f>
        <v>58.711891169682978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0.94315173519524176</v>
      </c>
      <c r="C11" s="20">
        <f>B11/$B$6</f>
        <v>1.558618700854701</v>
      </c>
      <c r="D11" s="25">
        <f t="shared" si="1"/>
        <v>0.97323569692267897</v>
      </c>
      <c r="E11" s="20">
        <f t="shared" si="2"/>
        <v>1.031897265948633</v>
      </c>
      <c r="F11" s="25">
        <f t="shared" si="3"/>
        <v>1.1193577967416601</v>
      </c>
      <c r="G11" s="25">
        <f t="shared" si="4"/>
        <v>0.86735577967416588</v>
      </c>
      <c r="H11" s="26">
        <f t="shared" si="9"/>
        <v>1.3000251162790695</v>
      </c>
      <c r="I11" s="26" t="e">
        <f t="shared" si="10"/>
        <v>#DIV/0!</v>
      </c>
      <c r="J11" s="27">
        <f t="shared" si="5"/>
        <v>0.91963545981772976</v>
      </c>
      <c r="K11" s="20">
        <f t="shared" si="6"/>
        <v>0.8912083500602167</v>
      </c>
      <c r="L11" s="25">
        <f t="shared" si="7"/>
        <v>0.61808866821825703</v>
      </c>
      <c r="M11" s="28">
        <f t="shared" si="8"/>
        <v>0.65534382767191379</v>
      </c>
      <c r="N11" s="29">
        <f>P6/P11</f>
        <v>25.595033226549472</v>
      </c>
      <c r="O11" s="9"/>
      <c r="P11" s="9">
        <f>7.5542/100</f>
        <v>7.5541999999999998E-2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1.221431393845358</v>
      </c>
      <c r="E12" s="20" t="e">
        <f t="shared" si="2"/>
        <v>#DIV/0!</v>
      </c>
      <c r="F12" s="25">
        <f>F21*N12</f>
        <v>1.2907494181536074</v>
      </c>
      <c r="G12" s="25">
        <f>G21*N12</f>
        <v>1.0780147918282905</v>
      </c>
      <c r="H12" s="26">
        <f t="shared" si="9"/>
        <v>1.6157686821705424</v>
      </c>
      <c r="I12" s="26" t="e">
        <f t="shared" si="10"/>
        <v>#DIV/0!</v>
      </c>
      <c r="J12" s="27"/>
      <c r="K12" s="20">
        <f t="shared" si="6"/>
        <v>0.88258317025440314</v>
      </c>
      <c r="L12" s="25">
        <f>L21*$N$12</f>
        <v>0.5915934833204034</v>
      </c>
      <c r="M12" s="31">
        <f>L12/D12</f>
        <v>0.48434442270058714</v>
      </c>
      <c r="N12" s="29">
        <f>P13/P6</f>
        <v>1.195138350142229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1.2979202482544607</v>
      </c>
      <c r="E13" s="20" t="e">
        <f t="shared" si="2"/>
        <v>#DIV/0!</v>
      </c>
      <c r="F13" s="25">
        <f>F22*N13</f>
        <v>1.4580687871735194</v>
      </c>
      <c r="G13" s="25">
        <f>G22*N13</f>
        <v>1.1461376777863976</v>
      </c>
      <c r="H13" s="26">
        <f t="shared" si="9"/>
        <v>1.7178737984496122</v>
      </c>
      <c r="I13" s="26" t="e">
        <f t="shared" si="10"/>
        <v>#DIV/0!</v>
      </c>
      <c r="J13" s="27"/>
      <c r="K13" s="20">
        <f t="shared" si="6"/>
        <v>0.8830570902394107</v>
      </c>
      <c r="L13" s="25">
        <f>L22*$N$12</f>
        <v>0.59517889837083005</v>
      </c>
      <c r="M13" s="31">
        <f>L13/D13</f>
        <v>0.4585635359116022</v>
      </c>
      <c r="N13" s="29">
        <f>P13/P6</f>
        <v>1.195138350142229</v>
      </c>
      <c r="O13" s="9"/>
      <c r="P13" s="34">
        <v>2.3108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1.2442563227307992</v>
      </c>
      <c r="E14" s="20" t="e">
        <f t="shared" si="2"/>
        <v>#DIV/0!</v>
      </c>
      <c r="F14" s="25">
        <f>F23/N14</f>
        <v>1.3255253167830361</v>
      </c>
      <c r="G14" s="25">
        <f>G23/N14</f>
        <v>1.1910111197310576</v>
      </c>
      <c r="H14" s="26">
        <f t="shared" si="9"/>
        <v>1.7851317829457363</v>
      </c>
      <c r="I14" s="26" t="e">
        <f t="shared" si="10"/>
        <v>#DIV/0!</v>
      </c>
      <c r="J14" s="27"/>
      <c r="K14" s="20">
        <f t="shared" si="6"/>
        <v>0.95720720720720698</v>
      </c>
      <c r="L14" s="25">
        <f>L23/N14</f>
        <v>0.53805678820791314</v>
      </c>
      <c r="M14" s="35">
        <f>L14/D14</f>
        <v>0.4324324324324324</v>
      </c>
      <c r="N14" s="36">
        <f>P6/P14</f>
        <v>3.5683965746345785</v>
      </c>
      <c r="O14" s="9"/>
      <c r="P14" s="37">
        <f>5.4184/10</f>
        <v>0.54183999999999999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37.54</v>
      </c>
      <c r="C16" s="45"/>
      <c r="D16" s="45">
        <v>40.54</v>
      </c>
      <c r="E16" s="45"/>
      <c r="F16" s="45">
        <v>45.21</v>
      </c>
      <c r="G16" s="45">
        <v>37.96</v>
      </c>
      <c r="H16" s="46"/>
      <c r="I16" s="46"/>
      <c r="J16" s="46"/>
      <c r="K16" s="47">
        <f t="shared" si="6"/>
        <v>0.93635915145535276</v>
      </c>
      <c r="L16" s="48">
        <v>16.010000000000002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35.450000000000003</v>
      </c>
      <c r="C17" s="50"/>
      <c r="D17" s="45">
        <v>38.35</v>
      </c>
      <c r="E17" s="45"/>
      <c r="F17" s="51">
        <v>43.1</v>
      </c>
      <c r="G17" s="45">
        <v>35.299999999999997</v>
      </c>
      <c r="H17" s="50"/>
      <c r="I17" s="50"/>
      <c r="J17" s="50"/>
      <c r="K17" s="52">
        <f t="shared" si="6"/>
        <v>0.92046936114732714</v>
      </c>
      <c r="L17" s="53">
        <v>17.2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36.9</v>
      </c>
      <c r="C18" s="50"/>
      <c r="D18" s="45">
        <v>39.9</v>
      </c>
      <c r="E18" s="56"/>
      <c r="F18" s="45">
        <v>43</v>
      </c>
      <c r="G18" s="56">
        <v>37.15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36.6</v>
      </c>
      <c r="C19" s="50"/>
      <c r="D19" s="56">
        <v>39.5</v>
      </c>
      <c r="E19" s="59"/>
      <c r="F19" s="56">
        <v>43.49</v>
      </c>
      <c r="G19" s="56">
        <v>38.5</v>
      </c>
      <c r="H19" s="50"/>
      <c r="I19" s="50"/>
      <c r="J19" s="50"/>
      <c r="K19" s="52"/>
      <c r="L19" s="60">
        <v>17.7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24.14</v>
      </c>
      <c r="C20" s="46"/>
      <c r="D20" s="45">
        <v>24.91</v>
      </c>
      <c r="E20" s="51"/>
      <c r="F20" s="45">
        <v>28.65</v>
      </c>
      <c r="G20" s="62">
        <v>22.2</v>
      </c>
      <c r="H20" s="50"/>
      <c r="I20" s="50"/>
      <c r="J20" s="50"/>
      <c r="K20" s="52">
        <f>G20/D20</f>
        <v>0.8912083500602167</v>
      </c>
      <c r="L20" s="63">
        <v>15.82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1.022</v>
      </c>
      <c r="E21" s="67"/>
      <c r="F21" s="67">
        <v>1.08</v>
      </c>
      <c r="G21" s="67">
        <v>0.90200000000000002</v>
      </c>
      <c r="H21" s="50"/>
      <c r="I21" s="50"/>
      <c r="J21" s="50"/>
      <c r="K21" s="52">
        <f>G21/D21</f>
        <v>0.88258317025440314</v>
      </c>
      <c r="L21" s="68">
        <v>0.495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1.0860000000000001</v>
      </c>
      <c r="E22" s="67"/>
      <c r="F22" s="67">
        <v>1.22</v>
      </c>
      <c r="G22" s="67">
        <v>0.95899999999999996</v>
      </c>
      <c r="H22" s="50"/>
      <c r="I22" s="50"/>
      <c r="J22" s="50"/>
      <c r="K22" s="52">
        <f>G22/D22</f>
        <v>0.88305709023941059</v>
      </c>
      <c r="L22" s="68">
        <v>0.498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4.4400000000000004</v>
      </c>
      <c r="E23" s="76">
        <f>ROUND((34.45+33.3)/2,2)</f>
        <v>33.880000000000003</v>
      </c>
      <c r="F23" s="76">
        <v>4.7300000000000004</v>
      </c>
      <c r="G23" s="76">
        <v>4.25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1.92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241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0.60415160590726003</v>
      </c>
      <c r="C6" s="20"/>
      <c r="D6" s="19">
        <f t="shared" ref="D6:D11" si="1">D15/N6</f>
        <v>0.6454611174222864</v>
      </c>
      <c r="E6" s="20">
        <f t="shared" ref="E6:E14" si="2">D6/B6</f>
        <v>1.0683760683760684</v>
      </c>
      <c r="F6" s="19">
        <f t="shared" ref="F6:F11" si="3">F15/N6</f>
        <v>0.70226169575544772</v>
      </c>
      <c r="G6" s="19">
        <f t="shared" ref="G6:G11" si="4">G15/N6</f>
        <v>0.66611587317979959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0.34080346999896727</v>
      </c>
      <c r="M6" s="21">
        <f t="shared" ref="M6:M11" si="8">L6/B6</f>
        <v>0.56410256410256421</v>
      </c>
      <c r="N6" s="22">
        <f>P6</f>
        <v>1.9366000000000001</v>
      </c>
      <c r="O6" s="23" t="s">
        <v>17</v>
      </c>
      <c r="P6" s="9">
        <v>1.9366000000000001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0.64705832903025906</v>
      </c>
      <c r="C7" s="20">
        <f>B7/$B$6</f>
        <v>1.0710197948717948</v>
      </c>
      <c r="D7" s="25">
        <f t="shared" si="1"/>
        <v>0.70258492202829692</v>
      </c>
      <c r="E7" s="20">
        <f t="shared" si="2"/>
        <v>1.0858138911236257</v>
      </c>
      <c r="F7" s="25">
        <f t="shared" si="3"/>
        <v>0.78049567282866861</v>
      </c>
      <c r="G7" s="25">
        <f t="shared" si="4"/>
        <v>0.652437467726944</v>
      </c>
      <c r="H7" s="26">
        <f t="shared" ref="H7:H14" si="9">G7/$G$6</f>
        <v>0.97946542635658906</v>
      </c>
      <c r="I7" s="26" t="e">
        <f t="shared" ref="I7:I14" si="10">G7/$G$5</f>
        <v>#DIV/0!</v>
      </c>
      <c r="J7" s="27">
        <f t="shared" si="5"/>
        <v>1.0083132207026013</v>
      </c>
      <c r="K7" s="20">
        <f t="shared" si="6"/>
        <v>0.92862435169177571</v>
      </c>
      <c r="L7" s="25">
        <f t="shared" si="7"/>
        <v>0.30366105545801914</v>
      </c>
      <c r="M7" s="28">
        <f t="shared" si="8"/>
        <v>0.46929471708232773</v>
      </c>
      <c r="N7" s="29">
        <f>P6/P7</f>
        <v>57.630044042375921</v>
      </c>
      <c r="O7" s="9"/>
      <c r="P7" s="9">
        <f>3.3604/100</f>
        <v>3.3603999999999995E-2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0.638035257668078</v>
      </c>
      <c r="C8" s="20">
        <f>B8/$B$6</f>
        <v>1.0560846837606839</v>
      </c>
      <c r="D8" s="25">
        <f t="shared" si="1"/>
        <v>0.69009143860373845</v>
      </c>
      <c r="E8" s="20">
        <f t="shared" si="2"/>
        <v>1.081588251291814</v>
      </c>
      <c r="F8" s="25">
        <f t="shared" si="3"/>
        <v>0.74787379944232146</v>
      </c>
      <c r="G8" s="25">
        <f t="shared" si="4"/>
        <v>0.65018169988639862</v>
      </c>
      <c r="H8" s="26">
        <f t="shared" si="9"/>
        <v>0.97607897674418576</v>
      </c>
      <c r="I8" s="26" t="e">
        <f t="shared" si="10"/>
        <v>#DIV/0!</v>
      </c>
      <c r="J8" s="27">
        <f t="shared" si="5"/>
        <v>1.0190372586347565</v>
      </c>
      <c r="K8" s="20">
        <f t="shared" si="6"/>
        <v>0.94216746291174225</v>
      </c>
      <c r="L8" s="25">
        <f t="shared" si="7"/>
        <v>0.33662997005060402</v>
      </c>
      <c r="M8" s="28">
        <f t="shared" si="8"/>
        <v>0.52760402502039694</v>
      </c>
      <c r="N8" s="29">
        <f>N7</f>
        <v>57.630044042375921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0.65677548280491571</v>
      </c>
      <c r="C9" s="20">
        <f>B9/$B$6</f>
        <v>1.0871037606837608</v>
      </c>
      <c r="D9" s="25">
        <f t="shared" si="1"/>
        <v>0.70536125167819874</v>
      </c>
      <c r="E9" s="20">
        <f t="shared" si="2"/>
        <v>1.0739762219286657</v>
      </c>
      <c r="F9" s="25">
        <f t="shared" si="3"/>
        <v>0.74613859341113276</v>
      </c>
      <c r="G9" s="25">
        <f t="shared" si="4"/>
        <v>0.64723184963337788</v>
      </c>
      <c r="H9" s="26">
        <f t="shared" si="9"/>
        <v>0.97165054263565864</v>
      </c>
      <c r="I9" s="26" t="e">
        <f t="shared" si="10"/>
        <v>#DIV/0!</v>
      </c>
      <c r="J9" s="27">
        <f t="shared" si="5"/>
        <v>0.98546895640686905</v>
      </c>
      <c r="K9" s="20">
        <f t="shared" si="6"/>
        <v>0.91758917589175881</v>
      </c>
      <c r="L9" s="25">
        <f t="shared" si="7"/>
        <v>0.33662997005060402</v>
      </c>
      <c r="M9" s="28">
        <f t="shared" si="8"/>
        <v>0.51254953764861289</v>
      </c>
      <c r="N9" s="29">
        <f>N7</f>
        <v>57.630044042375921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0.64636424661778358</v>
      </c>
      <c r="C10" s="20">
        <f>B10/$B$6</f>
        <v>1.0698709401709401</v>
      </c>
      <c r="D10" s="25">
        <f t="shared" si="1"/>
        <v>0.6923472064442836</v>
      </c>
      <c r="E10" s="20">
        <f t="shared" si="2"/>
        <v>1.0711409395973155</v>
      </c>
      <c r="F10" s="25">
        <f t="shared" si="3"/>
        <v>0.77650469895693464</v>
      </c>
      <c r="G10" s="25">
        <f t="shared" si="4"/>
        <v>0.66978952803883085</v>
      </c>
      <c r="H10" s="26">
        <f t="shared" si="9"/>
        <v>1.0055150387596898</v>
      </c>
      <c r="I10" s="26" t="e">
        <f t="shared" si="10"/>
        <v>#DIV/0!</v>
      </c>
      <c r="J10" s="27">
        <f t="shared" si="5"/>
        <v>1.0362416107382553</v>
      </c>
      <c r="K10" s="20">
        <f t="shared" si="6"/>
        <v>0.96741854636591496</v>
      </c>
      <c r="L10" s="25">
        <f t="shared" si="7"/>
        <v>0.2897794072085097</v>
      </c>
      <c r="M10" s="28">
        <f t="shared" si="8"/>
        <v>0.44832214765100675</v>
      </c>
      <c r="N10" s="29">
        <f>N7</f>
        <v>57.630044042375921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0.95771119487762058</v>
      </c>
      <c r="C11" s="20">
        <f>B11/$B$6</f>
        <v>1.5852166666666669</v>
      </c>
      <c r="D11" s="25">
        <f t="shared" si="1"/>
        <v>0.98818728699783132</v>
      </c>
      <c r="E11" s="20">
        <f t="shared" si="2"/>
        <v>1.0318217979315831</v>
      </c>
      <c r="F11" s="25">
        <f t="shared" si="3"/>
        <v>1.1295201642053081</v>
      </c>
      <c r="G11" s="25">
        <f t="shared" si="4"/>
        <v>0.91390181245481761</v>
      </c>
      <c r="H11" s="26">
        <f t="shared" si="9"/>
        <v>1.3719862403100775</v>
      </c>
      <c r="I11" s="26" t="e">
        <f t="shared" si="10"/>
        <v>#DIV/0!</v>
      </c>
      <c r="J11" s="27">
        <f t="shared" si="5"/>
        <v>0.95425616547334913</v>
      </c>
      <c r="K11" s="20">
        <f t="shared" si="6"/>
        <v>0.92482652274479549</v>
      </c>
      <c r="L11" s="25">
        <f t="shared" si="7"/>
        <v>0.52837924713415263</v>
      </c>
      <c r="M11" s="28">
        <f t="shared" si="8"/>
        <v>0.55171042163882256</v>
      </c>
      <c r="N11" s="29">
        <f>P6/P11</f>
        <v>26.25008471704507</v>
      </c>
      <c r="O11" s="9"/>
      <c r="P11" s="9">
        <f>7.3775/100</f>
        <v>7.3775000000000007E-2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1.255370443044511</v>
      </c>
      <c r="E12" s="20" t="e">
        <f t="shared" si="2"/>
        <v>#DIV/0!</v>
      </c>
      <c r="F12" s="25">
        <f>F21*N12</f>
        <v>1.3140661984922026</v>
      </c>
      <c r="G12" s="25">
        <f>G21*N12</f>
        <v>1.1128236083858307</v>
      </c>
      <c r="H12" s="26">
        <f t="shared" si="9"/>
        <v>1.6706156589147287</v>
      </c>
      <c r="I12" s="26" t="e">
        <f t="shared" si="10"/>
        <v>#DIV/0!</v>
      </c>
      <c r="J12" s="27"/>
      <c r="K12" s="20">
        <f t="shared" si="6"/>
        <v>0.88645038167938928</v>
      </c>
      <c r="L12" s="25">
        <f>L21*$N$12</f>
        <v>0.60971713311990072</v>
      </c>
      <c r="M12" s="31">
        <f>L12/D12</f>
        <v>0.48568702290076327</v>
      </c>
      <c r="N12" s="29">
        <f>P13/P6</f>
        <v>1.197872560156976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1.3164619436125164</v>
      </c>
      <c r="E13" s="20" t="e">
        <f t="shared" si="2"/>
        <v>#DIV/0!</v>
      </c>
      <c r="F13" s="25">
        <f>F22*N13</f>
        <v>1.4661960136321386</v>
      </c>
      <c r="G13" s="25">
        <f>G22*N13</f>
        <v>1.1823002168749353</v>
      </c>
      <c r="H13" s="26">
        <f t="shared" si="9"/>
        <v>1.7749167441860463</v>
      </c>
      <c r="I13" s="26" t="e">
        <f t="shared" si="10"/>
        <v>#DIV/0!</v>
      </c>
      <c r="J13" s="27"/>
      <c r="K13" s="20">
        <f t="shared" si="6"/>
        <v>0.89808917197452232</v>
      </c>
      <c r="L13" s="25">
        <f>L22*$N$12</f>
        <v>0.600134152638645</v>
      </c>
      <c r="M13" s="31">
        <f>L13/D13</f>
        <v>0.45586897179253877</v>
      </c>
      <c r="N13" s="29">
        <f>P13/P6</f>
        <v>1.197872560156976</v>
      </c>
      <c r="O13" s="9"/>
      <c r="P13" s="34">
        <v>2.3197999999999999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1.2536358050191057</v>
      </c>
      <c r="E14" s="20" t="e">
        <f t="shared" si="2"/>
        <v>#DIV/0!</v>
      </c>
      <c r="F14" s="25">
        <f>F23/N14</f>
        <v>1.3433815449757307</v>
      </c>
      <c r="G14" s="25">
        <f>G23/N14</f>
        <v>1.203153826293504</v>
      </c>
      <c r="H14" s="26">
        <f t="shared" si="9"/>
        <v>1.8062230232558141</v>
      </c>
      <c r="I14" s="26" t="e">
        <f t="shared" si="10"/>
        <v>#DIV/0!</v>
      </c>
      <c r="J14" s="27"/>
      <c r="K14" s="20">
        <f t="shared" si="6"/>
        <v>0.95973154362416102</v>
      </c>
      <c r="L14" s="25">
        <f>L23/N14</f>
        <v>0.53006077661881645</v>
      </c>
      <c r="M14" s="35">
        <f>L14/D14</f>
        <v>0.42281879194630873</v>
      </c>
      <c r="N14" s="36">
        <f>P6/P14</f>
        <v>3.565628854970265</v>
      </c>
      <c r="O14" s="9"/>
      <c r="P14" s="37">
        <f>5.4313/10</f>
        <v>0.54313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37.29</v>
      </c>
      <c r="C16" s="45"/>
      <c r="D16" s="45">
        <v>40.49</v>
      </c>
      <c r="E16" s="45"/>
      <c r="F16" s="45">
        <v>44.98</v>
      </c>
      <c r="G16" s="45">
        <v>37.6</v>
      </c>
      <c r="H16" s="46"/>
      <c r="I16" s="46"/>
      <c r="J16" s="46"/>
      <c r="K16" s="47">
        <f t="shared" si="6"/>
        <v>0.92862435169177571</v>
      </c>
      <c r="L16" s="48">
        <v>17.5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36.770000000000003</v>
      </c>
      <c r="C17" s="50"/>
      <c r="D17" s="45">
        <v>39.770000000000003</v>
      </c>
      <c r="E17" s="45"/>
      <c r="F17" s="51">
        <v>43.1</v>
      </c>
      <c r="G17" s="45">
        <v>37.47</v>
      </c>
      <c r="H17" s="50"/>
      <c r="I17" s="50"/>
      <c r="J17" s="50"/>
      <c r="K17" s="52">
        <f t="shared" si="6"/>
        <v>0.94216746291174247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37.85</v>
      </c>
      <c r="C18" s="50"/>
      <c r="D18" s="45">
        <v>40.65</v>
      </c>
      <c r="E18" s="56"/>
      <c r="F18" s="45">
        <v>43</v>
      </c>
      <c r="G18" s="56">
        <v>37.299999999999997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37.25</v>
      </c>
      <c r="C19" s="50"/>
      <c r="D19" s="56">
        <v>39.9</v>
      </c>
      <c r="E19" s="59"/>
      <c r="F19" s="56">
        <v>44.75</v>
      </c>
      <c r="G19" s="56">
        <v>38.6</v>
      </c>
      <c r="H19" s="50"/>
      <c r="I19" s="50"/>
      <c r="J19" s="50"/>
      <c r="K19" s="52"/>
      <c r="L19" s="60">
        <v>16.7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25.14</v>
      </c>
      <c r="C20" s="46"/>
      <c r="D20" s="45">
        <v>25.94</v>
      </c>
      <c r="E20" s="51"/>
      <c r="F20" s="45">
        <v>29.65</v>
      </c>
      <c r="G20" s="62">
        <v>23.99</v>
      </c>
      <c r="H20" s="50"/>
      <c r="I20" s="50"/>
      <c r="J20" s="50"/>
      <c r="K20" s="52">
        <f>G20/D20</f>
        <v>0.9248265227447956</v>
      </c>
      <c r="L20" s="63">
        <v>13.87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1.048</v>
      </c>
      <c r="E21" s="67"/>
      <c r="F21" s="67">
        <v>1.097</v>
      </c>
      <c r="G21" s="67">
        <v>0.92900000000000005</v>
      </c>
      <c r="H21" s="50"/>
      <c r="I21" s="50"/>
      <c r="J21" s="50"/>
      <c r="K21" s="52">
        <f>G21/D21</f>
        <v>0.88645038167938928</v>
      </c>
      <c r="L21" s="68">
        <v>0.50900000000000001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1.099</v>
      </c>
      <c r="E22" s="67"/>
      <c r="F22" s="67">
        <v>1.224</v>
      </c>
      <c r="G22" s="67">
        <v>0.98699999999999999</v>
      </c>
      <c r="H22" s="50"/>
      <c r="I22" s="50"/>
      <c r="J22" s="50"/>
      <c r="K22" s="52">
        <f>G22/D22</f>
        <v>0.89808917197452232</v>
      </c>
      <c r="L22" s="68">
        <v>0.501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4.47</v>
      </c>
      <c r="E23" s="76">
        <f>ROUND((34.45+33.3)/2,2)</f>
        <v>33.880000000000003</v>
      </c>
      <c r="F23" s="76">
        <v>4.79</v>
      </c>
      <c r="G23" s="76">
        <v>4.29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1.89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242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0.59357719040129875</v>
      </c>
      <c r="C6" s="20"/>
      <c r="D6" s="19">
        <f t="shared" ref="D6:D11" si="1">D15/N6</f>
        <v>0.63416366495865251</v>
      </c>
      <c r="E6" s="20">
        <f t="shared" ref="E6:E14" si="2">D6/B6</f>
        <v>1.0683760683760684</v>
      </c>
      <c r="F6" s="19">
        <f t="shared" ref="F6:F11" si="3">F15/N6</f>
        <v>0.68997006747501399</v>
      </c>
      <c r="G6" s="19">
        <f t="shared" ref="G6:G11" si="4">G15/N6</f>
        <v>0.65445690223732944</v>
      </c>
      <c r="H6" s="19"/>
      <c r="I6" s="19"/>
      <c r="J6" s="20">
        <f t="shared" ref="J6:J11" si="5">G6/B6</f>
        <v>1.1025641025641026</v>
      </c>
      <c r="K6" s="20">
        <f t="shared" ref="K6:K17" si="6">G6/D6</f>
        <v>1.032</v>
      </c>
      <c r="L6" s="19">
        <f t="shared" ref="L6:L11" si="7">L15/N6</f>
        <v>0.33483841509816853</v>
      </c>
      <c r="M6" s="21">
        <f t="shared" ref="M6:M11" si="8">L6/B6</f>
        <v>0.5641025641025641</v>
      </c>
      <c r="N6" s="22">
        <f>P6</f>
        <v>1.9711000000000001</v>
      </c>
      <c r="O6" s="23" t="s">
        <v>17</v>
      </c>
      <c r="P6" s="9">
        <v>1.9711000000000001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0.6523090355638983</v>
      </c>
      <c r="C7" s="20">
        <f>B7/$B$6</f>
        <v>1.0989455897435898</v>
      </c>
      <c r="D7" s="25">
        <f t="shared" si="1"/>
        <v>0.70342989193851135</v>
      </c>
      <c r="E7" s="20">
        <f t="shared" si="2"/>
        <v>1.0783690759862323</v>
      </c>
      <c r="F7" s="25">
        <f t="shared" si="3"/>
        <v>0.80757136624219961</v>
      </c>
      <c r="G7" s="25">
        <f t="shared" si="4"/>
        <v>0.65921725939830544</v>
      </c>
      <c r="H7" s="26">
        <f t="shared" ref="H7:H14" si="9">G7/$G$6</f>
        <v>1.0072737519379844</v>
      </c>
      <c r="I7" s="26" t="e">
        <f t="shared" ref="I7:I14" si="10">G7/$G$5</f>
        <v>#DIV/0!</v>
      </c>
      <c r="J7" s="27">
        <f t="shared" si="5"/>
        <v>1.0105904156738152</v>
      </c>
      <c r="K7" s="20">
        <f t="shared" si="6"/>
        <v>0.93714706604468456</v>
      </c>
      <c r="L7" s="25">
        <f t="shared" si="7"/>
        <v>0.28824563949063969</v>
      </c>
      <c r="M7" s="28">
        <f t="shared" si="8"/>
        <v>0.44188509398993903</v>
      </c>
      <c r="N7" s="29">
        <f>P6/P7</f>
        <v>57.902003407555384</v>
      </c>
      <c r="O7" s="9"/>
      <c r="P7" s="9">
        <f>3.4042/100</f>
        <v>3.4041999999999996E-2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0.63503847597788032</v>
      </c>
      <c r="C8" s="20">
        <f>B8/$B$6</f>
        <v>1.0698498632478632</v>
      </c>
      <c r="D8" s="25">
        <f t="shared" si="1"/>
        <v>0.68685015473593414</v>
      </c>
      <c r="E8" s="20">
        <f t="shared" si="2"/>
        <v>1.0815882512918138</v>
      </c>
      <c r="F8" s="25">
        <f t="shared" si="3"/>
        <v>0.74436111815737394</v>
      </c>
      <c r="G8" s="25">
        <f t="shared" si="4"/>
        <v>0.66957959514991616</v>
      </c>
      <c r="H8" s="26">
        <f t="shared" si="9"/>
        <v>1.0231072403100774</v>
      </c>
      <c r="I8" s="26" t="e">
        <f t="shared" si="10"/>
        <v>#DIV/0!</v>
      </c>
      <c r="J8" s="27">
        <f t="shared" si="5"/>
        <v>1.0543921675278758</v>
      </c>
      <c r="K8" s="20">
        <f t="shared" si="6"/>
        <v>0.97485541865727932</v>
      </c>
      <c r="L8" s="25">
        <f t="shared" si="7"/>
        <v>0.33504885596874834</v>
      </c>
      <c r="M8" s="28">
        <f t="shared" si="8"/>
        <v>0.52760402502039694</v>
      </c>
      <c r="N8" s="29">
        <f>N7</f>
        <v>57.902003407555384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0.65369068033077971</v>
      </c>
      <c r="C9" s="20">
        <f>B9/$B$6</f>
        <v>1.1012732478632479</v>
      </c>
      <c r="D9" s="25">
        <f t="shared" si="1"/>
        <v>0.69600355131652358</v>
      </c>
      <c r="E9" s="20">
        <f t="shared" si="2"/>
        <v>1.0647291941875823</v>
      </c>
      <c r="F9" s="25">
        <f t="shared" si="3"/>
        <v>0.74263406219877215</v>
      </c>
      <c r="G9" s="25">
        <f t="shared" si="4"/>
        <v>0.65369068033077971</v>
      </c>
      <c r="H9" s="26">
        <f t="shared" si="9"/>
        <v>0.9988292248062014</v>
      </c>
      <c r="I9" s="26" t="e">
        <f t="shared" si="10"/>
        <v>#DIV/0!</v>
      </c>
      <c r="J9" s="27">
        <f t="shared" si="5"/>
        <v>1</v>
      </c>
      <c r="K9" s="20">
        <f t="shared" si="6"/>
        <v>0.93920595533498774</v>
      </c>
      <c r="L9" s="25">
        <f t="shared" si="7"/>
        <v>0.33504885596874834</v>
      </c>
      <c r="M9" s="28">
        <f t="shared" si="8"/>
        <v>0.51254953764861289</v>
      </c>
      <c r="N9" s="29">
        <f>N7</f>
        <v>57.902003407555384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0.64401916696260952</v>
      </c>
      <c r="C10" s="20">
        <f>B10/$B$6</f>
        <v>1.0849796410256407</v>
      </c>
      <c r="D10" s="25">
        <f t="shared" si="1"/>
        <v>0.6889226218862563</v>
      </c>
      <c r="E10" s="20">
        <f t="shared" si="2"/>
        <v>1.0697237865379461</v>
      </c>
      <c r="F10" s="25">
        <f t="shared" si="3"/>
        <v>0.77285754147430352</v>
      </c>
      <c r="G10" s="25">
        <f t="shared" si="4"/>
        <v>0.67009771193749668</v>
      </c>
      <c r="H10" s="26">
        <f t="shared" si="9"/>
        <v>1.0238989147286819</v>
      </c>
      <c r="I10" s="26" t="e">
        <f t="shared" si="10"/>
        <v>#DIV/0!</v>
      </c>
      <c r="J10" s="27">
        <f t="shared" si="5"/>
        <v>1.040493429873961</v>
      </c>
      <c r="K10" s="20">
        <f t="shared" si="6"/>
        <v>0.97267485585359736</v>
      </c>
      <c r="L10" s="25">
        <f t="shared" si="7"/>
        <v>0.31777829638273036</v>
      </c>
      <c r="M10" s="28">
        <f t="shared" si="8"/>
        <v>0.49342987396084742</v>
      </c>
      <c r="N10" s="29">
        <f>N7</f>
        <v>57.902003407555384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0.97067915377200553</v>
      </c>
      <c r="C11" s="20">
        <f>B11/$B$6</f>
        <v>1.6353040000000001</v>
      </c>
      <c r="D11" s="25">
        <f t="shared" si="1"/>
        <v>0.99707679975648134</v>
      </c>
      <c r="E11" s="20">
        <f t="shared" si="2"/>
        <v>1.0271950271950274</v>
      </c>
      <c r="F11" s="25">
        <f t="shared" si="3"/>
        <v>1.1366072142458528</v>
      </c>
      <c r="G11" s="25">
        <f t="shared" si="4"/>
        <v>0.90996456800771153</v>
      </c>
      <c r="H11" s="26">
        <f t="shared" si="9"/>
        <v>1.3904117519379846</v>
      </c>
      <c r="I11" s="26" t="e">
        <f t="shared" si="10"/>
        <v>#DIV/0!</v>
      </c>
      <c r="J11" s="27">
        <f t="shared" si="5"/>
        <v>0.93745143745143755</v>
      </c>
      <c r="K11" s="20">
        <f t="shared" si="6"/>
        <v>0.91263237518910734</v>
      </c>
      <c r="L11" s="25">
        <f t="shared" si="7"/>
        <v>0.47402630003551322</v>
      </c>
      <c r="M11" s="28">
        <f t="shared" si="8"/>
        <v>0.48834498834498835</v>
      </c>
      <c r="N11" s="29">
        <f>P6/P11</f>
        <v>26.517516009255768</v>
      </c>
      <c r="O11" s="9"/>
      <c r="P11" s="9">
        <f>7.4332/100</f>
        <v>7.4332000000000009E-2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1.3172904469585511</v>
      </c>
      <c r="E12" s="20" t="e">
        <f t="shared" si="2"/>
        <v>#DIV/0!</v>
      </c>
      <c r="F12" s="25">
        <f>F21*N12</f>
        <v>1.3953345847496319</v>
      </c>
      <c r="G12" s="25">
        <f>G21*N12</f>
        <v>1.1813044492922733</v>
      </c>
      <c r="H12" s="26">
        <f t="shared" si="9"/>
        <v>1.8050148837209301</v>
      </c>
      <c r="I12" s="26" t="e">
        <f t="shared" si="10"/>
        <v>#DIV/0!</v>
      </c>
      <c r="J12" s="27"/>
      <c r="K12" s="20">
        <f t="shared" si="6"/>
        <v>0.89676840215439846</v>
      </c>
      <c r="L12" s="25">
        <f>L21*$N$12</f>
        <v>0.60898077215767843</v>
      </c>
      <c r="M12" s="31">
        <f>L12/D12</f>
        <v>0.46229802513464985</v>
      </c>
      <c r="N12" s="29">
        <f>P13/P6</f>
        <v>1.1824869362285018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1.284180812744153</v>
      </c>
      <c r="E13" s="20" t="e">
        <f t="shared" si="2"/>
        <v>#DIV/0!</v>
      </c>
      <c r="F13" s="25">
        <f>F22*N13</f>
        <v>1.430809192836487</v>
      </c>
      <c r="G13" s="25">
        <f>G22*N13</f>
        <v>1.1694795799299882</v>
      </c>
      <c r="H13" s="26">
        <f t="shared" si="9"/>
        <v>1.7869466666666665</v>
      </c>
      <c r="I13" s="26" t="e">
        <f t="shared" si="10"/>
        <v>#DIV/0!</v>
      </c>
      <c r="J13" s="27"/>
      <c r="K13" s="20">
        <f t="shared" si="6"/>
        <v>0.91068139963167583</v>
      </c>
      <c r="L13" s="25">
        <f>L22*$N$12</f>
        <v>0.6101632590939069</v>
      </c>
      <c r="M13" s="31">
        <f>L13/D13</f>
        <v>0.47513812154696128</v>
      </c>
      <c r="N13" s="29">
        <f>P13/P6</f>
        <v>1.1824869362285018</v>
      </c>
      <c r="O13" s="9"/>
      <c r="P13" s="34">
        <v>2.3308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1.2766266044340724</v>
      </c>
      <c r="E14" s="20" t="e">
        <f t="shared" si="2"/>
        <v>#DIV/0!</v>
      </c>
      <c r="F14" s="25">
        <f>F23/N14</f>
        <v>1.3621026837806303</v>
      </c>
      <c r="G14" s="25">
        <f>G23/N14</f>
        <v>1.2021796966161029</v>
      </c>
      <c r="H14" s="26">
        <f t="shared" si="9"/>
        <v>1.8369119379844965</v>
      </c>
      <c r="I14" s="26" t="e">
        <f t="shared" si="10"/>
        <v>#DIV/0!</v>
      </c>
      <c r="J14" s="27"/>
      <c r="K14" s="20">
        <f t="shared" si="6"/>
        <v>0.94168466522678196</v>
      </c>
      <c r="L14" s="25">
        <f>L23/N14</f>
        <v>0.57627421236872811</v>
      </c>
      <c r="M14" s="35">
        <f>L14/D14</f>
        <v>0.45140388768898487</v>
      </c>
      <c r="N14" s="36">
        <f>P6/P14</f>
        <v>3.6267456622936942</v>
      </c>
      <c r="O14" s="9"/>
      <c r="P14" s="37">
        <f>5.4349/10</f>
        <v>0.54349000000000003</v>
      </c>
      <c r="Q14" s="9" t="s">
        <v>30</v>
      </c>
    </row>
    <row r="15" spans="1:17" ht="15.75" x14ac:dyDescent="0.25">
      <c r="A15" s="38" t="s">
        <v>31</v>
      </c>
      <c r="B15" s="39">
        <v>1.17</v>
      </c>
      <c r="C15" s="38"/>
      <c r="D15" s="39">
        <v>1.25</v>
      </c>
      <c r="E15" s="39"/>
      <c r="F15" s="39">
        <v>1.36</v>
      </c>
      <c r="G15" s="39">
        <v>1.29</v>
      </c>
      <c r="H15" s="38"/>
      <c r="I15" s="38"/>
      <c r="J15" s="38"/>
      <c r="K15" s="40">
        <f t="shared" si="6"/>
        <v>1.032</v>
      </c>
      <c r="L15" s="41">
        <v>0.66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37.770000000000003</v>
      </c>
      <c r="C16" s="45"/>
      <c r="D16" s="45">
        <v>40.729999999999997</v>
      </c>
      <c r="E16" s="45"/>
      <c r="F16" s="45">
        <v>46.76</v>
      </c>
      <c r="G16" s="45">
        <v>38.17</v>
      </c>
      <c r="H16" s="46"/>
      <c r="I16" s="46"/>
      <c r="J16" s="46"/>
      <c r="K16" s="47">
        <f t="shared" si="6"/>
        <v>0.93714706604468467</v>
      </c>
      <c r="L16" s="48">
        <v>16.690000000000001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36.770000000000003</v>
      </c>
      <c r="C17" s="50"/>
      <c r="D17" s="45">
        <v>39.770000000000003</v>
      </c>
      <c r="E17" s="45"/>
      <c r="F17" s="51">
        <v>43.1</v>
      </c>
      <c r="G17" s="45">
        <v>38.770000000000003</v>
      </c>
      <c r="H17" s="50"/>
      <c r="I17" s="50"/>
      <c r="J17" s="50"/>
      <c r="K17" s="52">
        <f t="shared" si="6"/>
        <v>0.97485541865727932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37.85</v>
      </c>
      <c r="C18" s="50"/>
      <c r="D18" s="45">
        <v>40.299999999999997</v>
      </c>
      <c r="E18" s="56"/>
      <c r="F18" s="45">
        <v>43</v>
      </c>
      <c r="G18" s="56">
        <v>37.85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37.29</v>
      </c>
      <c r="C19" s="50"/>
      <c r="D19" s="56">
        <v>39.89</v>
      </c>
      <c r="E19" s="59"/>
      <c r="F19" s="56">
        <v>44.75</v>
      </c>
      <c r="G19" s="56">
        <v>38.799999999999997</v>
      </c>
      <c r="H19" s="50"/>
      <c r="I19" s="50"/>
      <c r="J19" s="50"/>
      <c r="K19" s="52"/>
      <c r="L19" s="60">
        <v>18.399999999999999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25.74</v>
      </c>
      <c r="C20" s="46"/>
      <c r="D20" s="45">
        <v>26.44</v>
      </c>
      <c r="E20" s="51"/>
      <c r="F20" s="45">
        <v>30.14</v>
      </c>
      <c r="G20" s="62">
        <v>24.13</v>
      </c>
      <c r="H20" s="50"/>
      <c r="I20" s="50"/>
      <c r="J20" s="50"/>
      <c r="K20" s="52">
        <f>G20/D20</f>
        <v>0.91263237518910734</v>
      </c>
      <c r="L20" s="63">
        <v>12.57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1.1140000000000001</v>
      </c>
      <c r="E21" s="67"/>
      <c r="F21" s="67">
        <v>1.18</v>
      </c>
      <c r="G21" s="67">
        <v>0.999</v>
      </c>
      <c r="H21" s="50"/>
      <c r="I21" s="50"/>
      <c r="J21" s="50"/>
      <c r="K21" s="52">
        <f>G21/D21</f>
        <v>0.89676840215439846</v>
      </c>
      <c r="L21" s="68">
        <v>0.51500000000000001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1.0860000000000001</v>
      </c>
      <c r="E22" s="67"/>
      <c r="F22" s="67">
        <v>1.21</v>
      </c>
      <c r="G22" s="67">
        <v>0.98899999999999999</v>
      </c>
      <c r="H22" s="50"/>
      <c r="I22" s="50"/>
      <c r="J22" s="50"/>
      <c r="K22" s="52">
        <f>G22/D22</f>
        <v>0.91068139963167583</v>
      </c>
      <c r="L22" s="68">
        <v>0.51600000000000001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4.63</v>
      </c>
      <c r="E23" s="76">
        <f>ROUND((34.45+33.3)/2,2)</f>
        <v>33.880000000000003</v>
      </c>
      <c r="F23" s="76">
        <v>4.9400000000000004</v>
      </c>
      <c r="G23" s="76">
        <v>4.3600000000000003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2.09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243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0.59571485782939526</v>
      </c>
      <c r="C6" s="20"/>
      <c r="D6" s="19">
        <f t="shared" ref="D6:D11" si="1">D15/N6</f>
        <v>0.63576291549859831</v>
      </c>
      <c r="E6" s="20">
        <f t="shared" ref="E6:E14" si="2">D6/B6</f>
        <v>1.0672268907563025</v>
      </c>
      <c r="F6" s="19">
        <f t="shared" ref="F6:F11" si="3">F15/N6</f>
        <v>0.69082899479375248</v>
      </c>
      <c r="G6" s="19">
        <f t="shared" ref="G6:G11" si="4">G15/N6</f>
        <v>0.64577492991589913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1.0157480314960632</v>
      </c>
      <c r="L6" s="19">
        <f t="shared" ref="L6:L11" si="7">L15/N6</f>
        <v>0.33540248297957548</v>
      </c>
      <c r="M6" s="21">
        <f t="shared" ref="M6:M11" si="8">L6/B6</f>
        <v>0.56302521008403361</v>
      </c>
      <c r="N6" s="22">
        <f>P6</f>
        <v>1.9976</v>
      </c>
      <c r="O6" s="23" t="s">
        <v>17</v>
      </c>
      <c r="P6" s="9">
        <v>1.9976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0.63349433319983983</v>
      </c>
      <c r="C7" s="20">
        <f>B7/$B$6</f>
        <v>1.0634187226890757</v>
      </c>
      <c r="D7" s="25">
        <f t="shared" si="1"/>
        <v>0.6858936523828596</v>
      </c>
      <c r="E7" s="20">
        <f t="shared" si="2"/>
        <v>1.0827147401908803</v>
      </c>
      <c r="F7" s="25">
        <f t="shared" si="3"/>
        <v>0.76684388265919101</v>
      </c>
      <c r="G7" s="25">
        <f t="shared" si="4"/>
        <v>0.64944925410492604</v>
      </c>
      <c r="H7" s="26">
        <f t="shared" ref="H7:H14" si="9">G7/$G$6</f>
        <v>1.0056897906976745</v>
      </c>
      <c r="I7" s="26" t="e">
        <f t="shared" ref="I7:I14" si="10">G7/$G$5</f>
        <v>#DIV/0!</v>
      </c>
      <c r="J7" s="27">
        <f t="shared" si="5"/>
        <v>1.0251855779427361</v>
      </c>
      <c r="K7" s="20">
        <f t="shared" si="6"/>
        <v>0.94686581782566104</v>
      </c>
      <c r="L7" s="25">
        <f t="shared" si="7"/>
        <v>0.29911278033640371</v>
      </c>
      <c r="M7" s="28">
        <f t="shared" si="8"/>
        <v>0.47216330858960764</v>
      </c>
      <c r="N7" s="29">
        <f>P6/P7</f>
        <v>59.542758353453152</v>
      </c>
      <c r="O7" s="9"/>
      <c r="P7" s="9">
        <f>3.3549/100</f>
        <v>3.3549000000000002E-2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0.61753941229475384</v>
      </c>
      <c r="C8" s="20">
        <f>B8/$B$6</f>
        <v>1.0366359075630254</v>
      </c>
      <c r="D8" s="25">
        <f t="shared" si="1"/>
        <v>0.66792337304765725</v>
      </c>
      <c r="E8" s="20">
        <f t="shared" si="2"/>
        <v>1.0815882512918138</v>
      </c>
      <c r="F8" s="25">
        <f t="shared" si="3"/>
        <v>0.7238495694833802</v>
      </c>
      <c r="G8" s="25">
        <f t="shared" si="4"/>
        <v>0.65112871946335615</v>
      </c>
      <c r="H8" s="26">
        <f t="shared" si="9"/>
        <v>1.0082904883720931</v>
      </c>
      <c r="I8" s="26" t="e">
        <f t="shared" si="10"/>
        <v>#DIV/0!</v>
      </c>
      <c r="J8" s="27">
        <f t="shared" si="5"/>
        <v>1.054392167527876</v>
      </c>
      <c r="K8" s="20">
        <f t="shared" si="6"/>
        <v>0.97485541865727943</v>
      </c>
      <c r="L8" s="25">
        <f t="shared" si="7"/>
        <v>0.32581627953544257</v>
      </c>
      <c r="M8" s="28">
        <f t="shared" si="8"/>
        <v>0.52760402502039705</v>
      </c>
      <c r="N8" s="29">
        <f>N7</f>
        <v>59.542758353453152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0.63567763816579903</v>
      </c>
      <c r="C9" s="20">
        <f>B9/$B$6</f>
        <v>1.0670837394957984</v>
      </c>
      <c r="D9" s="25">
        <f t="shared" si="1"/>
        <v>0.67682453944733678</v>
      </c>
      <c r="E9" s="20">
        <f t="shared" si="2"/>
        <v>1.0647291941875825</v>
      </c>
      <c r="F9" s="25">
        <f t="shared" si="3"/>
        <v>0.72217010412494997</v>
      </c>
      <c r="G9" s="25">
        <f t="shared" si="4"/>
        <v>0.65532738285943148</v>
      </c>
      <c r="H9" s="26">
        <f t="shared" si="9"/>
        <v>1.0147922325581398</v>
      </c>
      <c r="I9" s="26" t="e">
        <f t="shared" si="10"/>
        <v>#DIV/0!</v>
      </c>
      <c r="J9" s="27">
        <f t="shared" si="5"/>
        <v>1.0309114927344782</v>
      </c>
      <c r="K9" s="20">
        <f t="shared" si="6"/>
        <v>0.968238213399504</v>
      </c>
      <c r="L9" s="25">
        <f t="shared" si="7"/>
        <v>0.32581627953544257</v>
      </c>
      <c r="M9" s="28">
        <f t="shared" si="8"/>
        <v>0.512549537648613</v>
      </c>
      <c r="N9" s="29">
        <f>N7</f>
        <v>59.542758353453152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0.6262726321585903</v>
      </c>
      <c r="C10" s="20">
        <f>B10/$B$6</f>
        <v>1.051295974789916</v>
      </c>
      <c r="D10" s="25">
        <f t="shared" si="1"/>
        <v>0.66993873147777339</v>
      </c>
      <c r="E10" s="20">
        <f t="shared" si="2"/>
        <v>1.0697237865379459</v>
      </c>
      <c r="F10" s="25">
        <f t="shared" si="3"/>
        <v>0.75156074789747707</v>
      </c>
      <c r="G10" s="25">
        <f t="shared" si="4"/>
        <v>0.65163255907088513</v>
      </c>
      <c r="H10" s="26">
        <f t="shared" si="9"/>
        <v>1.0090706976744186</v>
      </c>
      <c r="I10" s="26" t="e">
        <f t="shared" si="10"/>
        <v>#DIV/0!</v>
      </c>
      <c r="J10" s="27">
        <f t="shared" si="5"/>
        <v>1.040493429873961</v>
      </c>
      <c r="K10" s="20">
        <f t="shared" si="6"/>
        <v>0.97267485585359736</v>
      </c>
      <c r="L10" s="25">
        <f t="shared" si="7"/>
        <v>0.30902162595114135</v>
      </c>
      <c r="M10" s="28">
        <f t="shared" si="8"/>
        <v>0.49342987396084736</v>
      </c>
      <c r="N10" s="29">
        <f>N7</f>
        <v>59.542758353453152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1.0216792250700841</v>
      </c>
      <c r="C11" s="20">
        <f>B11/$B$6</f>
        <v>1.7150474117647059</v>
      </c>
      <c r="D11" s="25">
        <f t="shared" si="1"/>
        <v>1.0461934921906286</v>
      </c>
      <c r="E11" s="20">
        <f t="shared" si="2"/>
        <v>1.0239940937615355</v>
      </c>
      <c r="F11" s="25">
        <f t="shared" si="3"/>
        <v>1.1747991089307168</v>
      </c>
      <c r="G11" s="25">
        <f t="shared" si="4"/>
        <v>0.9609592711253504</v>
      </c>
      <c r="H11" s="26">
        <f t="shared" si="9"/>
        <v>1.4880715038759689</v>
      </c>
      <c r="I11" s="26" t="e">
        <f t="shared" si="10"/>
        <v>#DIV/0!</v>
      </c>
      <c r="J11" s="27">
        <f t="shared" si="5"/>
        <v>0.94056847545219635</v>
      </c>
      <c r="K11" s="20">
        <f t="shared" si="6"/>
        <v>0.91852919971160785</v>
      </c>
      <c r="L11" s="25">
        <f t="shared" si="7"/>
        <v>0.45898250901081294</v>
      </c>
      <c r="M11" s="28">
        <f t="shared" si="8"/>
        <v>0.44924326319675151</v>
      </c>
      <c r="N11" s="29">
        <f>P6/P11</f>
        <v>26.515171626536411</v>
      </c>
      <c r="O11" s="9"/>
      <c r="P11" s="9">
        <f>7.5338/100</f>
        <v>7.5338000000000002E-2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1.3309810272326792</v>
      </c>
      <c r="E12" s="20" t="e">
        <f t="shared" si="2"/>
        <v>#DIV/0!</v>
      </c>
      <c r="F12" s="25">
        <f>F21*N12</f>
        <v>1.3905771926311572</v>
      </c>
      <c r="G12" s="25">
        <f>G21*N12</f>
        <v>1.2141258009611533</v>
      </c>
      <c r="H12" s="26">
        <f t="shared" si="9"/>
        <v>1.8801067441860462</v>
      </c>
      <c r="I12" s="26" t="e">
        <f t="shared" si="10"/>
        <v>#DIV/0!</v>
      </c>
      <c r="J12" s="27"/>
      <c r="K12" s="20">
        <f t="shared" si="6"/>
        <v>0.91220368744512725</v>
      </c>
      <c r="L12" s="25">
        <f>L21*$N$12</f>
        <v>0.62517546055266315</v>
      </c>
      <c r="M12" s="31">
        <f>L12/D12</f>
        <v>0.46971027216856892</v>
      </c>
      <c r="N12" s="29">
        <f>P13/P6</f>
        <v>1.1685522627152582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1.3333181317581098</v>
      </c>
      <c r="E13" s="20" t="e">
        <f t="shared" si="2"/>
        <v>#DIV/0!</v>
      </c>
      <c r="F13" s="25">
        <f>F22*N13</f>
        <v>1.4840613736483781</v>
      </c>
      <c r="G13" s="25">
        <f>G22*N13</f>
        <v>1.208283039647577</v>
      </c>
      <c r="H13" s="26">
        <f t="shared" si="9"/>
        <v>1.8710590697674416</v>
      </c>
      <c r="I13" s="26" t="e">
        <f t="shared" si="10"/>
        <v>#DIV/0!</v>
      </c>
      <c r="J13" s="27"/>
      <c r="K13" s="20">
        <f t="shared" si="6"/>
        <v>0.90622261174408403</v>
      </c>
      <c r="L13" s="25">
        <f>L22*$N$12</f>
        <v>0.60647862434921906</v>
      </c>
      <c r="M13" s="31">
        <f>L13/D13</f>
        <v>0.45486415425065729</v>
      </c>
      <c r="N13" s="29">
        <f>P13/P6</f>
        <v>1.1685522627152582</v>
      </c>
      <c r="O13" s="9"/>
      <c r="P13" s="34">
        <v>2.3342999999999998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1.2642538045654788</v>
      </c>
      <c r="E14" s="20" t="e">
        <f t="shared" si="2"/>
        <v>#DIV/0!</v>
      </c>
      <c r="F14" s="25">
        <f>F23/N14</f>
        <v>1.3527792350820984</v>
      </c>
      <c r="G14" s="25">
        <f>G23/N14</f>
        <v>1.2227575090108129</v>
      </c>
      <c r="H14" s="26">
        <f t="shared" si="9"/>
        <v>1.8934731782945735</v>
      </c>
      <c r="I14" s="26" t="e">
        <f t="shared" si="10"/>
        <v>#DIV/0!</v>
      </c>
      <c r="J14" s="27"/>
      <c r="K14" s="20">
        <f t="shared" si="6"/>
        <v>0.96717724288840246</v>
      </c>
      <c r="L14" s="25">
        <f>L23/N14</f>
        <v>0.53115258309971969</v>
      </c>
      <c r="M14" s="35">
        <f>L14/D14</f>
        <v>0.42013129102844637</v>
      </c>
      <c r="N14" s="36">
        <f>P6/P14</f>
        <v>3.6147805001628606</v>
      </c>
      <c r="O14" s="9"/>
      <c r="P14" s="37">
        <f>5.5262/10</f>
        <v>0.55262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37.72</v>
      </c>
      <c r="C16" s="45"/>
      <c r="D16" s="45">
        <v>40.840000000000003</v>
      </c>
      <c r="E16" s="45"/>
      <c r="F16" s="45">
        <v>45.66</v>
      </c>
      <c r="G16" s="45">
        <v>38.67</v>
      </c>
      <c r="H16" s="46"/>
      <c r="I16" s="46"/>
      <c r="J16" s="46"/>
      <c r="K16" s="47">
        <f t="shared" si="6"/>
        <v>0.94686581782566104</v>
      </c>
      <c r="L16" s="48">
        <v>17.809999999999999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36.770000000000003</v>
      </c>
      <c r="C17" s="50"/>
      <c r="D17" s="45">
        <v>39.770000000000003</v>
      </c>
      <c r="E17" s="45"/>
      <c r="F17" s="51">
        <v>43.1</v>
      </c>
      <c r="G17" s="45">
        <v>38.770000000000003</v>
      </c>
      <c r="H17" s="50"/>
      <c r="I17" s="50"/>
      <c r="J17" s="50"/>
      <c r="K17" s="52">
        <f t="shared" si="6"/>
        <v>0.97485541865727932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37.85</v>
      </c>
      <c r="C18" s="50"/>
      <c r="D18" s="45">
        <v>40.299999999999997</v>
      </c>
      <c r="E18" s="56"/>
      <c r="F18" s="45">
        <v>43</v>
      </c>
      <c r="G18" s="56">
        <v>39.020000000000003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37.29</v>
      </c>
      <c r="C19" s="50"/>
      <c r="D19" s="56">
        <v>39.89</v>
      </c>
      <c r="E19" s="59"/>
      <c r="F19" s="56">
        <v>44.75</v>
      </c>
      <c r="G19" s="56">
        <v>38.799999999999997</v>
      </c>
      <c r="H19" s="50"/>
      <c r="I19" s="50"/>
      <c r="J19" s="50"/>
      <c r="K19" s="52"/>
      <c r="L19" s="60">
        <v>18.399999999999999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27.09</v>
      </c>
      <c r="C20" s="46"/>
      <c r="D20" s="45">
        <v>27.74</v>
      </c>
      <c r="E20" s="51"/>
      <c r="F20" s="45">
        <v>31.15</v>
      </c>
      <c r="G20" s="62">
        <v>25.48</v>
      </c>
      <c r="H20" s="50"/>
      <c r="I20" s="50"/>
      <c r="J20" s="50"/>
      <c r="K20" s="52">
        <f>G20/D20</f>
        <v>0.91852919971160785</v>
      </c>
      <c r="L20" s="63">
        <v>12.17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1.139</v>
      </c>
      <c r="E21" s="67"/>
      <c r="F21" s="67">
        <v>1.19</v>
      </c>
      <c r="G21" s="67">
        <v>1.0389999999999999</v>
      </c>
      <c r="H21" s="50"/>
      <c r="I21" s="50"/>
      <c r="J21" s="50"/>
      <c r="K21" s="52">
        <f>G21/D21</f>
        <v>0.91220368744512725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1.141</v>
      </c>
      <c r="E22" s="67"/>
      <c r="F22" s="67">
        <v>1.27</v>
      </c>
      <c r="G22" s="67">
        <v>1.034</v>
      </c>
      <c r="H22" s="50"/>
      <c r="I22" s="50"/>
      <c r="J22" s="50"/>
      <c r="K22" s="52">
        <f>G22/D22</f>
        <v>0.90622261174408414</v>
      </c>
      <c r="L22" s="68">
        <v>0.51900000000000002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4.57</v>
      </c>
      <c r="E23" s="76">
        <f>ROUND((34.45+33.3)/2,2)</f>
        <v>33.880000000000003</v>
      </c>
      <c r="F23" s="76">
        <v>4.8899999999999997</v>
      </c>
      <c r="G23" s="76">
        <v>4.42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1.92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244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0.59360502818376804</v>
      </c>
      <c r="C6" s="20"/>
      <c r="D6" s="19">
        <f t="shared" ref="D6:D11" si="1">D15/N6</f>
        <v>0.63351124856587016</v>
      </c>
      <c r="E6" s="20">
        <f t="shared" ref="E6:E14" si="2">D6/B6</f>
        <v>1.0672268907563027</v>
      </c>
      <c r="F6" s="19">
        <f t="shared" ref="F6:F11" si="3">F15/N6</f>
        <v>0.68838230159126046</v>
      </c>
      <c r="G6" s="19">
        <f t="shared" ref="G6:G11" si="4">G15/N6</f>
        <v>0.64348780366139569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</v>
      </c>
      <c r="L6" s="19">
        <f t="shared" ref="L6:L11" si="7">L15/N6</f>
        <v>0.33421459570010476</v>
      </c>
      <c r="M6" s="21">
        <f t="shared" ref="M6:M11" si="8">L6/B6</f>
        <v>0.56302521008403372</v>
      </c>
      <c r="N6" s="22">
        <f>P6</f>
        <v>2.0047000000000001</v>
      </c>
      <c r="O6" s="23" t="s">
        <v>17</v>
      </c>
      <c r="P6" s="9">
        <v>2.0047000000000001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0.63557424053474321</v>
      </c>
      <c r="C7" s="20">
        <f>B7/$B$6</f>
        <v>1.0707022521008402</v>
      </c>
      <c r="D7" s="25">
        <f t="shared" si="1"/>
        <v>0.68724831146804988</v>
      </c>
      <c r="E7" s="20">
        <f t="shared" si="2"/>
        <v>1.0813029661016949</v>
      </c>
      <c r="F7" s="25">
        <f t="shared" si="3"/>
        <v>0.77309123060807083</v>
      </c>
      <c r="G7" s="25">
        <f t="shared" si="4"/>
        <v>0.65392106050780652</v>
      </c>
      <c r="H7" s="26">
        <f t="shared" ref="H7:H14" si="9">G7/$G$6</f>
        <v>1.0162136046511627</v>
      </c>
      <c r="I7" s="26" t="e">
        <f t="shared" ref="I7:I14" si="10">G7/$G$5</f>
        <v>#DIV/0!</v>
      </c>
      <c r="J7" s="27">
        <f t="shared" si="5"/>
        <v>1.0288665254237288</v>
      </c>
      <c r="K7" s="20">
        <f t="shared" si="6"/>
        <v>0.9515062454077885</v>
      </c>
      <c r="L7" s="25">
        <f t="shared" si="7"/>
        <v>0.30634139771536878</v>
      </c>
      <c r="M7" s="28">
        <f t="shared" si="8"/>
        <v>0.48199152542372875</v>
      </c>
      <c r="N7" s="29">
        <f>P6/P7</f>
        <v>59.410840766973905</v>
      </c>
      <c r="O7" s="9"/>
      <c r="P7" s="9">
        <f>3.3743/100</f>
        <v>3.3742999999999995E-2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0.61116792038709022</v>
      </c>
      <c r="C8" s="20">
        <f>B8/$B$6</f>
        <v>1.029586831932773</v>
      </c>
      <c r="D8" s="25">
        <f t="shared" si="1"/>
        <v>0.66890149149498668</v>
      </c>
      <c r="E8" s="20">
        <f t="shared" si="2"/>
        <v>1.0944643348939687</v>
      </c>
      <c r="F8" s="25">
        <f t="shared" si="3"/>
        <v>0.72545682645782394</v>
      </c>
      <c r="G8" s="25">
        <f t="shared" si="4"/>
        <v>0.62900978201227098</v>
      </c>
      <c r="H8" s="26">
        <f t="shared" si="9"/>
        <v>0.97750070542635636</v>
      </c>
      <c r="I8" s="26" t="e">
        <f t="shared" si="10"/>
        <v>#DIV/0!</v>
      </c>
      <c r="J8" s="27">
        <f t="shared" si="5"/>
        <v>1.0291930597631505</v>
      </c>
      <c r="K8" s="20">
        <f t="shared" si="6"/>
        <v>0.94036235530951173</v>
      </c>
      <c r="L8" s="25">
        <f t="shared" si="7"/>
        <v>0.32653973163066785</v>
      </c>
      <c r="M8" s="28">
        <f t="shared" si="8"/>
        <v>0.53428807491049291</v>
      </c>
      <c r="N8" s="29">
        <f>N7</f>
        <v>59.410840766973905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0.62732658751932946</v>
      </c>
      <c r="C9" s="20">
        <f>B9/$B$6</f>
        <v>1.056808075630252</v>
      </c>
      <c r="D9" s="25">
        <f t="shared" si="1"/>
        <v>0.67411939442310553</v>
      </c>
      <c r="E9" s="20">
        <f t="shared" si="2"/>
        <v>1.0745908237188087</v>
      </c>
      <c r="F9" s="25">
        <f t="shared" si="3"/>
        <v>0.72310035416770568</v>
      </c>
      <c r="G9" s="25">
        <f t="shared" si="4"/>
        <v>0.64819819923180511</v>
      </c>
      <c r="H9" s="26">
        <f t="shared" si="9"/>
        <v>1.0073201007751935</v>
      </c>
      <c r="I9" s="26" t="e">
        <f t="shared" si="10"/>
        <v>#DIV/0!</v>
      </c>
      <c r="J9" s="27">
        <f t="shared" si="5"/>
        <v>1.033270727126375</v>
      </c>
      <c r="K9" s="20">
        <f t="shared" si="6"/>
        <v>0.96154806491885148</v>
      </c>
      <c r="L9" s="25">
        <f t="shared" si="7"/>
        <v>0.32653973163066785</v>
      </c>
      <c r="M9" s="28">
        <f t="shared" si="8"/>
        <v>0.52052589213844913</v>
      </c>
      <c r="N9" s="29">
        <f>N7</f>
        <v>59.410840766973905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0.62766322641791772</v>
      </c>
      <c r="C10" s="20">
        <f>B10/$B$6</f>
        <v>1.0573751848739494</v>
      </c>
      <c r="D10" s="25">
        <f t="shared" si="1"/>
        <v>0.67395107497381135</v>
      </c>
      <c r="E10" s="20">
        <f t="shared" si="2"/>
        <v>1.0737463126843658</v>
      </c>
      <c r="F10" s="25">
        <f t="shared" si="3"/>
        <v>0.7656851748391279</v>
      </c>
      <c r="G10" s="25">
        <f t="shared" si="4"/>
        <v>0.6667133386541626</v>
      </c>
      <c r="H10" s="26">
        <f t="shared" si="9"/>
        <v>1.0360932015503874</v>
      </c>
      <c r="I10" s="26" t="e">
        <f t="shared" si="10"/>
        <v>#DIV/0!</v>
      </c>
      <c r="J10" s="27">
        <f t="shared" si="5"/>
        <v>1.0622150710646288</v>
      </c>
      <c r="K10" s="20">
        <f t="shared" si="6"/>
        <v>0.98926073926073932</v>
      </c>
      <c r="L10" s="25">
        <f t="shared" si="7"/>
        <v>0.29607391130842514</v>
      </c>
      <c r="M10" s="28">
        <f t="shared" si="8"/>
        <v>0.4717082327701797</v>
      </c>
      <c r="N10" s="29">
        <f>N7</f>
        <v>59.410840766973905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1.0213039457275401</v>
      </c>
      <c r="C11" s="20">
        <f>B11/$B$6</f>
        <v>1.7205109411764707</v>
      </c>
      <c r="D11" s="25">
        <f t="shared" si="1"/>
        <v>1.0495792487654012</v>
      </c>
      <c r="E11" s="20">
        <f t="shared" si="2"/>
        <v>1.027685492801772</v>
      </c>
      <c r="F11" s="25">
        <f t="shared" si="3"/>
        <v>1.181907666982591</v>
      </c>
      <c r="G11" s="25">
        <f t="shared" si="4"/>
        <v>0.96060629520626528</v>
      </c>
      <c r="H11" s="26">
        <f t="shared" si="9"/>
        <v>1.4928119689922481</v>
      </c>
      <c r="I11" s="26" t="e">
        <f t="shared" si="10"/>
        <v>#DIV/0!</v>
      </c>
      <c r="J11" s="27">
        <f t="shared" si="5"/>
        <v>0.94056847545219657</v>
      </c>
      <c r="K11" s="20">
        <f t="shared" si="6"/>
        <v>0.91522988505747138</v>
      </c>
      <c r="L11" s="25">
        <f t="shared" si="7"/>
        <v>0.46635399810445449</v>
      </c>
      <c r="M11" s="28">
        <f t="shared" si="8"/>
        <v>0.4566260612772241</v>
      </c>
      <c r="N11" s="29">
        <f>P6/P11</f>
        <v>26.524914657704624</v>
      </c>
      <c r="O11" s="9"/>
      <c r="P11" s="9">
        <f>7.5578/100</f>
        <v>7.5578000000000006E-2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1.3374031525914101</v>
      </c>
      <c r="E12" s="20" t="e">
        <f t="shared" si="2"/>
        <v>#DIV/0!</v>
      </c>
      <c r="F12" s="25">
        <f>F21*N12</f>
        <v>1.3972868758417716</v>
      </c>
      <c r="G12" s="25">
        <f>G21*N12</f>
        <v>1.231725993914301</v>
      </c>
      <c r="H12" s="26">
        <f t="shared" si="9"/>
        <v>1.9141403875968988</v>
      </c>
      <c r="I12" s="26" t="e">
        <f t="shared" si="10"/>
        <v>#DIV/0!</v>
      </c>
      <c r="J12" s="27"/>
      <c r="K12" s="20">
        <f t="shared" si="6"/>
        <v>0.92098331870061434</v>
      </c>
      <c r="L12" s="25">
        <f>L21*$N$12</f>
        <v>0.62819199880281329</v>
      </c>
      <c r="M12" s="31">
        <f>L12/D12</f>
        <v>0.46971027216856887</v>
      </c>
      <c r="N12" s="29">
        <f>P13/P6</f>
        <v>1.1741906519678753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1.3362289619394421</v>
      </c>
      <c r="E13" s="20" t="e">
        <f t="shared" si="2"/>
        <v>#DIV/0!</v>
      </c>
      <c r="F13" s="25">
        <f>F22*N13</f>
        <v>1.4912221279992017</v>
      </c>
      <c r="G13" s="25">
        <f>G22*N13</f>
        <v>1.2094163715269115</v>
      </c>
      <c r="H13" s="26">
        <f t="shared" si="9"/>
        <v>1.8794705426356586</v>
      </c>
      <c r="I13" s="26" t="e">
        <f t="shared" si="10"/>
        <v>#DIV/0!</v>
      </c>
      <c r="J13" s="27"/>
      <c r="K13" s="20">
        <f t="shared" si="6"/>
        <v>0.90509666080843587</v>
      </c>
      <c r="L13" s="25">
        <f>L22*$N$12</f>
        <v>0.60470818576345575</v>
      </c>
      <c r="M13" s="31">
        <f>L13/D13</f>
        <v>0.45254833040421794</v>
      </c>
      <c r="N13" s="29">
        <f>P13/P6</f>
        <v>1.1741906519678753</v>
      </c>
      <c r="O13" s="9"/>
      <c r="P13" s="34">
        <v>2.3538999999999999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1.2588212700154637</v>
      </c>
      <c r="E14" s="20" t="e">
        <f t="shared" si="2"/>
        <v>#DIV/0!</v>
      </c>
      <c r="F14" s="25">
        <f>F23/N14</f>
        <v>1.3558669626378013</v>
      </c>
      <c r="G14" s="25">
        <f>G23/N14</f>
        <v>1.2255484611163765</v>
      </c>
      <c r="H14" s="26">
        <f t="shared" si="9"/>
        <v>1.9045403100775196</v>
      </c>
      <c r="I14" s="26" t="e">
        <f t="shared" si="10"/>
        <v>#DIV/0!</v>
      </c>
      <c r="J14" s="27"/>
      <c r="K14" s="20">
        <f t="shared" si="6"/>
        <v>0.9735682819383259</v>
      </c>
      <c r="L14" s="25">
        <f>L23/N14</f>
        <v>0.58781962388387299</v>
      </c>
      <c r="M14" s="35">
        <f>L14/D14</f>
        <v>0.46696035242290751</v>
      </c>
      <c r="N14" s="36">
        <f>P6/P14</f>
        <v>3.6065485292794817</v>
      </c>
      <c r="O14" s="9"/>
      <c r="P14" s="37">
        <f>5.5585/10</f>
        <v>0.55585000000000007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37.76</v>
      </c>
      <c r="C16" s="45"/>
      <c r="D16" s="45">
        <v>40.83</v>
      </c>
      <c r="E16" s="45"/>
      <c r="F16" s="45">
        <v>45.93</v>
      </c>
      <c r="G16" s="45">
        <v>38.85</v>
      </c>
      <c r="H16" s="46"/>
      <c r="I16" s="46"/>
      <c r="J16" s="46"/>
      <c r="K16" s="47">
        <f t="shared" si="6"/>
        <v>0.9515062454077885</v>
      </c>
      <c r="L16" s="48">
        <v>18.2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36.31</v>
      </c>
      <c r="C17" s="50"/>
      <c r="D17" s="45">
        <v>39.74</v>
      </c>
      <c r="E17" s="45"/>
      <c r="F17" s="51">
        <v>43.1</v>
      </c>
      <c r="G17" s="45">
        <v>37.369999999999997</v>
      </c>
      <c r="H17" s="50"/>
      <c r="I17" s="50"/>
      <c r="J17" s="50"/>
      <c r="K17" s="52">
        <f t="shared" si="6"/>
        <v>0.94036235530951173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37.270000000000003</v>
      </c>
      <c r="C18" s="50"/>
      <c r="D18" s="45">
        <v>40.049999999999997</v>
      </c>
      <c r="E18" s="56"/>
      <c r="F18" s="45">
        <v>42.96</v>
      </c>
      <c r="G18" s="56">
        <v>38.51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37.29</v>
      </c>
      <c r="C19" s="50"/>
      <c r="D19" s="56">
        <v>40.04</v>
      </c>
      <c r="E19" s="59"/>
      <c r="F19" s="56">
        <v>45.49</v>
      </c>
      <c r="G19" s="56">
        <v>39.61</v>
      </c>
      <c r="H19" s="50"/>
      <c r="I19" s="50"/>
      <c r="J19" s="50"/>
      <c r="K19" s="52"/>
      <c r="L19" s="60">
        <v>17.59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27.09</v>
      </c>
      <c r="C20" s="46"/>
      <c r="D20" s="45">
        <v>27.84</v>
      </c>
      <c r="E20" s="51"/>
      <c r="F20" s="45">
        <v>31.35</v>
      </c>
      <c r="G20" s="62">
        <v>25.48</v>
      </c>
      <c r="H20" s="50"/>
      <c r="I20" s="50"/>
      <c r="J20" s="50"/>
      <c r="K20" s="52">
        <f>G20/D20</f>
        <v>0.91522988505747127</v>
      </c>
      <c r="L20" s="63">
        <v>12.37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1.139</v>
      </c>
      <c r="E21" s="67"/>
      <c r="F21" s="67">
        <v>1.19</v>
      </c>
      <c r="G21" s="67">
        <v>1.0489999999999999</v>
      </c>
      <c r="H21" s="50"/>
      <c r="I21" s="50"/>
      <c r="J21" s="50"/>
      <c r="K21" s="52">
        <f>G21/D21</f>
        <v>0.92098331870061445</v>
      </c>
      <c r="L21" s="68">
        <v>0.53500000000000003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1.1379999999999999</v>
      </c>
      <c r="E22" s="67"/>
      <c r="F22" s="67">
        <v>1.27</v>
      </c>
      <c r="G22" s="67">
        <v>1.03</v>
      </c>
      <c r="H22" s="50"/>
      <c r="I22" s="50"/>
      <c r="J22" s="50"/>
      <c r="K22" s="52">
        <f>G22/D22</f>
        <v>0.90509666080843598</v>
      </c>
      <c r="L22" s="68">
        <v>0.51500000000000001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4.54</v>
      </c>
      <c r="E23" s="76">
        <f>ROUND((34.45+33.3)/2,2)</f>
        <v>33.880000000000003</v>
      </c>
      <c r="F23" s="76">
        <v>4.8899999999999997</v>
      </c>
      <c r="G23" s="76">
        <v>4.42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245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0.59559559559559561</v>
      </c>
      <c r="C6" s="20"/>
      <c r="D6" s="19">
        <f t="shared" ref="D6:D11" si="1">D15/N6</f>
        <v>0.63563563563563563</v>
      </c>
      <c r="E6" s="20">
        <f t="shared" ref="E6:E14" si="2">D6/B6</f>
        <v>1.0672268907563025</v>
      </c>
      <c r="F6" s="19">
        <f t="shared" ref="F6:F11" si="3">F15/N6</f>
        <v>0.69069069069069067</v>
      </c>
      <c r="G6" s="19">
        <f t="shared" ref="G6:G11" si="4">G15/N6</f>
        <v>0.64564564564564564</v>
      </c>
      <c r="H6" s="19"/>
      <c r="I6" s="19"/>
      <c r="J6" s="20">
        <f t="shared" ref="J6:J11" si="5">G6/B6</f>
        <v>1.0840336134453781</v>
      </c>
      <c r="K6" s="20">
        <f t="shared" ref="K6:K17" si="6">G6/D6</f>
        <v>1.015748031496063</v>
      </c>
      <c r="L6" s="19">
        <f t="shared" ref="L6:L11" si="7">L15/N6</f>
        <v>0.33533533533533538</v>
      </c>
      <c r="M6" s="21">
        <f t="shared" ref="M6:M11" si="8">L6/B6</f>
        <v>0.56302521008403372</v>
      </c>
      <c r="N6" s="22">
        <f>P6</f>
        <v>1.998</v>
      </c>
      <c r="O6" s="23" t="s">
        <v>17</v>
      </c>
      <c r="P6" s="9">
        <v>1.998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0.64746663663663662</v>
      </c>
      <c r="C7" s="20">
        <f>B7/$B$6</f>
        <v>1.0870910420168067</v>
      </c>
      <c r="D7" s="25">
        <f t="shared" si="1"/>
        <v>0.70099464964964964</v>
      </c>
      <c r="E7" s="20">
        <f t="shared" si="2"/>
        <v>1.0826730058108822</v>
      </c>
      <c r="F7" s="25">
        <f t="shared" si="3"/>
        <v>0.78462148148148148</v>
      </c>
      <c r="G7" s="25">
        <f t="shared" si="4"/>
        <v>0.66867262262262261</v>
      </c>
      <c r="H7" s="26">
        <f t="shared" ref="H7:H14" si="9">G7/$G$6</f>
        <v>1.03566503875969</v>
      </c>
      <c r="I7" s="26" t="e">
        <f t="shared" ref="I7:I14" si="10">G7/$G$5</f>
        <v>#DIV/0!</v>
      </c>
      <c r="J7" s="27">
        <f t="shared" si="5"/>
        <v>1.0327522451135764</v>
      </c>
      <c r="K7" s="20">
        <f t="shared" si="6"/>
        <v>0.95389119297389613</v>
      </c>
      <c r="L7" s="25">
        <f t="shared" si="7"/>
        <v>0.30919695695695693</v>
      </c>
      <c r="M7" s="28">
        <f t="shared" si="8"/>
        <v>0.47754886423666137</v>
      </c>
      <c r="N7" s="29">
        <f>P6/P7</f>
        <v>58.474055430360856</v>
      </c>
      <c r="O7" s="9"/>
      <c r="P7" s="9">
        <f>3.4169/100</f>
        <v>3.4168999999999998E-2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0.62266931431431427</v>
      </c>
      <c r="C8" s="20">
        <f>B8/$B$6</f>
        <v>1.0454565462184873</v>
      </c>
      <c r="D8" s="25">
        <f t="shared" si="1"/>
        <v>0.67414513513513519</v>
      </c>
      <c r="E8" s="20">
        <f t="shared" si="2"/>
        <v>1.0826695962647626</v>
      </c>
      <c r="F8" s="25">
        <f t="shared" si="3"/>
        <v>0.737079029029029</v>
      </c>
      <c r="G8" s="25">
        <f t="shared" si="4"/>
        <v>0.65618845345345334</v>
      </c>
      <c r="H8" s="26">
        <f t="shared" si="9"/>
        <v>1.0163290930232556</v>
      </c>
      <c r="I8" s="26" t="e">
        <f t="shared" si="10"/>
        <v>#DIV/0!</v>
      </c>
      <c r="J8" s="27">
        <f t="shared" si="5"/>
        <v>1.0538313650096127</v>
      </c>
      <c r="K8" s="20">
        <f t="shared" si="6"/>
        <v>0.97336377473363744</v>
      </c>
      <c r="L8" s="25">
        <f t="shared" si="7"/>
        <v>0.33177107107107101</v>
      </c>
      <c r="M8" s="28">
        <f t="shared" si="8"/>
        <v>0.53282065366657505</v>
      </c>
      <c r="N8" s="29">
        <f>N7</f>
        <v>58.474055430360856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0.63754770770770774</v>
      </c>
      <c r="C9" s="20">
        <f>B9/$B$6</f>
        <v>1.0704372436974789</v>
      </c>
      <c r="D9" s="25">
        <f t="shared" si="1"/>
        <v>0.68885251251251245</v>
      </c>
      <c r="E9" s="20">
        <f t="shared" si="2"/>
        <v>1.0804721030042916</v>
      </c>
      <c r="F9" s="25">
        <f t="shared" si="3"/>
        <v>0.73536886886886887</v>
      </c>
      <c r="G9" s="25">
        <f t="shared" si="4"/>
        <v>0.6640551901901901</v>
      </c>
      <c r="H9" s="26">
        <f t="shared" si="9"/>
        <v>1.028513387596899</v>
      </c>
      <c r="I9" s="26" t="e">
        <f t="shared" si="10"/>
        <v>#DIV/0!</v>
      </c>
      <c r="J9" s="27">
        <f t="shared" si="5"/>
        <v>1.0415772532188838</v>
      </c>
      <c r="K9" s="20">
        <f t="shared" si="6"/>
        <v>0.96400198609731869</v>
      </c>
      <c r="L9" s="25">
        <f t="shared" si="7"/>
        <v>0.33177107107107101</v>
      </c>
      <c r="M9" s="28">
        <f t="shared" si="8"/>
        <v>0.52038626609442051</v>
      </c>
      <c r="N9" s="29">
        <f>N7</f>
        <v>58.474055430360856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0.6360085635635635</v>
      </c>
      <c r="C10" s="20">
        <f>B10/$B$6</f>
        <v>1.0678530336134453</v>
      </c>
      <c r="D10" s="25">
        <f t="shared" si="1"/>
        <v>0.67927561561561556</v>
      </c>
      <c r="E10" s="20">
        <f t="shared" si="2"/>
        <v>1.0680290400645336</v>
      </c>
      <c r="F10" s="25">
        <f t="shared" si="3"/>
        <v>0.77795185685685686</v>
      </c>
      <c r="G10" s="25">
        <f t="shared" si="4"/>
        <v>0.67414513513513519</v>
      </c>
      <c r="H10" s="26">
        <f t="shared" si="9"/>
        <v>1.044141069767442</v>
      </c>
      <c r="I10" s="26" t="e">
        <f t="shared" si="10"/>
        <v>#DIV/0!</v>
      </c>
      <c r="J10" s="27">
        <f t="shared" si="5"/>
        <v>1.0599623554719013</v>
      </c>
      <c r="K10" s="20">
        <f t="shared" si="6"/>
        <v>0.99244712990936568</v>
      </c>
      <c r="L10" s="25">
        <f t="shared" si="7"/>
        <v>0.30081717217217213</v>
      </c>
      <c r="M10" s="28">
        <f t="shared" si="8"/>
        <v>0.47297660661468133</v>
      </c>
      <c r="N10" s="29">
        <f>N7</f>
        <v>58.474055430360856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1.0167387487487487</v>
      </c>
      <c r="C11" s="20">
        <f>B11/$B$6</f>
        <v>1.7070958151260502</v>
      </c>
      <c r="D11" s="25">
        <f t="shared" si="1"/>
        <v>1.0446302652652653</v>
      </c>
      <c r="E11" s="20">
        <f t="shared" si="2"/>
        <v>1.0274323335771764</v>
      </c>
      <c r="F11" s="25">
        <f t="shared" si="3"/>
        <v>1.1751625625625626</v>
      </c>
      <c r="G11" s="25">
        <f t="shared" si="4"/>
        <v>0.9568649599599599</v>
      </c>
      <c r="H11" s="26">
        <f t="shared" si="9"/>
        <v>1.4820280542635658</v>
      </c>
      <c r="I11" s="26" t="e">
        <f t="shared" si="10"/>
        <v>#DIV/0!</v>
      </c>
      <c r="J11" s="27">
        <f t="shared" si="5"/>
        <v>0.94111192392099485</v>
      </c>
      <c r="K11" s="20">
        <f t="shared" si="6"/>
        <v>0.91598433606265572</v>
      </c>
      <c r="L11" s="25">
        <f t="shared" si="7"/>
        <v>0.45444577577577577</v>
      </c>
      <c r="M11" s="28">
        <f t="shared" si="8"/>
        <v>0.44696415508412585</v>
      </c>
      <c r="N11" s="29">
        <f>P6/P11</f>
        <v>26.889896774019892</v>
      </c>
      <c r="O11" s="9"/>
      <c r="P11" s="9">
        <f>7.4303/100</f>
        <v>7.4302999999999994E-2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1.3200732732732734</v>
      </c>
      <c r="E12" s="20" t="e">
        <f t="shared" si="2"/>
        <v>#DIV/0!</v>
      </c>
      <c r="F12" s="25">
        <f>F21*N12</f>
        <v>1.3745825825825824</v>
      </c>
      <c r="G12" s="25">
        <f>G21*N12</f>
        <v>1.2252744744744746</v>
      </c>
      <c r="H12" s="26">
        <f t="shared" si="9"/>
        <v>1.8977506976744187</v>
      </c>
      <c r="I12" s="26" t="e">
        <f t="shared" si="10"/>
        <v>#DIV/0!</v>
      </c>
      <c r="J12" s="27"/>
      <c r="K12" s="20">
        <f t="shared" si="6"/>
        <v>0.92818671454219026</v>
      </c>
      <c r="L12" s="25">
        <f>L21*$N$12</f>
        <v>0.61500720720720725</v>
      </c>
      <c r="M12" s="31">
        <f>L12/D12</f>
        <v>0.46588868940754041</v>
      </c>
      <c r="N12" s="29">
        <f>P13/P6</f>
        <v>1.1849849849849849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1.3366630630630629</v>
      </c>
      <c r="E13" s="20" t="e">
        <f t="shared" si="2"/>
        <v>#DIV/0!</v>
      </c>
      <c r="F13" s="25">
        <f>F22*N13</f>
        <v>1.4930810810810811</v>
      </c>
      <c r="G13" s="25">
        <f>G22*N13</f>
        <v>1.2122396396396395</v>
      </c>
      <c r="H13" s="26">
        <f t="shared" si="9"/>
        <v>1.8775618604651161</v>
      </c>
      <c r="I13" s="26" t="e">
        <f t="shared" si="10"/>
        <v>#DIV/0!</v>
      </c>
      <c r="J13" s="27"/>
      <c r="K13" s="20">
        <f t="shared" si="6"/>
        <v>0.90691489361702127</v>
      </c>
      <c r="L13" s="25">
        <f>L22*$N$12</f>
        <v>0.60552732732732728</v>
      </c>
      <c r="M13" s="31">
        <f>L13/D13</f>
        <v>0.45301418439716312</v>
      </c>
      <c r="N13" s="29">
        <f>P13/P6</f>
        <v>1.1849849849849849</v>
      </c>
      <c r="O13" s="9"/>
      <c r="P13" s="34">
        <v>2.3675999999999999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1.2901250250250251</v>
      </c>
      <c r="E14" s="20" t="e">
        <f t="shared" si="2"/>
        <v>#DIV/0!</v>
      </c>
      <c r="F14" s="25">
        <f>F23/N14</f>
        <v>1.3774478978978979</v>
      </c>
      <c r="G14" s="25">
        <f>G23/N14</f>
        <v>1.2535057557557558</v>
      </c>
      <c r="H14" s="26">
        <f t="shared" si="9"/>
        <v>1.9414763565891475</v>
      </c>
      <c r="I14" s="26" t="e">
        <f t="shared" si="10"/>
        <v>#DIV/0!</v>
      </c>
      <c r="J14" s="27"/>
      <c r="K14" s="20">
        <f t="shared" si="6"/>
        <v>0.97161572052401746</v>
      </c>
      <c r="L14" s="25">
        <f>L23/N14</f>
        <v>0.60280950950950951</v>
      </c>
      <c r="M14" s="35">
        <f>L14/D14</f>
        <v>0.46724890829694321</v>
      </c>
      <c r="N14" s="36">
        <f>P6/P14</f>
        <v>3.5500435315648264</v>
      </c>
      <c r="O14" s="9"/>
      <c r="P14" s="37">
        <f>5.6281/10</f>
        <v>0.56281000000000003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37.86</v>
      </c>
      <c r="C16" s="45"/>
      <c r="D16" s="45">
        <v>40.99</v>
      </c>
      <c r="E16" s="45"/>
      <c r="F16" s="45">
        <v>45.88</v>
      </c>
      <c r="G16" s="45">
        <v>39.1</v>
      </c>
      <c r="H16" s="46"/>
      <c r="I16" s="46"/>
      <c r="J16" s="46"/>
      <c r="K16" s="47">
        <f t="shared" si="6"/>
        <v>0.95389119297389602</v>
      </c>
      <c r="L16" s="48">
        <v>18.079999999999998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36.409999999999997</v>
      </c>
      <c r="C17" s="50"/>
      <c r="D17" s="45">
        <v>39.42</v>
      </c>
      <c r="E17" s="45"/>
      <c r="F17" s="51">
        <v>43.1</v>
      </c>
      <c r="G17" s="45">
        <v>38.369999999999997</v>
      </c>
      <c r="H17" s="50"/>
      <c r="I17" s="50"/>
      <c r="J17" s="50"/>
      <c r="K17" s="52">
        <f t="shared" si="6"/>
        <v>0.97336377473363767</v>
      </c>
      <c r="L17" s="53">
        <v>19.399999999999999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37.28</v>
      </c>
      <c r="C18" s="50"/>
      <c r="D18" s="45">
        <v>40.28</v>
      </c>
      <c r="E18" s="56"/>
      <c r="F18" s="45">
        <v>43</v>
      </c>
      <c r="G18" s="56">
        <v>38.83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37.19</v>
      </c>
      <c r="C19" s="50"/>
      <c r="D19" s="56">
        <v>39.72</v>
      </c>
      <c r="E19" s="59"/>
      <c r="F19" s="56">
        <v>45.49</v>
      </c>
      <c r="G19" s="56">
        <v>39.42</v>
      </c>
      <c r="H19" s="50"/>
      <c r="I19" s="50"/>
      <c r="J19" s="50"/>
      <c r="K19" s="52"/>
      <c r="L19" s="60">
        <v>17.59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27.34</v>
      </c>
      <c r="C20" s="46"/>
      <c r="D20" s="45">
        <v>28.09</v>
      </c>
      <c r="E20" s="51"/>
      <c r="F20" s="45">
        <v>31.6</v>
      </c>
      <c r="G20" s="62">
        <v>25.73</v>
      </c>
      <c r="H20" s="50"/>
      <c r="I20" s="50"/>
      <c r="J20" s="50"/>
      <c r="K20" s="52">
        <f>G20/D20</f>
        <v>0.91598433606265572</v>
      </c>
      <c r="L20" s="63">
        <v>12.22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1.1140000000000001</v>
      </c>
      <c r="E21" s="67"/>
      <c r="F21" s="67">
        <v>1.1599999999999999</v>
      </c>
      <c r="G21" s="67">
        <v>1.034</v>
      </c>
      <c r="H21" s="50"/>
      <c r="I21" s="50"/>
      <c r="J21" s="50"/>
      <c r="K21" s="52">
        <f>G21/D21</f>
        <v>0.92818671454219026</v>
      </c>
      <c r="L21" s="68">
        <v>0.51900000000000002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1.1279999999999999</v>
      </c>
      <c r="E22" s="67"/>
      <c r="F22" s="67">
        <v>1.26</v>
      </c>
      <c r="G22" s="67">
        <v>1.0229999999999999</v>
      </c>
      <c r="H22" s="50"/>
      <c r="I22" s="50"/>
      <c r="J22" s="50"/>
      <c r="K22" s="52">
        <f>G22/D22</f>
        <v>0.90691489361702127</v>
      </c>
      <c r="L22" s="68">
        <v>0.51100000000000001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4.58</v>
      </c>
      <c r="E23" s="76">
        <f>ROUND((34.45+33.3)/2,2)</f>
        <v>33.880000000000003</v>
      </c>
      <c r="F23" s="76">
        <v>4.8899999999999997</v>
      </c>
      <c r="G23" s="76">
        <v>4.45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2.14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246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0.59162772198468727</v>
      </c>
      <c r="C6" s="20"/>
      <c r="D6" s="19">
        <f t="shared" ref="D6:D11" si="1">D15/N6</f>
        <v>0.63140101421895201</v>
      </c>
      <c r="E6" s="20">
        <f t="shared" ref="E6:E14" si="2">D6/B6</f>
        <v>1.0672268907563025</v>
      </c>
      <c r="F6" s="19">
        <f t="shared" ref="F6:F11" si="3">F15/N6</f>
        <v>0.68608929104106586</v>
      </c>
      <c r="G6" s="19">
        <f t="shared" ref="G6:G11" si="4">G15/N6</f>
        <v>0.64134433727751816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</v>
      </c>
      <c r="L6" s="19">
        <f t="shared" ref="L6:L11" si="7">L15/N6</f>
        <v>0.33310132246196678</v>
      </c>
      <c r="M6" s="21">
        <f t="shared" ref="M6:M11" si="8">L6/B6</f>
        <v>0.56302521008403361</v>
      </c>
      <c r="N6" s="22">
        <f>P6</f>
        <v>2.0114000000000001</v>
      </c>
      <c r="O6" s="23" t="s">
        <v>17</v>
      </c>
      <c r="P6" s="9">
        <v>2.0114000000000001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0.64487111464651481</v>
      </c>
      <c r="C7" s="20">
        <f>B7/$B$6</f>
        <v>1.089994756302521</v>
      </c>
      <c r="D7" s="25">
        <f t="shared" si="1"/>
        <v>0.69559323356865854</v>
      </c>
      <c r="E7" s="20">
        <f t="shared" si="2"/>
        <v>1.0786546610169492</v>
      </c>
      <c r="F7" s="25">
        <f t="shared" si="3"/>
        <v>0.79003542806005755</v>
      </c>
      <c r="G7" s="25">
        <f t="shared" si="4"/>
        <v>0.66707271552152725</v>
      </c>
      <c r="H7" s="26">
        <f t="shared" ref="H7:H14" si="9">G7/$G$6</f>
        <v>1.0401163255813952</v>
      </c>
      <c r="I7" s="26" t="e">
        <f t="shared" ref="I7:I14" si="10">G7/$G$5</f>
        <v>#DIV/0!</v>
      </c>
      <c r="J7" s="27">
        <f t="shared" si="5"/>
        <v>1.0344279661016949</v>
      </c>
      <c r="K7" s="20">
        <f t="shared" si="6"/>
        <v>0.95899828136508725</v>
      </c>
      <c r="L7" s="25">
        <f t="shared" si="7"/>
        <v>0.30723599980113347</v>
      </c>
      <c r="M7" s="28">
        <f t="shared" si="8"/>
        <v>0.47643008474576265</v>
      </c>
      <c r="N7" s="29">
        <f>P6/P7</f>
        <v>58.554336118308058</v>
      </c>
      <c r="O7" s="9"/>
      <c r="P7" s="9">
        <f>3.4351/100</f>
        <v>3.4351E-2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0.63035468330516053</v>
      </c>
      <c r="C8" s="20">
        <f>B8/$B$6</f>
        <v>1.0654583277310923</v>
      </c>
      <c r="D8" s="25">
        <f t="shared" si="1"/>
        <v>0.68056445759172712</v>
      </c>
      <c r="E8" s="20">
        <f t="shared" si="2"/>
        <v>1.0796532105120564</v>
      </c>
      <c r="F8" s="25">
        <f t="shared" si="3"/>
        <v>0.73606845977925817</v>
      </c>
      <c r="G8" s="25">
        <f t="shared" si="4"/>
        <v>0.64760361936959332</v>
      </c>
      <c r="H8" s="26">
        <f t="shared" si="9"/>
        <v>1.0097596279069767</v>
      </c>
      <c r="I8" s="26" t="e">
        <f t="shared" si="10"/>
        <v>#DIV/0!</v>
      </c>
      <c r="J8" s="27">
        <f t="shared" si="5"/>
        <v>1.0273638580330535</v>
      </c>
      <c r="K8" s="20">
        <f t="shared" si="6"/>
        <v>0.95156838143036393</v>
      </c>
      <c r="L8" s="25">
        <f t="shared" si="7"/>
        <v>0.33234088694441682</v>
      </c>
      <c r="M8" s="28">
        <f t="shared" si="8"/>
        <v>0.52722839338932548</v>
      </c>
      <c r="N8" s="29">
        <f>N7</f>
        <v>58.554336118308058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0.6380398528388187</v>
      </c>
      <c r="C9" s="20">
        <f>B9/$B$6</f>
        <v>1.0784482016806722</v>
      </c>
      <c r="D9" s="25">
        <f t="shared" si="1"/>
        <v>0.68944509794173203</v>
      </c>
      <c r="E9" s="20">
        <f t="shared" si="2"/>
        <v>1.0805674518201285</v>
      </c>
      <c r="F9" s="25">
        <f t="shared" si="3"/>
        <v>0.73606845977925817</v>
      </c>
      <c r="G9" s="25">
        <f t="shared" si="4"/>
        <v>0.6686097494282589</v>
      </c>
      <c r="H9" s="26">
        <f t="shared" si="9"/>
        <v>1.042512906976744</v>
      </c>
      <c r="I9" s="26" t="e">
        <f t="shared" si="10"/>
        <v>#DIV/0!</v>
      </c>
      <c r="J9" s="27">
        <f t="shared" si="5"/>
        <v>1.0479122055674519</v>
      </c>
      <c r="K9" s="20">
        <f t="shared" si="6"/>
        <v>0.96977953926182814</v>
      </c>
      <c r="L9" s="25">
        <f t="shared" si="7"/>
        <v>0.33131619767326237</v>
      </c>
      <c r="M9" s="28">
        <f t="shared" si="8"/>
        <v>0.51927194860813697</v>
      </c>
      <c r="N9" s="29">
        <f>N7</f>
        <v>58.554336118308058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0.63274562493785413</v>
      </c>
      <c r="C10" s="20">
        <f>B10/$B$6</f>
        <v>1.0694996218487394</v>
      </c>
      <c r="D10" s="25">
        <f t="shared" si="1"/>
        <v>0.68193070995326632</v>
      </c>
      <c r="E10" s="20">
        <f t="shared" si="2"/>
        <v>1.0777327935222674</v>
      </c>
      <c r="F10" s="25">
        <f t="shared" si="3"/>
        <v>0.7820086954360147</v>
      </c>
      <c r="G10" s="25">
        <f t="shared" si="4"/>
        <v>0.68107680222730438</v>
      </c>
      <c r="H10" s="26">
        <f t="shared" si="9"/>
        <v>1.0619518449612404</v>
      </c>
      <c r="I10" s="26" t="e">
        <f t="shared" si="10"/>
        <v>#DIV/0!</v>
      </c>
      <c r="J10" s="27">
        <f t="shared" si="5"/>
        <v>1.0763832658569503</v>
      </c>
      <c r="K10" s="20">
        <f t="shared" si="6"/>
        <v>0.99874780866516411</v>
      </c>
      <c r="L10" s="25">
        <f t="shared" si="7"/>
        <v>0.30040473799343737</v>
      </c>
      <c r="M10" s="28">
        <f t="shared" si="8"/>
        <v>0.47476383265856953</v>
      </c>
      <c r="N10" s="29">
        <f>N7</f>
        <v>58.554336118308058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1.0127322263100327</v>
      </c>
      <c r="C11" s="20">
        <f>B11/$B$6</f>
        <v>1.7117727731092436</v>
      </c>
      <c r="D11" s="25">
        <f t="shared" si="1"/>
        <v>1.0437229392462959</v>
      </c>
      <c r="E11" s="20">
        <f t="shared" si="2"/>
        <v>1.0306010928961749</v>
      </c>
      <c r="F11" s="25">
        <f t="shared" si="3"/>
        <v>1.1713751615789996</v>
      </c>
      <c r="G11" s="25">
        <f t="shared" si="4"/>
        <v>0.95554698220145151</v>
      </c>
      <c r="H11" s="26">
        <f t="shared" si="9"/>
        <v>1.4899125581395345</v>
      </c>
      <c r="I11" s="26" t="e">
        <f t="shared" si="10"/>
        <v>#DIV/0!</v>
      </c>
      <c r="J11" s="27">
        <f t="shared" si="5"/>
        <v>0.94353369763205819</v>
      </c>
      <c r="K11" s="20">
        <f t="shared" si="6"/>
        <v>0.91551785083068216</v>
      </c>
      <c r="L11" s="25">
        <f t="shared" si="7"/>
        <v>0.4471517152232275</v>
      </c>
      <c r="M11" s="28">
        <f t="shared" si="8"/>
        <v>0.44153005464480871</v>
      </c>
      <c r="N11" s="29">
        <f>P6/P11</f>
        <v>27.104894351013371</v>
      </c>
      <c r="O11" s="9"/>
      <c r="P11" s="9">
        <f>7.4208/100</f>
        <v>7.4207999999999996E-2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1.339702495774088</v>
      </c>
      <c r="E12" s="20" t="e">
        <f t="shared" si="2"/>
        <v>#DIV/0!</v>
      </c>
      <c r="F12" s="25">
        <f>F21*N12</f>
        <v>1.3945301779854828</v>
      </c>
      <c r="G12" s="25">
        <f>G21*N12</f>
        <v>1.2443500049716618</v>
      </c>
      <c r="H12" s="26">
        <f t="shared" si="9"/>
        <v>1.9402213953488376</v>
      </c>
      <c r="I12" s="26" t="e">
        <f t="shared" si="10"/>
        <v>#DIV/0!</v>
      </c>
      <c r="J12" s="27"/>
      <c r="K12" s="20">
        <f t="shared" si="6"/>
        <v>0.92882562277580072</v>
      </c>
      <c r="L12" s="25">
        <f>L21*$N$12</f>
        <v>0.61859928408073983</v>
      </c>
      <c r="M12" s="31">
        <f>L12/D12</f>
        <v>0.46174377224199281</v>
      </c>
      <c r="N12" s="29">
        <f>P13/P6</f>
        <v>1.1919061350303273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1.3444701203142091</v>
      </c>
      <c r="E13" s="20" t="e">
        <f t="shared" si="2"/>
        <v>#DIV/0!</v>
      </c>
      <c r="F13" s="25">
        <f>F22*N13</f>
        <v>1.5018017301382123</v>
      </c>
      <c r="G13" s="25">
        <f>G22*N13</f>
        <v>1.2157442577309339</v>
      </c>
      <c r="H13" s="26">
        <f t="shared" si="9"/>
        <v>1.8956186046511629</v>
      </c>
      <c r="I13" s="26" t="e">
        <f t="shared" si="10"/>
        <v>#DIV/0!</v>
      </c>
      <c r="J13" s="27"/>
      <c r="K13" s="20">
        <f t="shared" si="6"/>
        <v>0.9042553191489362</v>
      </c>
      <c r="L13" s="25">
        <f>L22*$N$12</f>
        <v>0.60668022273043665</v>
      </c>
      <c r="M13" s="31">
        <f>L13/D13</f>
        <v>0.45124113475177313</v>
      </c>
      <c r="N13" s="29">
        <f>P13/P6</f>
        <v>1.1919061350303273</v>
      </c>
      <c r="O13" s="9"/>
      <c r="P13" s="34">
        <v>2.3974000000000002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1.2868216167843294</v>
      </c>
      <c r="E14" s="20" t="e">
        <f t="shared" si="2"/>
        <v>#DIV/0!</v>
      </c>
      <c r="F14" s="25">
        <f>F23/N14</f>
        <v>1.3801515362434125</v>
      </c>
      <c r="G14" s="25">
        <f>G23/N14</f>
        <v>1.2528834642537536</v>
      </c>
      <c r="H14" s="26">
        <f t="shared" si="9"/>
        <v>1.9535269767441861</v>
      </c>
      <c r="I14" s="26" t="e">
        <f t="shared" si="10"/>
        <v>#DIV/0!</v>
      </c>
      <c r="J14" s="27"/>
      <c r="K14" s="20">
        <f t="shared" si="6"/>
        <v>0.97362637362637361</v>
      </c>
      <c r="L14" s="25">
        <f>L23/N14</f>
        <v>0.59957402804017113</v>
      </c>
      <c r="M14" s="35">
        <f>L14/D14</f>
        <v>0.465934065934066</v>
      </c>
      <c r="N14" s="36">
        <f>P6/P14</f>
        <v>3.5358436170586787</v>
      </c>
      <c r="O14" s="9"/>
      <c r="P14" s="37">
        <f>5.6886/10</f>
        <v>0.56886000000000003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37.76</v>
      </c>
      <c r="C16" s="45"/>
      <c r="D16" s="45">
        <v>40.729999999999997</v>
      </c>
      <c r="E16" s="45"/>
      <c r="F16" s="45">
        <v>46.26</v>
      </c>
      <c r="G16" s="45">
        <v>39.06</v>
      </c>
      <c r="H16" s="46"/>
      <c r="I16" s="46"/>
      <c r="J16" s="46"/>
      <c r="K16" s="47">
        <f t="shared" si="6"/>
        <v>0.95899828136508725</v>
      </c>
      <c r="L16" s="48">
        <v>17.989999999999998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36.909999999999997</v>
      </c>
      <c r="C17" s="50"/>
      <c r="D17" s="45">
        <v>39.85</v>
      </c>
      <c r="E17" s="45"/>
      <c r="F17" s="51">
        <v>43.1</v>
      </c>
      <c r="G17" s="45">
        <v>37.92</v>
      </c>
      <c r="H17" s="50"/>
      <c r="I17" s="50"/>
      <c r="J17" s="50"/>
      <c r="K17" s="52">
        <f t="shared" si="6"/>
        <v>0.95156838143036382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37.36</v>
      </c>
      <c r="C18" s="50"/>
      <c r="D18" s="45">
        <v>40.369999999999997</v>
      </c>
      <c r="E18" s="56"/>
      <c r="F18" s="45">
        <v>43.1</v>
      </c>
      <c r="G18" s="56">
        <v>39.15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37.049999999999997</v>
      </c>
      <c r="C19" s="50"/>
      <c r="D19" s="56">
        <v>39.93</v>
      </c>
      <c r="E19" s="59"/>
      <c r="F19" s="56">
        <v>45.79</v>
      </c>
      <c r="G19" s="56">
        <v>39.880000000000003</v>
      </c>
      <c r="H19" s="50"/>
      <c r="I19" s="50"/>
      <c r="J19" s="50"/>
      <c r="K19" s="52"/>
      <c r="L19" s="60">
        <v>17.59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27.45</v>
      </c>
      <c r="C20" s="46"/>
      <c r="D20" s="45">
        <v>28.29</v>
      </c>
      <c r="E20" s="51"/>
      <c r="F20" s="45">
        <v>31.75</v>
      </c>
      <c r="G20" s="62">
        <v>25.9</v>
      </c>
      <c r="H20" s="50"/>
      <c r="I20" s="50"/>
      <c r="J20" s="50"/>
      <c r="K20" s="52">
        <f>G20/D20</f>
        <v>0.91551785083068216</v>
      </c>
      <c r="L20" s="63">
        <v>12.12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1.1240000000000001</v>
      </c>
      <c r="E21" s="67"/>
      <c r="F21" s="67">
        <v>1.17</v>
      </c>
      <c r="G21" s="67">
        <v>1.044</v>
      </c>
      <c r="H21" s="50"/>
      <c r="I21" s="50"/>
      <c r="J21" s="50"/>
      <c r="K21" s="52">
        <f>G21/D21</f>
        <v>0.92882562277580061</v>
      </c>
      <c r="L21" s="68">
        <v>0.51900000000000002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1.1279999999999999</v>
      </c>
      <c r="E22" s="67"/>
      <c r="F22" s="67">
        <v>1.26</v>
      </c>
      <c r="G22" s="67">
        <v>1.02</v>
      </c>
      <c r="H22" s="50"/>
      <c r="I22" s="50"/>
      <c r="J22" s="50"/>
      <c r="K22" s="52">
        <f>G22/D22</f>
        <v>0.90425531914893631</v>
      </c>
      <c r="L22" s="68">
        <v>0.50900000000000001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4.55</v>
      </c>
      <c r="E23" s="76">
        <f>ROUND((34.45+33.3)/2,2)</f>
        <v>33.880000000000003</v>
      </c>
      <c r="F23" s="76">
        <v>4.88</v>
      </c>
      <c r="G23" s="76">
        <v>4.43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2.12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247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0.58427848971375251</v>
      </c>
      <c r="C6" s="20"/>
      <c r="D6" s="19">
        <f t="shared" ref="D6:D11" si="1">D15/N6</f>
        <v>0.62355771591299647</v>
      </c>
      <c r="E6" s="20">
        <f t="shared" ref="E6:E14" si="2">D6/B6</f>
        <v>1.0672268907563027</v>
      </c>
      <c r="F6" s="19">
        <f t="shared" ref="F6:F11" si="3">F15/N6</f>
        <v>0.67756665193695675</v>
      </c>
      <c r="G6" s="19">
        <f t="shared" ref="G6:G11" si="4">G15/N6</f>
        <v>0.63337752246280743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</v>
      </c>
      <c r="L6" s="19">
        <f t="shared" ref="L6:L11" si="7">L15/N6</f>
        <v>0.32896351941866742</v>
      </c>
      <c r="M6" s="21">
        <f t="shared" ref="M6:M11" si="8">L6/B6</f>
        <v>0.56302521008403372</v>
      </c>
      <c r="N6" s="22">
        <f>P6</f>
        <v>2.0367000000000002</v>
      </c>
      <c r="O6" s="23" t="s">
        <v>17</v>
      </c>
      <c r="P6" s="9">
        <v>2.0367000000000002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0.64182577699219312</v>
      </c>
      <c r="C7" s="20">
        <f>B7/$B$6</f>
        <v>1.0984929075630252</v>
      </c>
      <c r="D7" s="25">
        <f t="shared" si="1"/>
        <v>0.69547998232434804</v>
      </c>
      <c r="E7" s="20">
        <f t="shared" si="2"/>
        <v>1.0835962145110409</v>
      </c>
      <c r="F7" s="25">
        <f t="shared" si="3"/>
        <v>0.80346328865321337</v>
      </c>
      <c r="G7" s="25">
        <f t="shared" si="4"/>
        <v>0.66561584916777139</v>
      </c>
      <c r="H7" s="26">
        <f t="shared" ref="H7:H14" si="9">G7/$G$6</f>
        <v>1.0508990697674419</v>
      </c>
      <c r="I7" s="26" t="e">
        <f t="shared" ref="I7:I14" si="10">G7/$G$5</f>
        <v>#DIV/0!</v>
      </c>
      <c r="J7" s="27">
        <f t="shared" si="5"/>
        <v>1.0370662460567825</v>
      </c>
      <c r="K7" s="20">
        <f t="shared" si="6"/>
        <v>0.9570596797671036</v>
      </c>
      <c r="L7" s="25">
        <f t="shared" si="7"/>
        <v>0.30859604261796036</v>
      </c>
      <c r="M7" s="28">
        <f t="shared" si="8"/>
        <v>0.48080967402733965</v>
      </c>
      <c r="N7" s="29">
        <f>P6/P7</f>
        <v>59.268420439995353</v>
      </c>
      <c r="O7" s="9"/>
      <c r="P7" s="9">
        <f>3.4364/100</f>
        <v>3.4363999999999999E-2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0.62073528747483664</v>
      </c>
      <c r="C8" s="20">
        <f>B8/$B$6</f>
        <v>1.062396268907563</v>
      </c>
      <c r="D8" s="25">
        <f t="shared" si="1"/>
        <v>0.67185863406490887</v>
      </c>
      <c r="E8" s="20">
        <f t="shared" si="2"/>
        <v>1.082359336776298</v>
      </c>
      <c r="F8" s="25">
        <f t="shared" si="3"/>
        <v>0.72720007855845237</v>
      </c>
      <c r="G8" s="25">
        <f t="shared" si="4"/>
        <v>0.64283812048902633</v>
      </c>
      <c r="H8" s="26">
        <f t="shared" si="9"/>
        <v>1.0149367441860466</v>
      </c>
      <c r="I8" s="26" t="e">
        <f t="shared" si="10"/>
        <v>#DIV/0!</v>
      </c>
      <c r="J8" s="27">
        <f t="shared" si="5"/>
        <v>1.0356075020385975</v>
      </c>
      <c r="K8" s="20">
        <f t="shared" si="6"/>
        <v>0.95680562531391267</v>
      </c>
      <c r="L8" s="25">
        <f t="shared" si="7"/>
        <v>0.32833674080620606</v>
      </c>
      <c r="M8" s="28">
        <f t="shared" si="8"/>
        <v>0.52894808371840174</v>
      </c>
      <c r="N8" s="29">
        <f>N7</f>
        <v>59.268420439995353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0.63305213335297295</v>
      </c>
      <c r="C9" s="20">
        <f>B9/$B$6</f>
        <v>1.0834767058823531</v>
      </c>
      <c r="D9" s="25">
        <f t="shared" si="1"/>
        <v>0.68383803211076732</v>
      </c>
      <c r="E9" s="20">
        <f t="shared" si="2"/>
        <v>1.0802238805970148</v>
      </c>
      <c r="F9" s="25">
        <f t="shared" si="3"/>
        <v>0.73023710904895167</v>
      </c>
      <c r="G9" s="25">
        <f t="shared" si="4"/>
        <v>0.66173519909657763</v>
      </c>
      <c r="H9" s="26">
        <f t="shared" si="9"/>
        <v>1.0447721550387594</v>
      </c>
      <c r="I9" s="26" t="e">
        <f t="shared" si="10"/>
        <v>#DIV/0!</v>
      </c>
      <c r="J9" s="27">
        <f t="shared" si="5"/>
        <v>1.0453091684434965</v>
      </c>
      <c r="K9" s="20">
        <f t="shared" si="6"/>
        <v>0.96767826301505044</v>
      </c>
      <c r="L9" s="25">
        <f t="shared" si="7"/>
        <v>0.32732439730937291</v>
      </c>
      <c r="M9" s="28">
        <f t="shared" si="8"/>
        <v>0.51705756929637514</v>
      </c>
      <c r="N9" s="29">
        <f>N7</f>
        <v>59.268420439995353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0.62292869838464171</v>
      </c>
      <c r="C10" s="20">
        <f>B10/$B$6</f>
        <v>1.0661503193277311</v>
      </c>
      <c r="D10" s="25">
        <f t="shared" si="1"/>
        <v>0.67168991014877</v>
      </c>
      <c r="E10" s="20">
        <f t="shared" si="2"/>
        <v>1.0782773564463706</v>
      </c>
      <c r="F10" s="25">
        <f t="shared" si="3"/>
        <v>0.7725868119998035</v>
      </c>
      <c r="G10" s="25">
        <f t="shared" si="4"/>
        <v>0.67152118623263102</v>
      </c>
      <c r="H10" s="26">
        <f t="shared" si="9"/>
        <v>1.0602226356589144</v>
      </c>
      <c r="I10" s="26" t="e">
        <f t="shared" si="10"/>
        <v>#DIV/0!</v>
      </c>
      <c r="J10" s="27">
        <f t="shared" si="5"/>
        <v>1.0780065005417117</v>
      </c>
      <c r="K10" s="20">
        <f t="shared" si="6"/>
        <v>0.99974880683245393</v>
      </c>
      <c r="L10" s="25">
        <f t="shared" si="7"/>
        <v>0.29678536848824072</v>
      </c>
      <c r="M10" s="28">
        <f t="shared" si="8"/>
        <v>0.47643553629469121</v>
      </c>
      <c r="N10" s="29">
        <f>N7</f>
        <v>59.268420439995353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1.012915377817057</v>
      </c>
      <c r="C11" s="20">
        <f>B11/$B$6</f>
        <v>1.7336174369747903</v>
      </c>
      <c r="D11" s="25">
        <f t="shared" si="1"/>
        <v>1.0439116953896006</v>
      </c>
      <c r="E11" s="20">
        <f t="shared" si="2"/>
        <v>1.0306010928961746</v>
      </c>
      <c r="F11" s="25">
        <f t="shared" si="3"/>
        <v>1.1715870034860312</v>
      </c>
      <c r="G11" s="25">
        <f t="shared" si="4"/>
        <v>0.95571979182010103</v>
      </c>
      <c r="H11" s="26">
        <f t="shared" si="9"/>
        <v>1.5089259689922481</v>
      </c>
      <c r="I11" s="26" t="e">
        <f t="shared" si="10"/>
        <v>#DIV/0!</v>
      </c>
      <c r="J11" s="27">
        <f t="shared" si="5"/>
        <v>0.94353369763205819</v>
      </c>
      <c r="K11" s="20">
        <f t="shared" si="6"/>
        <v>0.91551785083068227</v>
      </c>
      <c r="L11" s="25">
        <f t="shared" si="7"/>
        <v>0.45092261992438748</v>
      </c>
      <c r="M11" s="28">
        <f t="shared" si="8"/>
        <v>0.44517304189435336</v>
      </c>
      <c r="N11" s="29">
        <f>P6/P11</f>
        <v>27.099993347082698</v>
      </c>
      <c r="O11" s="9"/>
      <c r="P11" s="9">
        <f>7.5155/100</f>
        <v>7.5155E-2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1.3206875828546178</v>
      </c>
      <c r="E12" s="20" t="e">
        <f t="shared" si="2"/>
        <v>#DIV/0!</v>
      </c>
      <c r="F12" s="25">
        <f>F21*N12</f>
        <v>1.3747370746796286</v>
      </c>
      <c r="G12" s="25">
        <f>G21*N12</f>
        <v>1.2149385771100309</v>
      </c>
      <c r="H12" s="26">
        <f t="shared" si="9"/>
        <v>1.9181902325581397</v>
      </c>
      <c r="I12" s="26" t="e">
        <f t="shared" si="10"/>
        <v>#DIV/0!</v>
      </c>
      <c r="J12" s="27"/>
      <c r="K12" s="20">
        <f t="shared" si="6"/>
        <v>0.91992882562277578</v>
      </c>
      <c r="L12" s="25">
        <f>L21*$N$12</f>
        <v>0.6098192664604507</v>
      </c>
      <c r="M12" s="31">
        <f>L12/D12</f>
        <v>0.46174377224199281</v>
      </c>
      <c r="N12" s="29">
        <f>P13/P6</f>
        <v>1.1749889527176314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1.3253875386654881</v>
      </c>
      <c r="E13" s="20" t="e">
        <f t="shared" si="2"/>
        <v>#DIV/0!</v>
      </c>
      <c r="F13" s="25">
        <f>F22*N13</f>
        <v>1.4804860804242155</v>
      </c>
      <c r="G13" s="25">
        <f>G22*N13</f>
        <v>1.1984887317719841</v>
      </c>
      <c r="H13" s="26">
        <f t="shared" si="9"/>
        <v>1.8922186046511631</v>
      </c>
      <c r="I13" s="26" t="e">
        <f t="shared" si="10"/>
        <v>#DIV/0!</v>
      </c>
      <c r="J13" s="27"/>
      <c r="K13" s="20">
        <f t="shared" si="6"/>
        <v>0.90425531914893631</v>
      </c>
      <c r="L13" s="25">
        <f>L22*$N$12</f>
        <v>0.59806937693327433</v>
      </c>
      <c r="M13" s="31">
        <f>L13/D13</f>
        <v>0.45124113475177308</v>
      </c>
      <c r="N13" s="29">
        <f>P13/P6</f>
        <v>1.1749889527176314</v>
      </c>
      <c r="O13" s="9"/>
      <c r="P13" s="34">
        <v>2.3931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1.2983561643835615</v>
      </c>
      <c r="E14" s="20" t="e">
        <f t="shared" si="2"/>
        <v>#DIV/0!</v>
      </c>
      <c r="F14" s="25">
        <f>F23/N14</f>
        <v>1.3904975695978787</v>
      </c>
      <c r="G14" s="25">
        <f>G23/N14</f>
        <v>1.2704345264398289</v>
      </c>
      <c r="H14" s="26">
        <f t="shared" si="9"/>
        <v>2.0058093023255812</v>
      </c>
      <c r="I14" s="26" t="e">
        <f t="shared" si="10"/>
        <v>#DIV/0!</v>
      </c>
      <c r="J14" s="27"/>
      <c r="K14" s="20">
        <f t="shared" si="6"/>
        <v>0.97849462365591389</v>
      </c>
      <c r="L14" s="25">
        <f>L23/N14</f>
        <v>0.60310737958462213</v>
      </c>
      <c r="M14" s="35">
        <f>L14/D14</f>
        <v>0.46451612903225808</v>
      </c>
      <c r="N14" s="36">
        <f>P6/P14</f>
        <v>3.5814517830765991</v>
      </c>
      <c r="O14" s="9"/>
      <c r="P14" s="37">
        <f>5.6868/10</f>
        <v>0.56867999999999996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38.04</v>
      </c>
      <c r="C16" s="45"/>
      <c r="D16" s="45">
        <v>41.22</v>
      </c>
      <c r="E16" s="45"/>
      <c r="F16" s="45">
        <v>47.62</v>
      </c>
      <c r="G16" s="45">
        <v>39.450000000000003</v>
      </c>
      <c r="H16" s="46"/>
      <c r="I16" s="46"/>
      <c r="J16" s="46"/>
      <c r="K16" s="47">
        <f t="shared" si="6"/>
        <v>0.95705967976710349</v>
      </c>
      <c r="L16" s="48">
        <v>18.29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36.79</v>
      </c>
      <c r="C17" s="50"/>
      <c r="D17" s="45">
        <v>39.82</v>
      </c>
      <c r="E17" s="45"/>
      <c r="F17" s="51">
        <v>43.1</v>
      </c>
      <c r="G17" s="45">
        <v>38.1</v>
      </c>
      <c r="H17" s="50"/>
      <c r="I17" s="50"/>
      <c r="J17" s="50"/>
      <c r="K17" s="52">
        <f t="shared" si="6"/>
        <v>0.95680562531391267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37.520000000000003</v>
      </c>
      <c r="C18" s="50"/>
      <c r="D18" s="45">
        <v>40.53</v>
      </c>
      <c r="E18" s="56"/>
      <c r="F18" s="45">
        <v>43.28</v>
      </c>
      <c r="G18" s="56">
        <v>39.22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36.92</v>
      </c>
      <c r="C19" s="50"/>
      <c r="D19" s="56">
        <v>39.81</v>
      </c>
      <c r="E19" s="59"/>
      <c r="F19" s="56">
        <v>45.79</v>
      </c>
      <c r="G19" s="56">
        <v>39.799999999999997</v>
      </c>
      <c r="H19" s="50"/>
      <c r="I19" s="50"/>
      <c r="J19" s="50"/>
      <c r="K19" s="52"/>
      <c r="L19" s="60">
        <v>17.59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27.45</v>
      </c>
      <c r="C20" s="46"/>
      <c r="D20" s="45">
        <v>28.29</v>
      </c>
      <c r="E20" s="51"/>
      <c r="F20" s="45">
        <v>31.75</v>
      </c>
      <c r="G20" s="62">
        <v>25.9</v>
      </c>
      <c r="H20" s="50"/>
      <c r="I20" s="50"/>
      <c r="J20" s="50"/>
      <c r="K20" s="52">
        <f>G20/D20</f>
        <v>0.91551785083068216</v>
      </c>
      <c r="L20" s="63">
        <v>12.22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1.1240000000000001</v>
      </c>
      <c r="E21" s="67"/>
      <c r="F21" s="67">
        <v>1.17</v>
      </c>
      <c r="G21" s="67">
        <v>1.034</v>
      </c>
      <c r="H21" s="50"/>
      <c r="I21" s="50"/>
      <c r="J21" s="50"/>
      <c r="K21" s="52">
        <f>G21/D21</f>
        <v>0.91992882562277578</v>
      </c>
      <c r="L21" s="68">
        <v>0.51900000000000002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1.1279999999999999</v>
      </c>
      <c r="E22" s="67"/>
      <c r="F22" s="67">
        <v>1.26</v>
      </c>
      <c r="G22" s="67">
        <v>1.02</v>
      </c>
      <c r="H22" s="50"/>
      <c r="I22" s="50"/>
      <c r="J22" s="50"/>
      <c r="K22" s="52">
        <f>G22/D22</f>
        <v>0.90425531914893631</v>
      </c>
      <c r="L22" s="68">
        <v>0.50900000000000001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4.6500000000000004</v>
      </c>
      <c r="E23" s="76">
        <f>ROUND((34.45+33.3)/2,2)</f>
        <v>33.880000000000003</v>
      </c>
      <c r="F23" s="76">
        <v>4.9800000000000004</v>
      </c>
      <c r="G23" s="76">
        <v>4.55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2.16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248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0.58745125141926247</v>
      </c>
      <c r="C6" s="20"/>
      <c r="D6" s="19">
        <f t="shared" ref="D6:D11" si="1">D15/N6</f>
        <v>0.62694377252307842</v>
      </c>
      <c r="E6" s="20">
        <f t="shared" ref="E6:E14" si="2">D6/B6</f>
        <v>1.0672268907563025</v>
      </c>
      <c r="F6" s="19">
        <f t="shared" ref="F6:F11" si="3">F15/N6</f>
        <v>0.68124598904082534</v>
      </c>
      <c r="G6" s="19">
        <f t="shared" ref="G6:G11" si="4">G15/N6</f>
        <v>0.63681690279903247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1.0157480314960632</v>
      </c>
      <c r="L6" s="19">
        <f t="shared" ref="L6:L11" si="7">L15/N6</f>
        <v>0.33074986424445874</v>
      </c>
      <c r="M6" s="21">
        <f t="shared" ref="M6:M11" si="8">L6/B6</f>
        <v>0.56302521008403372</v>
      </c>
      <c r="N6" s="22">
        <f>P6</f>
        <v>2.0257000000000001</v>
      </c>
      <c r="O6" s="23" t="s">
        <v>17</v>
      </c>
      <c r="P6" s="9">
        <v>2.0257000000000001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0.64862859752184421</v>
      </c>
      <c r="C7" s="20">
        <f>B7/$B$6</f>
        <v>1.104140294117647</v>
      </c>
      <c r="D7" s="25">
        <f t="shared" si="1"/>
        <v>0.70077025225847844</v>
      </c>
      <c r="E7" s="20">
        <f t="shared" si="2"/>
        <v>1.0803875360041895</v>
      </c>
      <c r="F7" s="25">
        <f t="shared" si="3"/>
        <v>0.79265505751098375</v>
      </c>
      <c r="G7" s="25">
        <f t="shared" si="4"/>
        <v>0.67189702325122169</v>
      </c>
      <c r="H7" s="26">
        <f t="shared" ref="H7:H14" si="9">G7/$G$6</f>
        <v>1.0550866666666665</v>
      </c>
      <c r="I7" s="26" t="e">
        <f t="shared" ref="I7:I14" si="10">G7/$G$5</f>
        <v>#DIV/0!</v>
      </c>
      <c r="J7" s="27">
        <f t="shared" si="5"/>
        <v>1.0358732652526839</v>
      </c>
      <c r="K7" s="20">
        <f t="shared" si="6"/>
        <v>0.95879786718371307</v>
      </c>
      <c r="L7" s="25">
        <f t="shared" si="7"/>
        <v>0.31607693636767531</v>
      </c>
      <c r="M7" s="28">
        <f t="shared" si="8"/>
        <v>0.48730034040324688</v>
      </c>
      <c r="N7" s="29">
        <f>P6/P7</f>
        <v>58.878070047958154</v>
      </c>
      <c r="O7" s="9"/>
      <c r="P7" s="9">
        <f>3.4405/100</f>
        <v>3.4404999999999998E-2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0.63045544749962967</v>
      </c>
      <c r="C8" s="20">
        <f>B8/$B$6</f>
        <v>1.0732047058823528</v>
      </c>
      <c r="D8" s="25">
        <f t="shared" si="1"/>
        <v>0.68072883447697075</v>
      </c>
      <c r="E8" s="20">
        <f t="shared" si="2"/>
        <v>1.0797413793103448</v>
      </c>
      <c r="F8" s="25">
        <f t="shared" si="3"/>
        <v>0.73202127659574456</v>
      </c>
      <c r="G8" s="25">
        <f t="shared" si="4"/>
        <v>0.65321434565829084</v>
      </c>
      <c r="H8" s="26">
        <f t="shared" si="9"/>
        <v>1.0257490697674416</v>
      </c>
      <c r="I8" s="26" t="e">
        <f t="shared" si="10"/>
        <v>#DIV/0!</v>
      </c>
      <c r="J8" s="27">
        <f t="shared" si="5"/>
        <v>1.0360991379310345</v>
      </c>
      <c r="K8" s="20">
        <f t="shared" si="6"/>
        <v>0.95958083832335339</v>
      </c>
      <c r="L8" s="25">
        <f t="shared" si="7"/>
        <v>0.33051355087130374</v>
      </c>
      <c r="M8" s="28">
        <f t="shared" si="8"/>
        <v>0.52424568965517249</v>
      </c>
      <c r="N8" s="29">
        <f>N7</f>
        <v>58.878070047958154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0.64200473910253231</v>
      </c>
      <c r="C9" s="20">
        <f>B9/$B$6</f>
        <v>1.0928647058823526</v>
      </c>
      <c r="D9" s="25">
        <f t="shared" si="1"/>
        <v>0.69176859850915717</v>
      </c>
      <c r="E9" s="20">
        <f t="shared" si="2"/>
        <v>1.0775132275132275</v>
      </c>
      <c r="F9" s="25">
        <f t="shared" si="3"/>
        <v>0.73847529249148425</v>
      </c>
      <c r="G9" s="25">
        <f t="shared" si="4"/>
        <v>0.67036844053907285</v>
      </c>
      <c r="H9" s="26">
        <f t="shared" si="9"/>
        <v>1.0526863178294572</v>
      </c>
      <c r="I9" s="26" t="e">
        <f t="shared" si="10"/>
        <v>#DIV/0!</v>
      </c>
      <c r="J9" s="27">
        <f t="shared" si="5"/>
        <v>1.0441798941798943</v>
      </c>
      <c r="K9" s="20">
        <f t="shared" si="6"/>
        <v>0.96906457156886827</v>
      </c>
      <c r="L9" s="25">
        <f t="shared" si="7"/>
        <v>0.32949449572987111</v>
      </c>
      <c r="M9" s="28">
        <f t="shared" si="8"/>
        <v>0.51322751322751325</v>
      </c>
      <c r="N9" s="29">
        <f>N7</f>
        <v>58.878070047958154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0.63572056573036473</v>
      </c>
      <c r="C10" s="20">
        <f>B10/$B$6</f>
        <v>1.0821673529411764</v>
      </c>
      <c r="D10" s="25">
        <f t="shared" si="1"/>
        <v>0.68497489756627328</v>
      </c>
      <c r="E10" s="20">
        <f t="shared" si="2"/>
        <v>1.0774779588565322</v>
      </c>
      <c r="F10" s="25">
        <f t="shared" si="3"/>
        <v>0.77770891543663911</v>
      </c>
      <c r="G10" s="25">
        <f t="shared" si="4"/>
        <v>0.68480505504270117</v>
      </c>
      <c r="H10" s="26">
        <f t="shared" si="9"/>
        <v>1.0753562790697673</v>
      </c>
      <c r="I10" s="26" t="e">
        <f t="shared" si="10"/>
        <v>#DIV/0!</v>
      </c>
      <c r="J10" s="27">
        <f t="shared" si="5"/>
        <v>1.0772107934811648</v>
      </c>
      <c r="K10" s="20">
        <f t="shared" si="6"/>
        <v>0.9997520456236052</v>
      </c>
      <c r="L10" s="25">
        <f t="shared" si="7"/>
        <v>0.2987529989633213</v>
      </c>
      <c r="M10" s="28">
        <f t="shared" si="8"/>
        <v>0.46994389527117292</v>
      </c>
      <c r="N10" s="29">
        <f>N7</f>
        <v>58.878070047958154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1.0012175050599792</v>
      </c>
      <c r="C11" s="20">
        <f>B11/$B$6</f>
        <v>1.7043414285714285</v>
      </c>
      <c r="D11" s="25">
        <f t="shared" si="1"/>
        <v>1.0315793355383325</v>
      </c>
      <c r="E11" s="20">
        <f t="shared" si="2"/>
        <v>1.0303249097472926</v>
      </c>
      <c r="F11" s="25">
        <f t="shared" si="3"/>
        <v>1.1530266574517452</v>
      </c>
      <c r="G11" s="25">
        <f t="shared" si="4"/>
        <v>0.94519269882016088</v>
      </c>
      <c r="H11" s="26">
        <f t="shared" si="9"/>
        <v>1.4842456201550387</v>
      </c>
      <c r="I11" s="26" t="e">
        <f t="shared" si="10"/>
        <v>#DIV/0!</v>
      </c>
      <c r="J11" s="27">
        <f t="shared" si="5"/>
        <v>0.94404332129963897</v>
      </c>
      <c r="K11" s="20">
        <f t="shared" si="6"/>
        <v>0.9162578836720392</v>
      </c>
      <c r="L11" s="25">
        <f t="shared" si="7"/>
        <v>0.44169234338747104</v>
      </c>
      <c r="M11" s="28">
        <f t="shared" si="8"/>
        <v>0.44115523465703976</v>
      </c>
      <c r="N11" s="29">
        <f>P6/P11</f>
        <v>27.666316120132752</v>
      </c>
      <c r="O11" s="9"/>
      <c r="P11" s="9">
        <f>7.3219/100</f>
        <v>7.3219000000000006E-2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1.3251403465468727</v>
      </c>
      <c r="E12" s="20" t="e">
        <f t="shared" si="2"/>
        <v>#DIV/0!</v>
      </c>
      <c r="F12" s="25">
        <f>F21*N12</f>
        <v>1.3793720689144491</v>
      </c>
      <c r="G12" s="25">
        <f>G21*N12</f>
        <v>1.2190348027842226</v>
      </c>
      <c r="H12" s="26">
        <f t="shared" si="9"/>
        <v>1.9142626356589143</v>
      </c>
      <c r="I12" s="26" t="e">
        <f t="shared" si="10"/>
        <v>#DIV/0!</v>
      </c>
      <c r="J12" s="27"/>
      <c r="K12" s="20">
        <f t="shared" si="6"/>
        <v>0.91992882562277567</v>
      </c>
      <c r="L12" s="25">
        <f>L21*$N$12</f>
        <v>0.62366480722713136</v>
      </c>
      <c r="M12" s="31">
        <f>L12/D12</f>
        <v>0.47064056939501775</v>
      </c>
      <c r="N12" s="29">
        <f>P13/P6</f>
        <v>1.178950486251666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1.3298561484918792</v>
      </c>
      <c r="E13" s="20" t="e">
        <f t="shared" si="2"/>
        <v>#DIV/0!</v>
      </c>
      <c r="F13" s="25">
        <f>F22*N13</f>
        <v>1.4854776126770992</v>
      </c>
      <c r="G13" s="25">
        <f>G22*N13</f>
        <v>1.2025294959766992</v>
      </c>
      <c r="H13" s="26">
        <f t="shared" si="9"/>
        <v>1.8883441860465113</v>
      </c>
      <c r="I13" s="26" t="e">
        <f t="shared" si="10"/>
        <v>#DIV/0!</v>
      </c>
      <c r="J13" s="27"/>
      <c r="K13" s="20">
        <f t="shared" si="6"/>
        <v>0.9042553191489362</v>
      </c>
      <c r="L13" s="25">
        <f>L22*$N$12</f>
        <v>0.60126474798834961</v>
      </c>
      <c r="M13" s="31">
        <f>L13/D13</f>
        <v>0.4521276595744681</v>
      </c>
      <c r="N13" s="29">
        <f>P13/P6</f>
        <v>1.178950486251666</v>
      </c>
      <c r="O13" s="9"/>
      <c r="P13" s="34">
        <v>2.3881999999999999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1.3192559609024039</v>
      </c>
      <c r="E14" s="20" t="e">
        <f t="shared" si="2"/>
        <v>#DIV/0!</v>
      </c>
      <c r="F14" s="25">
        <f>F23/N14</f>
        <v>1.4003119415510685</v>
      </c>
      <c r="G14" s="25">
        <f>G23/N14</f>
        <v>1.2829205213012784</v>
      </c>
      <c r="H14" s="26">
        <f t="shared" si="9"/>
        <v>2.0145830232558137</v>
      </c>
      <c r="I14" s="26" t="e">
        <f t="shared" si="10"/>
        <v>#DIV/0!</v>
      </c>
      <c r="J14" s="27"/>
      <c r="K14" s="20">
        <f t="shared" si="6"/>
        <v>0.97245762711864414</v>
      </c>
      <c r="L14" s="25">
        <f>L23/N14</f>
        <v>0.6065223379572493</v>
      </c>
      <c r="M14" s="35">
        <f>L14/D14</f>
        <v>0.45974576271186446</v>
      </c>
      <c r="N14" s="36">
        <f>P6/P14</f>
        <v>3.5777742453946559</v>
      </c>
      <c r="O14" s="9"/>
      <c r="P14" s="37">
        <f>5.6619/10</f>
        <v>0.56618999999999997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38.19</v>
      </c>
      <c r="C16" s="45"/>
      <c r="D16" s="45">
        <v>41.26</v>
      </c>
      <c r="E16" s="45"/>
      <c r="F16" s="45">
        <v>46.67</v>
      </c>
      <c r="G16" s="45">
        <v>39.56</v>
      </c>
      <c r="H16" s="46"/>
      <c r="I16" s="46"/>
      <c r="J16" s="46"/>
      <c r="K16" s="47">
        <f t="shared" si="6"/>
        <v>0.95879786718371318</v>
      </c>
      <c r="L16" s="48">
        <v>18.61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37.119999999999997</v>
      </c>
      <c r="C17" s="50"/>
      <c r="D17" s="45">
        <v>40.08</v>
      </c>
      <c r="E17" s="45"/>
      <c r="F17" s="51">
        <v>43.1</v>
      </c>
      <c r="G17" s="45">
        <v>38.46</v>
      </c>
      <c r="H17" s="50"/>
      <c r="I17" s="50"/>
      <c r="J17" s="50"/>
      <c r="K17" s="52">
        <f t="shared" si="6"/>
        <v>0.95958083832335339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37.799999999999997</v>
      </c>
      <c r="C18" s="50"/>
      <c r="D18" s="45">
        <v>40.729999999999997</v>
      </c>
      <c r="E18" s="56"/>
      <c r="F18" s="45">
        <v>43.48</v>
      </c>
      <c r="G18" s="56">
        <v>39.47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37.43</v>
      </c>
      <c r="C19" s="50"/>
      <c r="D19" s="56">
        <v>40.33</v>
      </c>
      <c r="E19" s="59"/>
      <c r="F19" s="56">
        <v>45.79</v>
      </c>
      <c r="G19" s="56">
        <v>40.32</v>
      </c>
      <c r="H19" s="50"/>
      <c r="I19" s="50"/>
      <c r="J19" s="50"/>
      <c r="K19" s="52"/>
      <c r="L19" s="60">
        <v>17.59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27.7</v>
      </c>
      <c r="C20" s="46"/>
      <c r="D20" s="45">
        <v>28.54</v>
      </c>
      <c r="E20" s="51"/>
      <c r="F20" s="45">
        <v>31.9</v>
      </c>
      <c r="G20" s="62">
        <v>26.15</v>
      </c>
      <c r="H20" s="50"/>
      <c r="I20" s="50"/>
      <c r="J20" s="50"/>
      <c r="K20" s="52">
        <f>G20/D20</f>
        <v>0.9162578836720392</v>
      </c>
      <c r="L20" s="63">
        <v>12.22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1.1240000000000001</v>
      </c>
      <c r="E21" s="67"/>
      <c r="F21" s="67">
        <v>1.17</v>
      </c>
      <c r="G21" s="67">
        <v>1.034</v>
      </c>
      <c r="H21" s="50"/>
      <c r="I21" s="50"/>
      <c r="J21" s="50"/>
      <c r="K21" s="52">
        <f>G21/D21</f>
        <v>0.91992882562277578</v>
      </c>
      <c r="L21" s="68">
        <v>0.52900000000000003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1.1279999999999999</v>
      </c>
      <c r="E22" s="67"/>
      <c r="F22" s="67">
        <v>1.26</v>
      </c>
      <c r="G22" s="67">
        <v>1.02</v>
      </c>
      <c r="H22" s="50"/>
      <c r="I22" s="50"/>
      <c r="J22" s="50"/>
      <c r="K22" s="52">
        <f>G22/D22</f>
        <v>0.90425531914893631</v>
      </c>
      <c r="L22" s="68">
        <v>0.51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4.72</v>
      </c>
      <c r="E23" s="76">
        <f>ROUND((34.45+33.3)/2,2)</f>
        <v>33.880000000000003</v>
      </c>
      <c r="F23" s="76">
        <v>5.01</v>
      </c>
      <c r="G23" s="76">
        <v>4.59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2.17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249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308"/>
      <c r="J3" s="308"/>
      <c r="K3" s="308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0.5973595703026956</v>
      </c>
      <c r="C6" s="20"/>
      <c r="D6" s="19">
        <f t="shared" ref="D6:D11" si="1">D15/N6</f>
        <v>0.63751819687766675</v>
      </c>
      <c r="E6" s="20">
        <f t="shared" ref="E6:E14" si="2">D6/B6</f>
        <v>1.0672268907563025</v>
      </c>
      <c r="F6" s="19">
        <f t="shared" ref="F6:F11" si="3">F15/N6</f>
        <v>0.69273630841825207</v>
      </c>
      <c r="G6" s="19">
        <f t="shared" ref="G6:G11" si="4">G15/N6</f>
        <v>0.6475578535214096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1.0157480314960632</v>
      </c>
      <c r="L6" s="19">
        <f t="shared" ref="L6:L11" si="7">L15/N6</f>
        <v>0.3363284975653833</v>
      </c>
      <c r="M6" s="21">
        <f t="shared" ref="M6:M11" si="8">L6/B6</f>
        <v>0.56302521008403372</v>
      </c>
      <c r="N6" s="22">
        <f>P6</f>
        <v>1.9921</v>
      </c>
      <c r="O6" s="23" t="s">
        <v>17</v>
      </c>
      <c r="P6" s="9">
        <v>1.9921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0.65609281662567143</v>
      </c>
      <c r="C7" s="20">
        <f>B7/$B$6</f>
        <v>1.0983214285714287</v>
      </c>
      <c r="D7" s="25">
        <f t="shared" si="1"/>
        <v>0.70978093469203363</v>
      </c>
      <c r="E7" s="20">
        <f t="shared" si="2"/>
        <v>1.0818300653594772</v>
      </c>
      <c r="F7" s="25">
        <f t="shared" si="3"/>
        <v>0.80926690427187387</v>
      </c>
      <c r="G7" s="25">
        <f t="shared" si="4"/>
        <v>0.68010667135183978</v>
      </c>
      <c r="H7" s="26">
        <f t="shared" ref="H7:H14" si="9">G7/$G$6</f>
        <v>1.050263953488372</v>
      </c>
      <c r="I7" s="26" t="e">
        <f t="shared" ref="I7:I14" si="10">G7/$G$5</f>
        <v>#DIV/0!</v>
      </c>
      <c r="J7" s="27">
        <f t="shared" si="5"/>
        <v>1.0366013071895424</v>
      </c>
      <c r="K7" s="20">
        <f t="shared" si="6"/>
        <v>0.95819236346060888</v>
      </c>
      <c r="L7" s="25">
        <f t="shared" si="7"/>
        <v>0.31681135485166406</v>
      </c>
      <c r="M7" s="28">
        <f t="shared" si="8"/>
        <v>0.48287581699346399</v>
      </c>
      <c r="N7" s="29">
        <f>P6/P7</f>
        <v>58.299678080187299</v>
      </c>
      <c r="O7" s="9"/>
      <c r="P7" s="9">
        <f>3.417/100</f>
        <v>3.4169999999999999E-2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0.63911159078359514</v>
      </c>
      <c r="C8" s="20">
        <f>B8/$B$6</f>
        <v>1.0698942857142857</v>
      </c>
      <c r="D8" s="25">
        <f t="shared" si="1"/>
        <v>0.69022679584358215</v>
      </c>
      <c r="E8" s="20">
        <f t="shared" si="2"/>
        <v>1.0799785292538917</v>
      </c>
      <c r="F8" s="25">
        <f t="shared" si="3"/>
        <v>0.73928367049846899</v>
      </c>
      <c r="G8" s="25">
        <f t="shared" si="4"/>
        <v>0.66346850057728024</v>
      </c>
      <c r="H8" s="26">
        <f t="shared" si="9"/>
        <v>1.0245702325581394</v>
      </c>
      <c r="I8" s="26" t="e">
        <f t="shared" si="10"/>
        <v>#DIV/0!</v>
      </c>
      <c r="J8" s="27">
        <f t="shared" si="5"/>
        <v>1.0381105743424586</v>
      </c>
      <c r="K8" s="20">
        <f t="shared" si="6"/>
        <v>0.96123260437375746</v>
      </c>
      <c r="L8" s="25">
        <f t="shared" si="7"/>
        <v>0.33379258069374029</v>
      </c>
      <c r="M8" s="28">
        <f t="shared" si="8"/>
        <v>0.52227589908749339</v>
      </c>
      <c r="N8" s="29">
        <f>N7</f>
        <v>58.299678080187299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0.64305672406003722</v>
      </c>
      <c r="C9" s="20">
        <f>B9/$B$6</f>
        <v>1.0764985714285717</v>
      </c>
      <c r="D9" s="25">
        <f t="shared" si="1"/>
        <v>0.69846011746398273</v>
      </c>
      <c r="E9" s="20">
        <f t="shared" si="2"/>
        <v>1.086156308348893</v>
      </c>
      <c r="F9" s="25">
        <f t="shared" si="3"/>
        <v>0.75129059786155306</v>
      </c>
      <c r="G9" s="25">
        <f t="shared" si="4"/>
        <v>0.6749608453390894</v>
      </c>
      <c r="H9" s="26">
        <f t="shared" si="9"/>
        <v>1.042317441860465</v>
      </c>
      <c r="I9" s="26" t="e">
        <f t="shared" si="10"/>
        <v>#DIV/0!</v>
      </c>
      <c r="J9" s="27">
        <f t="shared" si="5"/>
        <v>1.0496132301947185</v>
      </c>
      <c r="K9" s="20">
        <f t="shared" si="6"/>
        <v>0.96635559921414538</v>
      </c>
      <c r="L9" s="25">
        <f t="shared" si="7"/>
        <v>0.33276341549119015</v>
      </c>
      <c r="M9" s="28">
        <f t="shared" si="8"/>
        <v>0.51747132568684973</v>
      </c>
      <c r="N9" s="29">
        <f>N7</f>
        <v>58.299678080187299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0.64631574720144569</v>
      </c>
      <c r="C10" s="20">
        <f>B10/$B$6</f>
        <v>1.0819542857142859</v>
      </c>
      <c r="D10" s="25">
        <f t="shared" si="1"/>
        <v>0.698631644997741</v>
      </c>
      <c r="E10" s="20">
        <f t="shared" si="2"/>
        <v>1.0809447983014862</v>
      </c>
      <c r="F10" s="25">
        <f t="shared" si="3"/>
        <v>0.79177109582852256</v>
      </c>
      <c r="G10" s="25">
        <f t="shared" si="4"/>
        <v>0.69554414939009079</v>
      </c>
      <c r="H10" s="26">
        <f t="shared" si="9"/>
        <v>1.0741034883720928</v>
      </c>
      <c r="I10" s="26" t="e">
        <f t="shared" si="10"/>
        <v>#DIV/0!</v>
      </c>
      <c r="J10" s="27">
        <f t="shared" si="5"/>
        <v>1.0761677282377919</v>
      </c>
      <c r="K10" s="20">
        <f t="shared" si="6"/>
        <v>0.99558065308126686</v>
      </c>
      <c r="L10" s="25">
        <f t="shared" si="7"/>
        <v>0.29674263340193768</v>
      </c>
      <c r="M10" s="28">
        <f t="shared" si="8"/>
        <v>0.45912951167728244</v>
      </c>
      <c r="N10" s="29">
        <f>N7</f>
        <v>58.299678080187299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0.99857148235530346</v>
      </c>
      <c r="C11" s="20">
        <f>B11/$B$6</f>
        <v>1.6716422268907565</v>
      </c>
      <c r="D11" s="25">
        <f t="shared" si="1"/>
        <v>1.0254244264846142</v>
      </c>
      <c r="E11" s="20">
        <f t="shared" si="2"/>
        <v>1.0268913589100035</v>
      </c>
      <c r="F11" s="25">
        <f t="shared" si="3"/>
        <v>1.1510962050097886</v>
      </c>
      <c r="G11" s="25">
        <f t="shared" si="4"/>
        <v>0.94128520154610706</v>
      </c>
      <c r="H11" s="26">
        <f t="shared" si="9"/>
        <v>1.4535924418604649</v>
      </c>
      <c r="I11" s="26" t="e">
        <f t="shared" si="10"/>
        <v>#DIV/0!</v>
      </c>
      <c r="J11" s="27">
        <f t="shared" si="5"/>
        <v>0.94263176765865897</v>
      </c>
      <c r="K11" s="20">
        <f t="shared" si="6"/>
        <v>0.91794692737430161</v>
      </c>
      <c r="L11" s="25">
        <f t="shared" si="7"/>
        <v>0.4464749510566739</v>
      </c>
      <c r="M11" s="28">
        <f t="shared" si="8"/>
        <v>0.44711366081032633</v>
      </c>
      <c r="N11" s="29">
        <f>P6/P11</f>
        <v>27.929898352611286</v>
      </c>
      <c r="O11" s="9"/>
      <c r="P11" s="9">
        <f>7.1325/100</f>
        <v>7.1325E-2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1.3237355554440038</v>
      </c>
      <c r="E12" s="20" t="e">
        <f t="shared" si="2"/>
        <v>#DIV/0!</v>
      </c>
      <c r="F12" s="25">
        <f>F21*N12</f>
        <v>1.3865448521660557</v>
      </c>
      <c r="G12" s="25">
        <f>G21*N12</f>
        <v>1.2289290698258117</v>
      </c>
      <c r="H12" s="26">
        <f t="shared" si="9"/>
        <v>1.8977903875968989</v>
      </c>
      <c r="I12" s="26" t="e">
        <f t="shared" si="10"/>
        <v>#DIV/0!</v>
      </c>
      <c r="J12" s="27"/>
      <c r="K12" s="20">
        <f t="shared" si="6"/>
        <v>0.92837958818263189</v>
      </c>
      <c r="L12" s="25">
        <f>L21*$N$12</f>
        <v>0.62690788615029369</v>
      </c>
      <c r="M12" s="31">
        <f>L12/D12</f>
        <v>0.47358997314234558</v>
      </c>
      <c r="N12" s="29">
        <f>P13/P6</f>
        <v>1.1850810702273982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1.3391416093569599</v>
      </c>
      <c r="E13" s="20" t="e">
        <f t="shared" si="2"/>
        <v>#DIV/0!</v>
      </c>
      <c r="F13" s="25">
        <f>F22*N13</f>
        <v>1.4932021484865217</v>
      </c>
      <c r="G13" s="25">
        <f>G22*N13</f>
        <v>1.2158931780533107</v>
      </c>
      <c r="H13" s="26">
        <f t="shared" si="9"/>
        <v>1.8776595348837211</v>
      </c>
      <c r="I13" s="26" t="e">
        <f t="shared" si="10"/>
        <v>#DIV/0!</v>
      </c>
      <c r="J13" s="27"/>
      <c r="K13" s="20">
        <f t="shared" si="6"/>
        <v>0.90796460176991156</v>
      </c>
      <c r="L13" s="25">
        <f>L22*$N$12</f>
        <v>0.60439134581597309</v>
      </c>
      <c r="M13" s="31">
        <f>L13/D13</f>
        <v>0.45132743362831862</v>
      </c>
      <c r="N13" s="29">
        <f>P13/P6</f>
        <v>1.1850810702273982</v>
      </c>
      <c r="O13" s="9"/>
      <c r="P13" s="34">
        <v>2.3607999999999998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1.3245053461171628</v>
      </c>
      <c r="E14" s="20" t="e">
        <f t="shared" si="2"/>
        <v>#DIV/0!</v>
      </c>
      <c r="F14" s="25">
        <f>F23/N14</f>
        <v>1.4092285025852114</v>
      </c>
      <c r="G14" s="25">
        <f>G23/N14</f>
        <v>1.2906160835299432</v>
      </c>
      <c r="H14" s="26">
        <f t="shared" si="9"/>
        <v>1.9930513953488369</v>
      </c>
      <c r="I14" s="26" t="e">
        <f t="shared" si="10"/>
        <v>#DIV/0!</v>
      </c>
      <c r="J14" s="27"/>
      <c r="K14" s="20">
        <f t="shared" si="6"/>
        <v>0.97441364605543701</v>
      </c>
      <c r="L14" s="25">
        <f>L23/N14</f>
        <v>0.61000672656995125</v>
      </c>
      <c r="M14" s="35">
        <f>L14/D14</f>
        <v>0.46055437100213215</v>
      </c>
      <c r="N14" s="36">
        <f>P6/P14</f>
        <v>3.5409445599815146</v>
      </c>
      <c r="O14" s="9"/>
      <c r="P14" s="37">
        <f>5.6259/10</f>
        <v>0.56258999999999992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38.25</v>
      </c>
      <c r="C16" s="45"/>
      <c r="D16" s="45">
        <v>41.38</v>
      </c>
      <c r="E16" s="45"/>
      <c r="F16" s="45">
        <v>47.18</v>
      </c>
      <c r="G16" s="45">
        <v>39.65</v>
      </c>
      <c r="H16" s="46"/>
      <c r="I16" s="46"/>
      <c r="J16" s="46"/>
      <c r="K16" s="47">
        <f t="shared" si="6"/>
        <v>0.95819236346060888</v>
      </c>
      <c r="L16" s="48">
        <v>18.47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37.26</v>
      </c>
      <c r="C17" s="50"/>
      <c r="D17" s="45">
        <v>40.24</v>
      </c>
      <c r="E17" s="45"/>
      <c r="F17" s="51">
        <v>43.1</v>
      </c>
      <c r="G17" s="45">
        <v>38.68</v>
      </c>
      <c r="H17" s="50"/>
      <c r="I17" s="50"/>
      <c r="J17" s="50"/>
      <c r="K17" s="52">
        <f t="shared" si="6"/>
        <v>0.96123260437375735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37.49</v>
      </c>
      <c r="C18" s="50"/>
      <c r="D18" s="45">
        <v>40.72</v>
      </c>
      <c r="E18" s="56"/>
      <c r="F18" s="45">
        <v>43.8</v>
      </c>
      <c r="G18" s="56">
        <v>39.35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37.68</v>
      </c>
      <c r="C19" s="50"/>
      <c r="D19" s="56">
        <v>40.729999999999997</v>
      </c>
      <c r="E19" s="59"/>
      <c r="F19" s="56">
        <v>46.16</v>
      </c>
      <c r="G19" s="56">
        <v>40.549999999999997</v>
      </c>
      <c r="H19" s="50"/>
      <c r="I19" s="50"/>
      <c r="J19" s="50"/>
      <c r="K19" s="52"/>
      <c r="L19" s="60">
        <v>17.3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27.89</v>
      </c>
      <c r="C20" s="46"/>
      <c r="D20" s="45">
        <v>28.64</v>
      </c>
      <c r="E20" s="51"/>
      <c r="F20" s="45">
        <v>32.15</v>
      </c>
      <c r="G20" s="62">
        <v>26.29</v>
      </c>
      <c r="H20" s="50"/>
      <c r="I20" s="50"/>
      <c r="J20" s="50"/>
      <c r="K20" s="52">
        <f>G20/D20</f>
        <v>0.91794692737430161</v>
      </c>
      <c r="L20" s="63">
        <v>12.47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1.117</v>
      </c>
      <c r="E21" s="67"/>
      <c r="F21" s="67">
        <v>1.17</v>
      </c>
      <c r="G21" s="67">
        <v>1.0369999999999999</v>
      </c>
      <c r="H21" s="50"/>
      <c r="I21" s="50"/>
      <c r="J21" s="50"/>
      <c r="K21" s="52">
        <f>G21/D21</f>
        <v>0.928379588182632</v>
      </c>
      <c r="L21" s="68">
        <v>0.52900000000000003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1.1299999999999999</v>
      </c>
      <c r="E22" s="67"/>
      <c r="F22" s="67">
        <v>1.26</v>
      </c>
      <c r="G22" s="67">
        <v>1.026</v>
      </c>
      <c r="H22" s="50"/>
      <c r="I22" s="50"/>
      <c r="J22" s="50"/>
      <c r="K22" s="52">
        <f>G22/D22</f>
        <v>0.90796460176991156</v>
      </c>
      <c r="L22" s="68">
        <v>0.51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4.6900000000000004</v>
      </c>
      <c r="E23" s="76">
        <f>ROUND((34.45+33.3)/2,2)</f>
        <v>33.880000000000003</v>
      </c>
      <c r="F23" s="76">
        <v>4.99</v>
      </c>
      <c r="G23" s="76">
        <v>4.57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2.16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0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0.60323414609418569</v>
      </c>
      <c r="C6" s="20"/>
      <c r="D6" s="19">
        <f t="shared" ref="D6:D11" si="1">D15/N6</f>
        <v>0.64378770213413095</v>
      </c>
      <c r="E6" s="20">
        <f t="shared" ref="E6:E14" si="2">D6/B6</f>
        <v>1.0672268907563025</v>
      </c>
      <c r="F6" s="19">
        <f t="shared" ref="F6:F11" si="3">F15/N6</f>
        <v>0.69954884168905562</v>
      </c>
      <c r="G6" s="19">
        <f t="shared" ref="G6:G11" si="4">G15/N6</f>
        <v>0.65392609114411726</v>
      </c>
      <c r="H6" s="19"/>
      <c r="I6" s="19"/>
      <c r="J6" s="20">
        <f t="shared" ref="J6:J11" si="5">G6/B6</f>
        <v>1.0840336134453781</v>
      </c>
      <c r="K6" s="20">
        <f t="shared" ref="K6:K17" si="6">G6/D6</f>
        <v>1.015748031496063</v>
      </c>
      <c r="L6" s="19">
        <f t="shared" ref="L6:L11" si="7">L15/N6</f>
        <v>0.33963603183454155</v>
      </c>
      <c r="M6" s="21">
        <f t="shared" ref="M6:M11" si="8">L6/B6</f>
        <v>0.56302521008403361</v>
      </c>
      <c r="N6" s="22">
        <f>P6</f>
        <v>1.9726999999999999</v>
      </c>
      <c r="O6" s="23" t="s">
        <v>17</v>
      </c>
      <c r="P6" s="9">
        <v>1.9726999999999999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0.66587483144928283</v>
      </c>
      <c r="C7" s="20">
        <f>B7/$B$6</f>
        <v>1.103841411764706</v>
      </c>
      <c r="D7" s="25">
        <f t="shared" si="1"/>
        <v>0.72234907994119746</v>
      </c>
      <c r="E7" s="20">
        <f t="shared" si="2"/>
        <v>1.0848121085594988</v>
      </c>
      <c r="F7" s="25">
        <f t="shared" si="3"/>
        <v>0.82087492269478401</v>
      </c>
      <c r="G7" s="25">
        <f t="shared" si="4"/>
        <v>0.69159233537790854</v>
      </c>
      <c r="H7" s="26">
        <f t="shared" ref="H7:H14" si="9">G7/$G$6</f>
        <v>1.0576001550387597</v>
      </c>
      <c r="I7" s="26" t="e">
        <f t="shared" ref="I7:I14" si="10">G7/$G$5</f>
        <v>#DIV/0!</v>
      </c>
      <c r="J7" s="27">
        <f t="shared" si="5"/>
        <v>1.0386221294363256</v>
      </c>
      <c r="K7" s="20">
        <f t="shared" si="6"/>
        <v>0.95742121722395956</v>
      </c>
      <c r="L7" s="25">
        <f t="shared" si="7"/>
        <v>0.32963584427434484</v>
      </c>
      <c r="M7" s="28">
        <f t="shared" si="8"/>
        <v>0.49504175365344461</v>
      </c>
      <c r="N7" s="29">
        <f>P6/P7</f>
        <v>57.548353219172078</v>
      </c>
      <c r="O7" s="9"/>
      <c r="P7" s="9">
        <f>3.4279/100</f>
        <v>3.4279000000000004E-2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0.64884567344249011</v>
      </c>
      <c r="C8" s="20">
        <f>B8/$B$6</f>
        <v>1.0756116470588237</v>
      </c>
      <c r="D8" s="25">
        <f t="shared" si="1"/>
        <v>0.70201835048410821</v>
      </c>
      <c r="E8" s="20">
        <f t="shared" si="2"/>
        <v>1.0819496518478844</v>
      </c>
      <c r="F8" s="25">
        <f t="shared" si="3"/>
        <v>0.74893541846200651</v>
      </c>
      <c r="G8" s="25">
        <f t="shared" si="4"/>
        <v>0.67664838039235575</v>
      </c>
      <c r="H8" s="26">
        <f t="shared" si="9"/>
        <v>1.0347474883720931</v>
      </c>
      <c r="I8" s="26" t="e">
        <f t="shared" si="10"/>
        <v>#DIV/0!</v>
      </c>
      <c r="J8" s="27">
        <f t="shared" si="5"/>
        <v>1.0428494911622923</v>
      </c>
      <c r="K8" s="20">
        <f t="shared" si="6"/>
        <v>0.96386138613861383</v>
      </c>
      <c r="L8" s="25">
        <f t="shared" si="7"/>
        <v>0.33815042327774125</v>
      </c>
      <c r="M8" s="28">
        <f t="shared" si="8"/>
        <v>0.52115693626138193</v>
      </c>
      <c r="N8" s="29">
        <f>N7</f>
        <v>57.548353219172078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0.65753401936432321</v>
      </c>
      <c r="C9" s="20">
        <f>B9/$B$6</f>
        <v>1.0900145882352943</v>
      </c>
      <c r="D9" s="25">
        <f t="shared" si="1"/>
        <v>0.71174929791656116</v>
      </c>
      <c r="E9" s="20">
        <f t="shared" si="2"/>
        <v>1.0824524312896404</v>
      </c>
      <c r="F9" s="25">
        <f t="shared" si="3"/>
        <v>0.76752847873472918</v>
      </c>
      <c r="G9" s="25">
        <f t="shared" si="4"/>
        <v>0.68898583160135862</v>
      </c>
      <c r="H9" s="26">
        <f t="shared" si="9"/>
        <v>1.0536142248062015</v>
      </c>
      <c r="I9" s="26" t="e">
        <f t="shared" si="10"/>
        <v>#DIV/0!</v>
      </c>
      <c r="J9" s="27">
        <f t="shared" si="5"/>
        <v>1.0478329809725158</v>
      </c>
      <c r="K9" s="20">
        <f t="shared" si="6"/>
        <v>0.968017578125</v>
      </c>
      <c r="L9" s="25">
        <f t="shared" si="7"/>
        <v>0.33710782176712123</v>
      </c>
      <c r="M9" s="28">
        <f t="shared" si="8"/>
        <v>0.5126849894291754</v>
      </c>
      <c r="N9" s="29">
        <f>N7</f>
        <v>57.548353219172078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0.65875038779337969</v>
      </c>
      <c r="C10" s="20">
        <f>B10/$B$6</f>
        <v>1.092031</v>
      </c>
      <c r="D10" s="25">
        <f t="shared" si="1"/>
        <v>0.70862149338470126</v>
      </c>
      <c r="E10" s="20">
        <f t="shared" si="2"/>
        <v>1.0757056185702982</v>
      </c>
      <c r="F10" s="25">
        <f t="shared" si="3"/>
        <v>0.80801617073047105</v>
      </c>
      <c r="G10" s="25">
        <f t="shared" si="4"/>
        <v>0.70896902722157451</v>
      </c>
      <c r="H10" s="26">
        <f t="shared" si="9"/>
        <v>1.0841730232558138</v>
      </c>
      <c r="I10" s="26" t="e">
        <f t="shared" si="10"/>
        <v>#DIV/0!</v>
      </c>
      <c r="J10" s="27">
        <f t="shared" si="5"/>
        <v>1.0762331838565022</v>
      </c>
      <c r="K10" s="20">
        <f t="shared" si="6"/>
        <v>1.0004904364884746</v>
      </c>
      <c r="L10" s="25">
        <f t="shared" si="7"/>
        <v>0.30009546814011256</v>
      </c>
      <c r="M10" s="28">
        <f t="shared" si="8"/>
        <v>0.4555526246372989</v>
      </c>
      <c r="N10" s="29">
        <f>N7</f>
        <v>57.548353219172078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1.0009383281796522</v>
      </c>
      <c r="C11" s="20">
        <f>B11/$B$6</f>
        <v>1.6592865882352938</v>
      </c>
      <c r="D11" s="25">
        <f t="shared" si="1"/>
        <v>1.0283077355908146</v>
      </c>
      <c r="E11" s="20">
        <f t="shared" si="2"/>
        <v>1.02734375</v>
      </c>
      <c r="F11" s="25">
        <f t="shared" si="3"/>
        <v>1.1498705581183151</v>
      </c>
      <c r="G11" s="25">
        <f t="shared" si="4"/>
        <v>0.9472658539058143</v>
      </c>
      <c r="H11" s="26">
        <f t="shared" si="9"/>
        <v>1.4485824418604649</v>
      </c>
      <c r="I11" s="26" t="e">
        <f t="shared" si="10"/>
        <v>#DIV/0!</v>
      </c>
      <c r="J11" s="27">
        <f t="shared" si="5"/>
        <v>0.94637784090909083</v>
      </c>
      <c r="K11" s="20">
        <f t="shared" si="6"/>
        <v>0.92118907708261322</v>
      </c>
      <c r="L11" s="25">
        <f t="shared" si="7"/>
        <v>0.45035115831094441</v>
      </c>
      <c r="M11" s="28">
        <f t="shared" si="8"/>
        <v>0.44992897727272729</v>
      </c>
      <c r="N11" s="29">
        <f>P6/P11</f>
        <v>28.133601448965329</v>
      </c>
      <c r="O11" s="9"/>
      <c r="P11" s="9">
        <f>7.0119/100</f>
        <v>7.0119000000000001E-2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1.3634879099711057</v>
      </c>
      <c r="E12" s="20" t="e">
        <f t="shared" si="2"/>
        <v>#DIV/0!</v>
      </c>
      <c r="F12" s="25">
        <f>F21*N12</f>
        <v>1.4446763319308564</v>
      </c>
      <c r="G12" s="25">
        <f>G21*N12</f>
        <v>1.2834934353931162</v>
      </c>
      <c r="H12" s="26">
        <f t="shared" si="9"/>
        <v>1.96275</v>
      </c>
      <c r="I12" s="26" t="e">
        <f t="shared" si="10"/>
        <v>#DIV/0!</v>
      </c>
      <c r="J12" s="27"/>
      <c r="K12" s="20">
        <f t="shared" si="6"/>
        <v>0.9413309982486866</v>
      </c>
      <c r="L12" s="25">
        <f>L21*$N$12</f>
        <v>0.66264079687737643</v>
      </c>
      <c r="M12" s="31">
        <f>L12/D12</f>
        <v>0.48598949211908948</v>
      </c>
      <c r="N12" s="29">
        <f>P13/P6</f>
        <v>1.1939473817610384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1.3491605413899732</v>
      </c>
      <c r="E13" s="20" t="e">
        <f t="shared" si="2"/>
        <v>#DIV/0!</v>
      </c>
      <c r="F13" s="25">
        <f>F22*N13</f>
        <v>1.5282526486541292</v>
      </c>
      <c r="G13" s="25">
        <f>G22*N13</f>
        <v>1.2512568560855684</v>
      </c>
      <c r="H13" s="26">
        <f t="shared" si="9"/>
        <v>1.9134530232558142</v>
      </c>
      <c r="I13" s="26" t="e">
        <f t="shared" si="10"/>
        <v>#DIV/0!</v>
      </c>
      <c r="J13" s="27"/>
      <c r="K13" s="20">
        <f t="shared" si="6"/>
        <v>0.92743362831858434</v>
      </c>
      <c r="L13" s="25">
        <f>L22*$N$12</f>
        <v>0.60771921731636858</v>
      </c>
      <c r="M13" s="31">
        <f>L13/D13</f>
        <v>0.45044247787610625</v>
      </c>
      <c r="N13" s="29">
        <f>P13/P6</f>
        <v>1.1939473817610384</v>
      </c>
      <c r="O13" s="9"/>
      <c r="P13" s="34">
        <v>2.3553000000000002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1.3342756627971817</v>
      </c>
      <c r="E14" s="20" t="e">
        <f t="shared" si="2"/>
        <v>#DIV/0!</v>
      </c>
      <c r="F14" s="25">
        <f>F23/N14</f>
        <v>1.4198061540021294</v>
      </c>
      <c r="G14" s="25">
        <f>G23/N14</f>
        <v>1.3029144826887009</v>
      </c>
      <c r="H14" s="26">
        <f t="shared" si="9"/>
        <v>1.9924491472868218</v>
      </c>
      <c r="I14" s="26" t="e">
        <f t="shared" si="10"/>
        <v>#DIV/0!</v>
      </c>
      <c r="J14" s="27"/>
      <c r="K14" s="20">
        <f t="shared" si="6"/>
        <v>0.97649572649572647</v>
      </c>
      <c r="L14" s="25">
        <f>L23/N14</f>
        <v>0.61581953667562239</v>
      </c>
      <c r="M14" s="35">
        <f>L14/D14</f>
        <v>0.46153846153846162</v>
      </c>
      <c r="N14" s="36">
        <f>P6/P14</f>
        <v>3.5075210696632406</v>
      </c>
      <c r="O14" s="9"/>
      <c r="P14" s="37">
        <f>5.6242/10</f>
        <v>0.56242000000000003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38.32</v>
      </c>
      <c r="C16" s="45"/>
      <c r="D16" s="45">
        <v>41.57</v>
      </c>
      <c r="E16" s="45"/>
      <c r="F16" s="45">
        <v>47.24</v>
      </c>
      <c r="G16" s="45">
        <v>39.799999999999997</v>
      </c>
      <c r="H16" s="46"/>
      <c r="I16" s="46"/>
      <c r="J16" s="46"/>
      <c r="K16" s="47">
        <f t="shared" si="6"/>
        <v>0.95742121722395956</v>
      </c>
      <c r="L16" s="48">
        <v>18.97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37.340000000000003</v>
      </c>
      <c r="C17" s="50"/>
      <c r="D17" s="45">
        <v>40.4</v>
      </c>
      <c r="E17" s="45"/>
      <c r="F17" s="51">
        <v>43.1</v>
      </c>
      <c r="G17" s="45">
        <v>38.94</v>
      </c>
      <c r="H17" s="50"/>
      <c r="I17" s="50"/>
      <c r="J17" s="50"/>
      <c r="K17" s="52">
        <f t="shared" si="6"/>
        <v>0.96386138613861383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37.840000000000003</v>
      </c>
      <c r="C18" s="50"/>
      <c r="D18" s="45">
        <v>40.96</v>
      </c>
      <c r="E18" s="56"/>
      <c r="F18" s="45">
        <v>44.17</v>
      </c>
      <c r="G18" s="56">
        <v>39.65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37.909999999999997</v>
      </c>
      <c r="C19" s="50"/>
      <c r="D19" s="56">
        <v>40.78</v>
      </c>
      <c r="E19" s="59"/>
      <c r="F19" s="56">
        <v>46.5</v>
      </c>
      <c r="G19" s="56">
        <v>40.799999999999997</v>
      </c>
      <c r="H19" s="50"/>
      <c r="I19" s="50"/>
      <c r="J19" s="50"/>
      <c r="K19" s="52"/>
      <c r="L19" s="60">
        <v>17.27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28.16</v>
      </c>
      <c r="C20" s="46"/>
      <c r="D20" s="45">
        <v>28.93</v>
      </c>
      <c r="E20" s="51"/>
      <c r="F20" s="45">
        <v>32.35</v>
      </c>
      <c r="G20" s="62">
        <v>26.65</v>
      </c>
      <c r="H20" s="50"/>
      <c r="I20" s="50"/>
      <c r="J20" s="50"/>
      <c r="K20" s="52">
        <f>G20/D20</f>
        <v>0.92118907708261322</v>
      </c>
      <c r="L20" s="63">
        <v>12.67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1.1419999999999999</v>
      </c>
      <c r="E21" s="67"/>
      <c r="F21" s="67">
        <v>1.21</v>
      </c>
      <c r="G21" s="67">
        <v>1.075</v>
      </c>
      <c r="H21" s="50"/>
      <c r="I21" s="50"/>
      <c r="J21" s="50"/>
      <c r="K21" s="52">
        <f>G21/D21</f>
        <v>0.9413309982486866</v>
      </c>
      <c r="L21" s="68">
        <v>0.55500000000000005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1.1299999999999999</v>
      </c>
      <c r="E22" s="67"/>
      <c r="F22" s="67">
        <v>1.28</v>
      </c>
      <c r="G22" s="67">
        <v>1.048</v>
      </c>
      <c r="H22" s="50"/>
      <c r="I22" s="50"/>
      <c r="J22" s="50"/>
      <c r="K22" s="52">
        <f>G22/D22</f>
        <v>0.92743362831858422</v>
      </c>
      <c r="L22" s="68">
        <v>0.50900000000000001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4.68</v>
      </c>
      <c r="E23" s="76">
        <f>ROUND((34.45+33.3)/2,2)</f>
        <v>33.880000000000003</v>
      </c>
      <c r="F23" s="76">
        <v>4.9800000000000004</v>
      </c>
      <c r="G23" s="76">
        <v>4.57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2.16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156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0.59892294529166035</v>
      </c>
      <c r="C6" s="20"/>
      <c r="D6" s="19">
        <f t="shared" ref="D6:D11" si="1">D15/N6</f>
        <v>0.63918667270622576</v>
      </c>
      <c r="E6" s="20">
        <f t="shared" ref="E6:E14" si="2">D6/B6</f>
        <v>1.0672268907563025</v>
      </c>
      <c r="F6" s="19">
        <f t="shared" ref="F6:F11" si="3">F15/N6</f>
        <v>0.69454929790125308</v>
      </c>
      <c r="G6" s="19">
        <f t="shared" ref="G6:G11" si="4">G15/N6</f>
        <v>0.64925260455986711</v>
      </c>
      <c r="H6" s="19"/>
      <c r="I6" s="19"/>
      <c r="J6" s="20">
        <f t="shared" ref="J6:J11" si="5">G6/B6</f>
        <v>1.0840336134453781</v>
      </c>
      <c r="K6" s="20">
        <f t="shared" ref="K6:K17" si="6">G6/D6</f>
        <v>1.015748031496063</v>
      </c>
      <c r="L6" s="19">
        <f t="shared" ref="L6:L11" si="7">L15/N6</f>
        <v>0.33720871709698524</v>
      </c>
      <c r="M6" s="21">
        <f t="shared" ref="M6:M11" si="8">L6/B6</f>
        <v>0.56302521008403361</v>
      </c>
      <c r="N6" s="22">
        <f>P6</f>
        <v>1.9869000000000001</v>
      </c>
      <c r="O6" s="23" t="s">
        <v>17</v>
      </c>
      <c r="P6" s="9">
        <v>1.9869000000000001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0.67292485781871259</v>
      </c>
      <c r="C7" s="20">
        <f>B7/$B$6</f>
        <v>1.1235583193277312</v>
      </c>
      <c r="D7" s="25">
        <f t="shared" si="1"/>
        <v>0.72732034828124215</v>
      </c>
      <c r="E7" s="20">
        <f t="shared" si="2"/>
        <v>1.0808344198174706</v>
      </c>
      <c r="F7" s="25">
        <f t="shared" si="3"/>
        <v>0.83049631083597553</v>
      </c>
      <c r="G7" s="25">
        <f t="shared" si="4"/>
        <v>0.69836790980925045</v>
      </c>
      <c r="H7" s="26">
        <f t="shared" ref="H7:H14" si="9">G7/$G$6</f>
        <v>1.0756489922480619</v>
      </c>
      <c r="I7" s="26" t="e">
        <f t="shared" ref="I7:I14" si="10">G7/$G$5</f>
        <v>#DIV/0!</v>
      </c>
      <c r="J7" s="27">
        <f t="shared" si="5"/>
        <v>1.0378096479791392</v>
      </c>
      <c r="K7" s="20">
        <f t="shared" si="6"/>
        <v>0.96019300361881765</v>
      </c>
      <c r="L7" s="25">
        <f t="shared" si="7"/>
        <v>0.33286530776586637</v>
      </c>
      <c r="M7" s="28">
        <f t="shared" si="8"/>
        <v>0.49465449804432848</v>
      </c>
      <c r="N7" s="29">
        <f>P6/P7</f>
        <v>56.990018357044519</v>
      </c>
      <c r="O7" s="9"/>
      <c r="P7" s="9">
        <f>3.4864/100</f>
        <v>3.4863999999999999E-2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0.65625527203180833</v>
      </c>
      <c r="C8" s="20">
        <f>B8/$B$6</f>
        <v>1.0957257142857144</v>
      </c>
      <c r="D8" s="25">
        <f t="shared" si="1"/>
        <v>0.70889606925361104</v>
      </c>
      <c r="E8" s="20">
        <f t="shared" si="2"/>
        <v>1.0802139037433154</v>
      </c>
      <c r="F8" s="25">
        <f t="shared" si="3"/>
        <v>0.75627278675323362</v>
      </c>
      <c r="G8" s="25">
        <f t="shared" si="4"/>
        <v>0.68520771050379981</v>
      </c>
      <c r="H8" s="26">
        <f t="shared" si="9"/>
        <v>1.0553792248062015</v>
      </c>
      <c r="I8" s="26" t="e">
        <f t="shared" si="10"/>
        <v>#DIV/0!</v>
      </c>
      <c r="J8" s="27">
        <f t="shared" si="5"/>
        <v>1.0441176470588234</v>
      </c>
      <c r="K8" s="20">
        <f t="shared" si="6"/>
        <v>0.96658415841584167</v>
      </c>
      <c r="L8" s="25">
        <f t="shared" si="7"/>
        <v>0.34146330464542757</v>
      </c>
      <c r="M8" s="28">
        <f t="shared" si="8"/>
        <v>0.52032085561497332</v>
      </c>
      <c r="N8" s="29">
        <f>N7</f>
        <v>56.990018357044519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0.66608155417987813</v>
      </c>
      <c r="C9" s="20">
        <f>B9/$B$6</f>
        <v>1.1121323025210084</v>
      </c>
      <c r="D9" s="25">
        <f t="shared" si="1"/>
        <v>0.71854688207760831</v>
      </c>
      <c r="E9" s="20">
        <f t="shared" si="2"/>
        <v>1.0787671232876712</v>
      </c>
      <c r="F9" s="25">
        <f t="shared" si="3"/>
        <v>0.77732910564195468</v>
      </c>
      <c r="G9" s="25">
        <f t="shared" si="4"/>
        <v>0.69977166440183203</v>
      </c>
      <c r="H9" s="26">
        <f t="shared" si="9"/>
        <v>1.0778111007751938</v>
      </c>
      <c r="I9" s="26" t="e">
        <f t="shared" si="10"/>
        <v>#DIV/0!</v>
      </c>
      <c r="J9" s="27">
        <f t="shared" si="5"/>
        <v>1.0505795574288725</v>
      </c>
      <c r="K9" s="20">
        <f t="shared" si="6"/>
        <v>0.97387057387057396</v>
      </c>
      <c r="L9" s="25">
        <f t="shared" si="7"/>
        <v>0.34041048870099144</v>
      </c>
      <c r="M9" s="28">
        <f t="shared" si="8"/>
        <v>0.51106427818756583</v>
      </c>
      <c r="N9" s="29">
        <f>N7</f>
        <v>56.990018357044519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0.6652042075595147</v>
      </c>
      <c r="C10" s="20">
        <f>B10/$B$6</f>
        <v>1.1106674285714284</v>
      </c>
      <c r="D10" s="25">
        <f t="shared" si="1"/>
        <v>0.71556390356837285</v>
      </c>
      <c r="E10" s="20">
        <f t="shared" si="2"/>
        <v>1.0757056185702982</v>
      </c>
      <c r="F10" s="25">
        <f t="shared" si="3"/>
        <v>0.81593235693794353</v>
      </c>
      <c r="G10" s="25">
        <f t="shared" si="4"/>
        <v>0.71591484221651813</v>
      </c>
      <c r="H10" s="26">
        <f t="shared" si="9"/>
        <v>1.1026753488372092</v>
      </c>
      <c r="I10" s="26" t="e">
        <f t="shared" si="10"/>
        <v>#DIV/0!</v>
      </c>
      <c r="J10" s="27">
        <f t="shared" si="5"/>
        <v>1.0762331838565022</v>
      </c>
      <c r="K10" s="20">
        <f t="shared" si="6"/>
        <v>1.0004904364884746</v>
      </c>
      <c r="L10" s="25">
        <f t="shared" si="7"/>
        <v>0.30303552267351147</v>
      </c>
      <c r="M10" s="28">
        <f t="shared" si="8"/>
        <v>0.4555526246372989</v>
      </c>
      <c r="N10" s="29">
        <f>N7</f>
        <v>56.990018357044519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1.0078004932306608</v>
      </c>
      <c r="C11" s="20">
        <f>B11/$B$6</f>
        <v>1.6826880672268907</v>
      </c>
      <c r="D11" s="25">
        <f t="shared" si="1"/>
        <v>1.0351246615330414</v>
      </c>
      <c r="E11" s="20">
        <f t="shared" si="2"/>
        <v>1.027112676056338</v>
      </c>
      <c r="F11" s="25">
        <f t="shared" si="3"/>
        <v>1.157905989229453</v>
      </c>
      <c r="G11" s="25">
        <f t="shared" si="4"/>
        <v>0.95457159394030888</v>
      </c>
      <c r="H11" s="26">
        <f t="shared" si="9"/>
        <v>1.4702622480620153</v>
      </c>
      <c r="I11" s="26" t="e">
        <f t="shared" si="10"/>
        <v>#DIV/0!</v>
      </c>
      <c r="J11" s="27">
        <f t="shared" si="5"/>
        <v>0.94718309859154914</v>
      </c>
      <c r="K11" s="20">
        <f t="shared" si="6"/>
        <v>0.92218032224888569</v>
      </c>
      <c r="L11" s="25">
        <f t="shared" si="7"/>
        <v>0.4513810659821833</v>
      </c>
      <c r="M11" s="28">
        <f t="shared" si="8"/>
        <v>0.44788732394366199</v>
      </c>
      <c r="N11" s="29">
        <f>P6/P11</f>
        <v>28.180180691278881</v>
      </c>
      <c r="O11" s="9"/>
      <c r="P11" s="9">
        <f>7.0507/100</f>
        <v>7.0507E-2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1.4050478131763049</v>
      </c>
      <c r="E12" s="20" t="e">
        <f t="shared" si="2"/>
        <v>#DIV/0!</v>
      </c>
      <c r="F12" s="25">
        <f>F21*N12</f>
        <v>1.4593200463032865</v>
      </c>
      <c r="G12" s="25">
        <f>G21*N12</f>
        <v>1.2965033469223413</v>
      </c>
      <c r="H12" s="26">
        <f t="shared" si="9"/>
        <v>1.9969166666666667</v>
      </c>
      <c r="I12" s="26" t="e">
        <f t="shared" si="10"/>
        <v>#DIV/0!</v>
      </c>
      <c r="J12" s="27"/>
      <c r="K12" s="20">
        <f t="shared" si="6"/>
        <v>0.92274678111587971</v>
      </c>
      <c r="L12" s="25">
        <f>L21*$N$12</f>
        <v>0.66935754189944141</v>
      </c>
      <c r="M12" s="31">
        <f>L12/D12</f>
        <v>0.47639484978540775</v>
      </c>
      <c r="N12" s="29">
        <f>P13/P6</f>
        <v>1.2060496250440385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1.3785147214253359</v>
      </c>
      <c r="E13" s="20" t="e">
        <f t="shared" si="2"/>
        <v>#DIV/0!</v>
      </c>
      <c r="F13" s="25">
        <f>F22*N13</f>
        <v>1.5437435200563692</v>
      </c>
      <c r="G13" s="25">
        <f>G22*N13</f>
        <v>1.2735884040465046</v>
      </c>
      <c r="H13" s="26">
        <f t="shared" si="9"/>
        <v>1.9616223255813954</v>
      </c>
      <c r="I13" s="26" t="e">
        <f t="shared" si="10"/>
        <v>#DIV/0!</v>
      </c>
      <c r="J13" s="27"/>
      <c r="K13" s="20">
        <f t="shared" si="6"/>
        <v>0.92388451443569553</v>
      </c>
      <c r="L13" s="25">
        <f>L22*$N$12</f>
        <v>0.61387925914741559</v>
      </c>
      <c r="M13" s="31">
        <f>L13/D13</f>
        <v>0.44531933508311461</v>
      </c>
      <c r="N13" s="29">
        <f>P13/P6</f>
        <v>1.2060496250440385</v>
      </c>
      <c r="O13" s="9"/>
      <c r="P13" s="34">
        <v>2.3963000000000001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1.3518432734410386</v>
      </c>
      <c r="E14" s="20" t="e">
        <f t="shared" si="2"/>
        <v>#DIV/0!</v>
      </c>
      <c r="F14" s="25">
        <f>F23/N14</f>
        <v>1.4417727615884037</v>
      </c>
      <c r="G14" s="25">
        <f>G23/N14</f>
        <v>1.3141309074437564</v>
      </c>
      <c r="H14" s="26">
        <f t="shared" si="9"/>
        <v>2.0240672093023253</v>
      </c>
      <c r="I14" s="26" t="e">
        <f t="shared" si="10"/>
        <v>#DIV/0!</v>
      </c>
      <c r="J14" s="27"/>
      <c r="K14" s="20">
        <f t="shared" si="6"/>
        <v>0.97210300429184548</v>
      </c>
      <c r="L14" s="25">
        <f>L23/N14</f>
        <v>0.62080356333987607</v>
      </c>
      <c r="M14" s="35">
        <f>L14/D14</f>
        <v>0.45922746781115881</v>
      </c>
      <c r="N14" s="36">
        <f>P6/P14</f>
        <v>3.4471451621298086</v>
      </c>
      <c r="O14" s="9"/>
      <c r="P14" s="37">
        <f>5.7639/10</f>
        <v>0.57638999999999996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0.67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38.35</v>
      </c>
      <c r="C16" s="45"/>
      <c r="D16" s="45">
        <v>41.45</v>
      </c>
      <c r="E16" s="45"/>
      <c r="F16" s="45">
        <v>47.33</v>
      </c>
      <c r="G16" s="45">
        <v>39.799999999999997</v>
      </c>
      <c r="H16" s="46"/>
      <c r="I16" s="46"/>
      <c r="J16" s="46"/>
      <c r="K16" s="47">
        <f t="shared" si="6"/>
        <v>0.96019300361881776</v>
      </c>
      <c r="L16" s="48">
        <v>18.97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37.4</v>
      </c>
      <c r="C17" s="50"/>
      <c r="D17" s="45">
        <v>40.4</v>
      </c>
      <c r="E17" s="45"/>
      <c r="F17" s="51">
        <v>43.1</v>
      </c>
      <c r="G17" s="45">
        <v>39.049999999999997</v>
      </c>
      <c r="H17" s="50"/>
      <c r="I17" s="50"/>
      <c r="J17" s="50"/>
      <c r="K17" s="52">
        <f t="shared" si="6"/>
        <v>0.96658415841584155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37.96</v>
      </c>
      <c r="C18" s="50"/>
      <c r="D18" s="45">
        <v>40.950000000000003</v>
      </c>
      <c r="E18" s="56"/>
      <c r="F18" s="45">
        <v>44.3</v>
      </c>
      <c r="G18" s="56">
        <v>39.880000000000003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37.909999999999997</v>
      </c>
      <c r="C19" s="50"/>
      <c r="D19" s="56">
        <v>40.78</v>
      </c>
      <c r="E19" s="59"/>
      <c r="F19" s="56">
        <v>46.5</v>
      </c>
      <c r="G19" s="56">
        <v>40.799999999999997</v>
      </c>
      <c r="H19" s="50"/>
      <c r="I19" s="50"/>
      <c r="J19" s="50"/>
      <c r="K19" s="52"/>
      <c r="L19" s="60">
        <v>17.27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28.4</v>
      </c>
      <c r="C20" s="46"/>
      <c r="D20" s="45">
        <v>29.17</v>
      </c>
      <c r="E20" s="51"/>
      <c r="F20" s="45">
        <v>32.630000000000003</v>
      </c>
      <c r="G20" s="62">
        <v>26.9</v>
      </c>
      <c r="H20" s="50"/>
      <c r="I20" s="50"/>
      <c r="J20" s="50"/>
      <c r="K20" s="52">
        <f>G20/D20</f>
        <v>0.92218032224888569</v>
      </c>
      <c r="L20" s="63">
        <v>12.72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1.165</v>
      </c>
      <c r="E21" s="67"/>
      <c r="F21" s="67">
        <v>1.21</v>
      </c>
      <c r="G21" s="67">
        <v>1.075</v>
      </c>
      <c r="H21" s="50"/>
      <c r="I21" s="50"/>
      <c r="J21" s="50"/>
      <c r="K21" s="52">
        <f>G21/D21</f>
        <v>0.92274678111587971</v>
      </c>
      <c r="L21" s="68">
        <v>0.55500000000000005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1.143</v>
      </c>
      <c r="E22" s="67"/>
      <c r="F22" s="67">
        <v>1.28</v>
      </c>
      <c r="G22" s="67">
        <v>1.056</v>
      </c>
      <c r="H22" s="50"/>
      <c r="I22" s="50"/>
      <c r="J22" s="50"/>
      <c r="K22" s="52">
        <f>G22/D22</f>
        <v>0.92388451443569553</v>
      </c>
      <c r="L22" s="68">
        <v>0.50900000000000001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4.66</v>
      </c>
      <c r="E23" s="76">
        <f>ROUND((34.45+33.3)/2,2)</f>
        <v>33.880000000000003</v>
      </c>
      <c r="F23" s="76">
        <v>4.97</v>
      </c>
      <c r="G23" s="76">
        <v>4.53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2.14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4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157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0.59357541899441335</v>
      </c>
      <c r="C6" s="20"/>
      <c r="D6" s="19">
        <f t="shared" ref="D6:D11" si="1">D15/N6</f>
        <v>0.63347964884277741</v>
      </c>
      <c r="E6" s="20">
        <f t="shared" ref="E6:E14" si="2">D6/B6</f>
        <v>1.0672268907563027</v>
      </c>
      <c r="F6" s="19">
        <f t="shared" ref="F6:F11" si="3">F15/N6</f>
        <v>0.68834796488427774</v>
      </c>
      <c r="G6" s="19">
        <f t="shared" ref="G6:G11" si="4">G15/N6</f>
        <v>0.64345570630486837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</v>
      </c>
      <c r="L6" s="19">
        <f t="shared" ref="L6:L11" si="7">L15/N6</f>
        <v>0.34417398244213887</v>
      </c>
      <c r="M6" s="21">
        <f t="shared" ref="M6:M11" si="8">L6/B6</f>
        <v>0.57983193277310929</v>
      </c>
      <c r="N6" s="22">
        <f>P6</f>
        <v>2.0047999999999999</v>
      </c>
      <c r="O6" s="23" t="s">
        <v>17</v>
      </c>
      <c r="P6" s="9">
        <v>2.0047999999999999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0.67788438747007174</v>
      </c>
      <c r="C7" s="20">
        <f>B7/$B$6</f>
        <v>1.1420358151260503</v>
      </c>
      <c r="D7" s="25">
        <f t="shared" si="1"/>
        <v>0.73506599162011177</v>
      </c>
      <c r="E7" s="20">
        <f t="shared" si="2"/>
        <v>1.0843530330643063</v>
      </c>
      <c r="F7" s="25">
        <f t="shared" si="3"/>
        <v>0.82772136871508373</v>
      </c>
      <c r="G7" s="25">
        <f t="shared" si="4"/>
        <v>0.70188654229848368</v>
      </c>
      <c r="H7" s="26">
        <f t="shared" ref="H7:H14" si="9">G7/$G$6</f>
        <v>1.0908078604651164</v>
      </c>
      <c r="I7" s="26" t="e">
        <f t="shared" ref="I7:I14" si="10">G7/$G$5</f>
        <v>#DIV/0!</v>
      </c>
      <c r="J7" s="27">
        <f t="shared" si="5"/>
        <v>1.0354074459776101</v>
      </c>
      <c r="K7" s="20">
        <f t="shared" si="6"/>
        <v>0.9548619447779112</v>
      </c>
      <c r="L7" s="25">
        <f t="shared" si="7"/>
        <v>0.3302061153232243</v>
      </c>
      <c r="M7" s="28">
        <f t="shared" si="8"/>
        <v>0.48711273105962</v>
      </c>
      <c r="N7" s="29">
        <f>P6/P7</f>
        <v>56.661579334124696</v>
      </c>
      <c r="O7" s="9"/>
      <c r="P7" s="9">
        <f>3.5382/100</f>
        <v>3.5381999999999997E-2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0.66553033719074228</v>
      </c>
      <c r="C8" s="20">
        <f>B8/$B$6</f>
        <v>1.12122287394958</v>
      </c>
      <c r="D8" s="25">
        <f t="shared" si="1"/>
        <v>0.71318167398244203</v>
      </c>
      <c r="E8" s="20">
        <f t="shared" si="2"/>
        <v>1.0715990453460618</v>
      </c>
      <c r="F8" s="25">
        <f t="shared" si="3"/>
        <v>0.76065652434158026</v>
      </c>
      <c r="G8" s="25">
        <f t="shared" si="4"/>
        <v>0.69553303072625694</v>
      </c>
      <c r="H8" s="26">
        <f t="shared" si="9"/>
        <v>1.0809338139534883</v>
      </c>
      <c r="I8" s="26" t="e">
        <f t="shared" si="10"/>
        <v>#DIV/0!</v>
      </c>
      <c r="J8" s="27">
        <f t="shared" si="5"/>
        <v>1.045080880403076</v>
      </c>
      <c r="K8" s="20">
        <f t="shared" si="6"/>
        <v>0.97525365008661236</v>
      </c>
      <c r="L8" s="25">
        <f t="shared" si="7"/>
        <v>0.34344259776536312</v>
      </c>
      <c r="M8" s="28">
        <f t="shared" si="8"/>
        <v>0.5160434897905064</v>
      </c>
      <c r="N8" s="29">
        <f>N7</f>
        <v>56.661579334124696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0.66535385075818043</v>
      </c>
      <c r="C9" s="20">
        <f>B9/$B$6</f>
        <v>1.1209255462184875</v>
      </c>
      <c r="D9" s="25">
        <f t="shared" si="1"/>
        <v>0.71282870111731844</v>
      </c>
      <c r="E9" s="20">
        <f t="shared" si="2"/>
        <v>1.0713527851458886</v>
      </c>
      <c r="F9" s="25">
        <f t="shared" si="3"/>
        <v>0.78183489624900238</v>
      </c>
      <c r="G9" s="25">
        <f t="shared" si="4"/>
        <v>0.70100411013567432</v>
      </c>
      <c r="H9" s="26">
        <f t="shared" si="9"/>
        <v>1.0894364651162789</v>
      </c>
      <c r="I9" s="26" t="e">
        <f t="shared" si="10"/>
        <v>#DIV/0!</v>
      </c>
      <c r="J9" s="27">
        <f t="shared" si="5"/>
        <v>1.0535809018567637</v>
      </c>
      <c r="K9" s="20">
        <f t="shared" si="6"/>
        <v>0.98341173557811334</v>
      </c>
      <c r="L9" s="25">
        <f t="shared" si="7"/>
        <v>0.34238367916999202</v>
      </c>
      <c r="M9" s="28">
        <f t="shared" si="8"/>
        <v>0.51458885941644561</v>
      </c>
      <c r="N9" s="29">
        <f>N7</f>
        <v>56.661579334124696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0.66906006584197919</v>
      </c>
      <c r="C10" s="20">
        <f>B10/$B$6</f>
        <v>1.1271694285714287</v>
      </c>
      <c r="D10" s="25">
        <f t="shared" si="1"/>
        <v>0.71971167198723063</v>
      </c>
      <c r="E10" s="20">
        <f t="shared" si="2"/>
        <v>1.0757056185702982</v>
      </c>
      <c r="F10" s="25">
        <f t="shared" si="3"/>
        <v>0.82066191141260969</v>
      </c>
      <c r="G10" s="25">
        <f t="shared" si="4"/>
        <v>0.72024113128491629</v>
      </c>
      <c r="H10" s="26">
        <f t="shared" si="9"/>
        <v>1.1193328837209302</v>
      </c>
      <c r="I10" s="26" t="e">
        <f t="shared" si="10"/>
        <v>#DIV/0!</v>
      </c>
      <c r="J10" s="27">
        <f t="shared" si="5"/>
        <v>1.0764969664996045</v>
      </c>
      <c r="K10" s="20">
        <f t="shared" si="6"/>
        <v>1.0007356547327122</v>
      </c>
      <c r="L10" s="25">
        <f t="shared" si="7"/>
        <v>0.30479206903431766</v>
      </c>
      <c r="M10" s="28">
        <f t="shared" si="8"/>
        <v>0.45555262463729895</v>
      </c>
      <c r="N10" s="29">
        <f>N7</f>
        <v>56.661579334124696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0.99509078212290514</v>
      </c>
      <c r="C11" s="20">
        <f>B11/$B$6</f>
        <v>1.6764352941176475</v>
      </c>
      <c r="D11" s="25">
        <f t="shared" si="1"/>
        <v>1.0220703561452515</v>
      </c>
      <c r="E11" s="20">
        <f t="shared" si="2"/>
        <v>1.027112676056338</v>
      </c>
      <c r="F11" s="25">
        <f t="shared" si="3"/>
        <v>1.1608224511173186</v>
      </c>
      <c r="G11" s="25">
        <f t="shared" si="4"/>
        <v>0.94288355446927385</v>
      </c>
      <c r="H11" s="26">
        <f t="shared" si="9"/>
        <v>1.4653433720930233</v>
      </c>
      <c r="I11" s="26" t="e">
        <f t="shared" si="10"/>
        <v>#DIV/0!</v>
      </c>
      <c r="J11" s="27">
        <f t="shared" si="5"/>
        <v>0.94753521126760565</v>
      </c>
      <c r="K11" s="20">
        <f t="shared" si="6"/>
        <v>0.92252314021254711</v>
      </c>
      <c r="L11" s="25">
        <f t="shared" si="7"/>
        <v>0.45199546089385484</v>
      </c>
      <c r="M11" s="28">
        <f t="shared" si="8"/>
        <v>0.45422535211267612</v>
      </c>
      <c r="N11" s="29">
        <f>P6/P11</f>
        <v>28.540109616342797</v>
      </c>
      <c r="O11" s="9"/>
      <c r="P11" s="9">
        <f>7.0245/100</f>
        <v>7.0245000000000002E-2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1.418463188347965</v>
      </c>
      <c r="E12" s="20" t="e">
        <f t="shared" si="2"/>
        <v>#DIV/0!</v>
      </c>
      <c r="F12" s="25">
        <f>F21*N12</f>
        <v>1.4607152833200319</v>
      </c>
      <c r="G12" s="25">
        <f>G21*N12</f>
        <v>1.3098149441340783</v>
      </c>
      <c r="H12" s="26">
        <f t="shared" si="9"/>
        <v>2.0355945736434107</v>
      </c>
      <c r="I12" s="26" t="e">
        <f t="shared" si="10"/>
        <v>#DIV/0!</v>
      </c>
      <c r="J12" s="27"/>
      <c r="K12" s="20">
        <f t="shared" si="6"/>
        <v>0.92340425531914894</v>
      </c>
      <c r="L12" s="25">
        <f>L21*$N$12</f>
        <v>0.66999750598563457</v>
      </c>
      <c r="M12" s="31">
        <f>L12/D12</f>
        <v>0.47234042553191491</v>
      </c>
      <c r="N12" s="29">
        <f>P13/P6</f>
        <v>1.2072027134876298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1.3846615123703114</v>
      </c>
      <c r="E13" s="20" t="e">
        <f t="shared" si="2"/>
        <v>#DIV/0!</v>
      </c>
      <c r="F13" s="25">
        <f>F22*N13</f>
        <v>1.5572915003990424</v>
      </c>
      <c r="G13" s="25">
        <f>G22*N13</f>
        <v>1.2953285115722266</v>
      </c>
      <c r="H13" s="26">
        <f t="shared" si="9"/>
        <v>2.0130810852713177</v>
      </c>
      <c r="I13" s="26" t="e">
        <f t="shared" si="10"/>
        <v>#DIV/0!</v>
      </c>
      <c r="J13" s="27"/>
      <c r="K13" s="20">
        <f t="shared" si="6"/>
        <v>0.93548387096774177</v>
      </c>
      <c r="L13" s="25">
        <f>L22*$N$12</f>
        <v>0.61567338387869119</v>
      </c>
      <c r="M13" s="31">
        <f>L13/D13</f>
        <v>0.44463818657367044</v>
      </c>
      <c r="N13" s="29">
        <f>P13/P6</f>
        <v>1.2072027134876298</v>
      </c>
      <c r="O13" s="9"/>
      <c r="P13" s="34">
        <v>2.4201999999999999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1.3528327015163608</v>
      </c>
      <c r="E14" s="20" t="e">
        <f t="shared" si="2"/>
        <v>#DIV/0!</v>
      </c>
      <c r="F14" s="25">
        <f>F23/N14</f>
        <v>1.4459308659217878</v>
      </c>
      <c r="G14" s="25">
        <f>G23/N14</f>
        <v>1.3179208898643258</v>
      </c>
      <c r="H14" s="26">
        <f t="shared" si="9"/>
        <v>2.048192093023256</v>
      </c>
      <c r="I14" s="26" t="e">
        <f t="shared" si="10"/>
        <v>#DIV/0!</v>
      </c>
      <c r="J14" s="27"/>
      <c r="K14" s="20">
        <f t="shared" si="6"/>
        <v>0.97419354838709682</v>
      </c>
      <c r="L14" s="25">
        <f>L23/N14</f>
        <v>0.62550329209896249</v>
      </c>
      <c r="M14" s="35">
        <f>L14/D14</f>
        <v>0.46236559139784944</v>
      </c>
      <c r="N14" s="36">
        <f>P6/P14</f>
        <v>3.4372321091794396</v>
      </c>
      <c r="O14" s="9"/>
      <c r="P14" s="37">
        <f>5.8326/10</f>
        <v>0.58326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0.69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38.409999999999997</v>
      </c>
      <c r="C16" s="45"/>
      <c r="D16" s="45">
        <v>41.65</v>
      </c>
      <c r="E16" s="45"/>
      <c r="F16" s="45">
        <v>46.9</v>
      </c>
      <c r="G16" s="45">
        <v>39.770000000000003</v>
      </c>
      <c r="H16" s="46"/>
      <c r="I16" s="46"/>
      <c r="J16" s="46"/>
      <c r="K16" s="47">
        <f t="shared" si="6"/>
        <v>0.95486194477791131</v>
      </c>
      <c r="L16" s="48">
        <v>18.71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37.71</v>
      </c>
      <c r="C17" s="50"/>
      <c r="D17" s="45">
        <v>40.409999999999997</v>
      </c>
      <c r="E17" s="45"/>
      <c r="F17" s="51">
        <v>43.1</v>
      </c>
      <c r="G17" s="45">
        <v>39.409999999999997</v>
      </c>
      <c r="H17" s="50"/>
      <c r="I17" s="50"/>
      <c r="J17" s="50"/>
      <c r="K17" s="52">
        <f t="shared" si="6"/>
        <v>0.97525365008661224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37.700000000000003</v>
      </c>
      <c r="C18" s="50"/>
      <c r="D18" s="45">
        <v>40.39</v>
      </c>
      <c r="E18" s="56"/>
      <c r="F18" s="45">
        <v>44.3</v>
      </c>
      <c r="G18" s="56">
        <v>39.72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37.909999999999997</v>
      </c>
      <c r="C19" s="50"/>
      <c r="D19" s="56">
        <v>40.78</v>
      </c>
      <c r="E19" s="59"/>
      <c r="F19" s="56">
        <v>46.5</v>
      </c>
      <c r="G19" s="56">
        <v>40.81</v>
      </c>
      <c r="H19" s="50"/>
      <c r="I19" s="50"/>
      <c r="J19" s="50"/>
      <c r="K19" s="52"/>
      <c r="L19" s="60">
        <v>17.27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28.4</v>
      </c>
      <c r="C20" s="46"/>
      <c r="D20" s="45">
        <v>29.17</v>
      </c>
      <c r="E20" s="51"/>
      <c r="F20" s="45">
        <v>33.130000000000003</v>
      </c>
      <c r="G20" s="62">
        <v>26.91</v>
      </c>
      <c r="H20" s="50"/>
      <c r="I20" s="50"/>
      <c r="J20" s="50"/>
      <c r="K20" s="52">
        <f>G20/D20</f>
        <v>0.92252314021254711</v>
      </c>
      <c r="L20" s="63">
        <v>12.9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1.175</v>
      </c>
      <c r="E21" s="67"/>
      <c r="F21" s="67">
        <v>1.21</v>
      </c>
      <c r="G21" s="67">
        <v>1.085</v>
      </c>
      <c r="H21" s="50"/>
      <c r="I21" s="50"/>
      <c r="J21" s="50"/>
      <c r="K21" s="52">
        <f>G21/D21</f>
        <v>0.92340425531914883</v>
      </c>
      <c r="L21" s="68">
        <v>0.55500000000000005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1.147</v>
      </c>
      <c r="E22" s="67"/>
      <c r="F22" s="67">
        <v>1.29</v>
      </c>
      <c r="G22" s="67">
        <v>1.073</v>
      </c>
      <c r="H22" s="50"/>
      <c r="I22" s="50"/>
      <c r="J22" s="50"/>
      <c r="K22" s="52">
        <f>G22/D22</f>
        <v>0.93548387096774188</v>
      </c>
      <c r="L22" s="68">
        <v>0.51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4.6500000000000004</v>
      </c>
      <c r="E23" s="76">
        <f>ROUND((34.45+33.3)/2,2)</f>
        <v>33.880000000000003</v>
      </c>
      <c r="F23" s="76">
        <v>4.97</v>
      </c>
      <c r="G23" s="76">
        <v>4.53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2.15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B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158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0.60176991150442471</v>
      </c>
      <c r="C6" s="20"/>
      <c r="D6" s="19">
        <f t="shared" ref="D6:D11" si="1">D15/N6</f>
        <v>0.64222503160556255</v>
      </c>
      <c r="E6" s="20">
        <f t="shared" ref="E6:E14" si="2">D6/B6</f>
        <v>1.0672268907563025</v>
      </c>
      <c r="F6" s="19">
        <f t="shared" ref="F6:F11" si="3">F15/N6</f>
        <v>0.69785082174462698</v>
      </c>
      <c r="G6" s="19">
        <f t="shared" ref="G6:G11" si="4">G15/N6</f>
        <v>0.65233881163084706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1.0157480314960632</v>
      </c>
      <c r="L6" s="19">
        <f t="shared" ref="L6:L11" si="7">L15/N6</f>
        <v>0.34892541087231349</v>
      </c>
      <c r="M6" s="21">
        <f t="shared" ref="M6:M11" si="8">L6/B6</f>
        <v>0.57983193277310929</v>
      </c>
      <c r="N6" s="22">
        <f>P6</f>
        <v>1.9775</v>
      </c>
      <c r="O6" s="23" t="s">
        <v>17</v>
      </c>
      <c r="P6" s="9">
        <v>1.9775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0.6764083549936788</v>
      </c>
      <c r="C7" s="20">
        <f>B7/$B$6</f>
        <v>1.1240315310924369</v>
      </c>
      <c r="D7" s="25">
        <f t="shared" si="1"/>
        <v>0.73346545132743357</v>
      </c>
      <c r="E7" s="20">
        <f t="shared" si="2"/>
        <v>1.0843530330643063</v>
      </c>
      <c r="F7" s="25">
        <f t="shared" si="3"/>
        <v>0.82591907964601763</v>
      </c>
      <c r="G7" s="25">
        <f t="shared" si="4"/>
        <v>0.70035824728192164</v>
      </c>
      <c r="H7" s="26">
        <f t="shared" ref="H7:H14" si="9">G7/$G$6</f>
        <v>1.0736111891472868</v>
      </c>
      <c r="I7" s="26" t="e">
        <f t="shared" ref="I7:I14" si="10">G7/$G$5</f>
        <v>#DIV/0!</v>
      </c>
      <c r="J7" s="27">
        <f t="shared" si="5"/>
        <v>1.0354074459776101</v>
      </c>
      <c r="K7" s="20">
        <f t="shared" si="6"/>
        <v>0.95486194477791131</v>
      </c>
      <c r="L7" s="25">
        <f t="shared" si="7"/>
        <v>0.32948712111251577</v>
      </c>
      <c r="M7" s="28">
        <f t="shared" si="8"/>
        <v>0.48711273105961989</v>
      </c>
      <c r="N7" s="29">
        <f>P6/P7</f>
        <v>56.785224068320311</v>
      </c>
      <c r="O7" s="9"/>
      <c r="P7" s="9">
        <f>3.48242/100</f>
        <v>3.48242E-2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0.66408120455120101</v>
      </c>
      <c r="C8" s="20">
        <f>B8/$B$6</f>
        <v>1.1035467075630254</v>
      </c>
      <c r="D8" s="25">
        <f t="shared" si="1"/>
        <v>0.7116287848293299</v>
      </c>
      <c r="E8" s="20">
        <f t="shared" si="2"/>
        <v>1.071599045346062</v>
      </c>
      <c r="F8" s="25">
        <f t="shared" si="3"/>
        <v>0.7590002629582806</v>
      </c>
      <c r="G8" s="25">
        <f t="shared" si="4"/>
        <v>0.69401856991150435</v>
      </c>
      <c r="H8" s="26">
        <f t="shared" si="9"/>
        <v>1.0638928077519378</v>
      </c>
      <c r="I8" s="26" t="e">
        <f t="shared" si="10"/>
        <v>#DIV/0!</v>
      </c>
      <c r="J8" s="27">
        <f t="shared" si="5"/>
        <v>1.045080880403076</v>
      </c>
      <c r="K8" s="20">
        <f t="shared" si="6"/>
        <v>0.97525365008661224</v>
      </c>
      <c r="L8" s="25">
        <f t="shared" si="7"/>
        <v>0.34269478230088496</v>
      </c>
      <c r="M8" s="28">
        <f t="shared" si="8"/>
        <v>0.51604348979050652</v>
      </c>
      <c r="N8" s="29">
        <f>N7</f>
        <v>56.785224068320311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0.66390510240202272</v>
      </c>
      <c r="C9" s="20">
        <f>B9/$B$6</f>
        <v>1.1032540672268909</v>
      </c>
      <c r="D9" s="25">
        <f t="shared" si="1"/>
        <v>0.71127658053097342</v>
      </c>
      <c r="E9" s="20">
        <f t="shared" si="2"/>
        <v>1.0713527851458886</v>
      </c>
      <c r="F9" s="25">
        <f t="shared" si="3"/>
        <v>0.78013252085967122</v>
      </c>
      <c r="G9" s="25">
        <f t="shared" si="4"/>
        <v>0.69947773653603029</v>
      </c>
      <c r="H9" s="26">
        <f t="shared" si="9"/>
        <v>1.0722614139534883</v>
      </c>
      <c r="I9" s="26" t="e">
        <f t="shared" si="10"/>
        <v>#DIV/0!</v>
      </c>
      <c r="J9" s="27">
        <f t="shared" si="5"/>
        <v>1.0535809018567639</v>
      </c>
      <c r="K9" s="20">
        <f t="shared" si="6"/>
        <v>0.98341173557811334</v>
      </c>
      <c r="L9" s="25">
        <f t="shared" si="7"/>
        <v>0.34163816940581537</v>
      </c>
      <c r="M9" s="28">
        <f t="shared" si="8"/>
        <v>0.51458885941644561</v>
      </c>
      <c r="N9" s="29">
        <f>N7</f>
        <v>56.785224068320311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0.66760324753476596</v>
      </c>
      <c r="C10" s="20">
        <f>B10/$B$6</f>
        <v>1.109399514285714</v>
      </c>
      <c r="D10" s="25">
        <f t="shared" si="1"/>
        <v>0.71814456434892537</v>
      </c>
      <c r="E10" s="20">
        <f t="shared" si="2"/>
        <v>1.0757056185702982</v>
      </c>
      <c r="F10" s="25">
        <f t="shared" si="3"/>
        <v>0.81887499367888739</v>
      </c>
      <c r="G10" s="25">
        <f t="shared" si="4"/>
        <v>0.71867287079646014</v>
      </c>
      <c r="H10" s="26">
        <f t="shared" si="9"/>
        <v>1.1016865131782945</v>
      </c>
      <c r="I10" s="26" t="e">
        <f t="shared" si="10"/>
        <v>#DIV/0!</v>
      </c>
      <c r="J10" s="27">
        <f t="shared" si="5"/>
        <v>1.0764969664996045</v>
      </c>
      <c r="K10" s="20">
        <f t="shared" si="6"/>
        <v>1.0007356547327122</v>
      </c>
      <c r="L10" s="25">
        <f t="shared" si="7"/>
        <v>0.30412841163084697</v>
      </c>
      <c r="M10" s="28">
        <f t="shared" si="8"/>
        <v>0.4555526246372989</v>
      </c>
      <c r="N10" s="29">
        <f>N7</f>
        <v>56.785224068320311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1.0171551150442477</v>
      </c>
      <c r="C11" s="20">
        <f>B11/$B$6</f>
        <v>1.6902724705882353</v>
      </c>
      <c r="D11" s="25">
        <f t="shared" si="1"/>
        <v>1.0424454159292034</v>
      </c>
      <c r="E11" s="20">
        <f t="shared" si="2"/>
        <v>1.0248637602179835</v>
      </c>
      <c r="F11" s="25">
        <f t="shared" si="3"/>
        <v>1.1799830796460178</v>
      </c>
      <c r="G11" s="25">
        <f t="shared" si="4"/>
        <v>0.96103143362831844</v>
      </c>
      <c r="H11" s="26">
        <f t="shared" si="9"/>
        <v>1.4732090387596897</v>
      </c>
      <c r="I11" s="26" t="e">
        <f t="shared" si="10"/>
        <v>#DIV/0!</v>
      </c>
      <c r="J11" s="27">
        <f t="shared" si="5"/>
        <v>0.94482288828337868</v>
      </c>
      <c r="K11" s="20">
        <f t="shared" si="6"/>
        <v>0.9219009637753407</v>
      </c>
      <c r="L11" s="25">
        <f t="shared" si="7"/>
        <v>0.44691079646017695</v>
      </c>
      <c r="M11" s="28">
        <f t="shared" si="8"/>
        <v>0.43937329700272476</v>
      </c>
      <c r="N11" s="29">
        <f>P6/P11</f>
        <v>28.864820680494535</v>
      </c>
      <c r="O11" s="9"/>
      <c r="P11" s="9">
        <f>6.8509/100</f>
        <v>6.8509E-2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1.4627646017699114</v>
      </c>
      <c r="E12" s="20" t="e">
        <f t="shared" si="2"/>
        <v>#DIV/0!</v>
      </c>
      <c r="F12" s="25">
        <f>F21*N12</f>
        <v>1.5178477876106193</v>
      </c>
      <c r="G12" s="25">
        <f>G21*N12</f>
        <v>1.3525982300884956</v>
      </c>
      <c r="H12" s="26">
        <f t="shared" si="9"/>
        <v>2.0734596899224806</v>
      </c>
      <c r="I12" s="26" t="e">
        <f t="shared" si="10"/>
        <v>#DIV/0!</v>
      </c>
      <c r="J12" s="27"/>
      <c r="K12" s="20">
        <f t="shared" si="6"/>
        <v>0.92468619246861927</v>
      </c>
      <c r="L12" s="25">
        <f>L21*$N$12</f>
        <v>0.67935929203539824</v>
      </c>
      <c r="M12" s="31">
        <f>L12/D12</f>
        <v>0.46443514644351469</v>
      </c>
      <c r="N12" s="29">
        <f>P13/P6</f>
        <v>1.2240707964601769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1.405233274336283</v>
      </c>
      <c r="E13" s="20" t="e">
        <f t="shared" si="2"/>
        <v>#DIV/0!</v>
      </c>
      <c r="F13" s="25">
        <f>F22*N13</f>
        <v>1.5790513274336282</v>
      </c>
      <c r="G13" s="25">
        <f>G22*N13</f>
        <v>1.3109798230088494</v>
      </c>
      <c r="H13" s="26">
        <f t="shared" si="9"/>
        <v>2.0096609302325579</v>
      </c>
      <c r="I13" s="26" t="e">
        <f t="shared" si="10"/>
        <v>#DIV/0!</v>
      </c>
      <c r="J13" s="27"/>
      <c r="K13" s="20">
        <f t="shared" si="6"/>
        <v>0.93292682926829273</v>
      </c>
      <c r="L13" s="25">
        <f>L22*$N$12</f>
        <v>0.62427610619469021</v>
      </c>
      <c r="M13" s="31">
        <f>L13/D13</f>
        <v>0.44425087108013939</v>
      </c>
      <c r="N13" s="29">
        <f>P13/P6</f>
        <v>1.2240707964601769</v>
      </c>
      <c r="O13" s="9"/>
      <c r="P13" s="34">
        <v>2.4205999999999999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1.3618915297092287</v>
      </c>
      <c r="E14" s="20" t="e">
        <f t="shared" si="2"/>
        <v>#DIV/0!</v>
      </c>
      <c r="F14" s="25">
        <f>F23/N14</f>
        <v>1.4556130973451324</v>
      </c>
      <c r="G14" s="25">
        <f>G23/N14</f>
        <v>1.3296747408343867</v>
      </c>
      <c r="H14" s="26">
        <f t="shared" si="9"/>
        <v>2.0383192248062012</v>
      </c>
      <c r="I14" s="26" t="e">
        <f t="shared" si="10"/>
        <v>#DIV/0!</v>
      </c>
      <c r="J14" s="27"/>
      <c r="K14" s="20">
        <f t="shared" si="6"/>
        <v>0.97634408602150546</v>
      </c>
      <c r="L14" s="25">
        <f>L23/N14</f>
        <v>0.6267629835651074</v>
      </c>
      <c r="M14" s="35">
        <f>L14/D14</f>
        <v>0.46021505376344085</v>
      </c>
      <c r="N14" s="36">
        <f>P6/P14</f>
        <v>3.4143688381649606</v>
      </c>
      <c r="O14" s="9"/>
      <c r="P14" s="37">
        <f>5.7917/10</f>
        <v>0.57916999999999996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0.69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38.409999999999997</v>
      </c>
      <c r="C16" s="45"/>
      <c r="D16" s="45">
        <v>41.65</v>
      </c>
      <c r="E16" s="45"/>
      <c r="F16" s="45">
        <v>46.9</v>
      </c>
      <c r="G16" s="45">
        <v>39.770000000000003</v>
      </c>
      <c r="H16" s="46"/>
      <c r="I16" s="46"/>
      <c r="J16" s="46"/>
      <c r="K16" s="47">
        <f t="shared" si="6"/>
        <v>0.95486194477791131</v>
      </c>
      <c r="L16" s="48">
        <v>18.71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37.71</v>
      </c>
      <c r="C17" s="50"/>
      <c r="D17" s="45">
        <v>40.409999999999997</v>
      </c>
      <c r="E17" s="45"/>
      <c r="F17" s="51">
        <v>43.1</v>
      </c>
      <c r="G17" s="45">
        <v>39.409999999999997</v>
      </c>
      <c r="H17" s="50"/>
      <c r="I17" s="50"/>
      <c r="J17" s="50"/>
      <c r="K17" s="52">
        <f t="shared" si="6"/>
        <v>0.97525365008661224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37.700000000000003</v>
      </c>
      <c r="C18" s="50"/>
      <c r="D18" s="45">
        <v>40.39</v>
      </c>
      <c r="E18" s="56"/>
      <c r="F18" s="45">
        <v>44.3</v>
      </c>
      <c r="G18" s="56">
        <v>39.72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37.909999999999997</v>
      </c>
      <c r="C19" s="50"/>
      <c r="D19" s="56">
        <v>40.78</v>
      </c>
      <c r="E19" s="59"/>
      <c r="F19" s="56">
        <v>46.5</v>
      </c>
      <c r="G19" s="56">
        <v>40.81</v>
      </c>
      <c r="H19" s="50"/>
      <c r="I19" s="50"/>
      <c r="J19" s="50"/>
      <c r="K19" s="52"/>
      <c r="L19" s="60">
        <v>17.27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29.36</v>
      </c>
      <c r="C20" s="46"/>
      <c r="D20" s="45">
        <v>30.09</v>
      </c>
      <c r="E20" s="51"/>
      <c r="F20" s="45">
        <v>34.06</v>
      </c>
      <c r="G20" s="62">
        <v>27.74</v>
      </c>
      <c r="H20" s="50"/>
      <c r="I20" s="50"/>
      <c r="J20" s="50"/>
      <c r="K20" s="52">
        <f>G20/D20</f>
        <v>0.92190096377534059</v>
      </c>
      <c r="L20" s="63">
        <v>12.9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1.1950000000000001</v>
      </c>
      <c r="E21" s="67"/>
      <c r="F21" s="67">
        <v>1.24</v>
      </c>
      <c r="G21" s="67">
        <v>1.105</v>
      </c>
      <c r="H21" s="50"/>
      <c r="I21" s="50"/>
      <c r="J21" s="50"/>
      <c r="K21" s="52">
        <f>G21/D21</f>
        <v>0.92468619246861916</v>
      </c>
      <c r="L21" s="68">
        <v>0.55500000000000005</v>
      </c>
      <c r="M21" s="69"/>
      <c r="N21" s="70" t="s">
        <v>43</v>
      </c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1.1479999999999999</v>
      </c>
      <c r="E22" s="67"/>
      <c r="F22" s="67">
        <v>1.29</v>
      </c>
      <c r="G22" s="67">
        <v>1.071</v>
      </c>
      <c r="H22" s="50"/>
      <c r="I22" s="50"/>
      <c r="J22" s="50"/>
      <c r="K22" s="52">
        <f>G22/D22</f>
        <v>0.93292682926829273</v>
      </c>
      <c r="L22" s="68">
        <v>0.51</v>
      </c>
      <c r="M22" s="54"/>
      <c r="N22" s="23" t="s">
        <v>47</v>
      </c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4.6500000000000004</v>
      </c>
      <c r="E23" s="76">
        <f>ROUND((34.45+33.3)/2,2)</f>
        <v>33.880000000000003</v>
      </c>
      <c r="F23" s="76">
        <v>4.97</v>
      </c>
      <c r="G23" s="76">
        <v>4.54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2.14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N21" r:id="rId17"/>
    <hyperlink ref="N22" r:id="rId18"/>
    <hyperlink ref="A45" r:id="rId19" display="http://www.lukoil.lt/ru/avtozapravochnye_stancii_azs_/karta_azs?filterID=65"/>
    <hyperlink ref="A48" r:id="rId20" display="http://www.lukoil.lt/ru/avtozapravochnye_stancii_azs_/karta_azs?filterID=67"/>
    <hyperlink ref="A51" r:id="rId21" display="http://www.lukoil.lt/ru/avtozapravochnye_stancii_azs_/karta_azs?filterID=54"/>
    <hyperlink ref="A54" r:id="rId22" display="http://www.lukoil.lt/ru/avtozapravochnye_stancii_azs_/karta_azs?filterID=33"/>
    <hyperlink ref="A57" r:id="rId23" display="http://www.lukoil.lt/ru/avtozapravochnye_stancii_azs_/karta_azs?filterID=32,87"/>
    <hyperlink ref="A61" r:id="rId24" display="http://www.lukoil.lt/ru/avtozapravochnye_stancii_azs_/karta_azs?filterID=22,77,104,110,117,118,119"/>
    <hyperlink ref="A65" r:id="rId25" display="http://www.lukoil.lt/ru/avtozapravochnye_stancii_azs_/karta_azs?filterID=67"/>
    <hyperlink ref="A68" r:id="rId26" display="http://www.lukoil.lt/ru/avtozapravochnye_stancii_azs_/karta_azs?filterID=86,87,111"/>
    <hyperlink ref="A72" r:id="rId27" display="http://www.lukoil.lt/ru/avtozapravochnye_stancii_azs_/karta_azs?filterID=65"/>
    <hyperlink ref="N23" r:id="rId28"/>
    <hyperlink ref="P21" r:id="rId29"/>
    <hyperlink ref="R22" r:id="rId30" location=".Vs2LGH2LRkg"/>
    <hyperlink ref="Q16" r:id="rId31"/>
    <hyperlink ref="Q17" r:id="rId32"/>
    <hyperlink ref="O6" r:id="rId33"/>
    <hyperlink ref="N17" r:id="rId34"/>
    <hyperlink ref="Q18" r:id="rId35"/>
    <hyperlink ref="R21" r:id="rId36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7"/>
  <headerFooter alignWithMargins="0"/>
  <drawing r:id="rId38"/>
  <legacyDrawing r:id="rId39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72"/>
  <sheetViews>
    <sheetView view="pageBreakPreview" topLeftCell="C1" zoomScale="115" zoomScaleNormal="100" zoomScaleSheetLayoutView="115" workbookViewId="0">
      <selection activeCell="A29" sqref="A29:P29"/>
    </sheetView>
  </sheetViews>
  <sheetFormatPr defaultColWidth="9.140625" defaultRowHeight="12.75" x14ac:dyDescent="0.2"/>
  <cols>
    <col min="1" max="1" width="57" style="9" customWidth="1"/>
    <col min="2" max="2" width="15.5703125" style="9" customWidth="1"/>
    <col min="3" max="3" width="15" style="9" customWidth="1"/>
    <col min="4" max="4" width="13.85546875" style="9" customWidth="1"/>
    <col min="5" max="5" width="11.28515625" style="9" hidden="1" customWidth="1"/>
    <col min="6" max="6" width="11" style="9" customWidth="1"/>
    <col min="7" max="7" width="23.85546875" style="9" customWidth="1"/>
    <col min="8" max="8" width="15.28515625" style="9" customWidth="1"/>
    <col min="9" max="9" width="14.42578125" style="9" hidden="1" customWidth="1"/>
    <col min="10" max="11" width="11.85546875" style="9" hidden="1" customWidth="1"/>
    <col min="12" max="12" width="9.7109375" style="9" customWidth="1"/>
    <col min="13" max="13" width="11.85546875" style="9" hidden="1" customWidth="1"/>
    <col min="14" max="14" width="16.85546875" style="9" customWidth="1"/>
    <col min="15" max="15" width="19.85546875" style="9" customWidth="1"/>
    <col min="16" max="16" width="12" style="9" customWidth="1"/>
    <col min="17" max="17" width="17.85546875" style="9" customWidth="1"/>
    <col min="18" max="18" width="15.28515625" style="9" customWidth="1"/>
    <col min="19" max="16384" width="9.140625" style="9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159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0.60338708041780753</v>
      </c>
      <c r="C6" s="20"/>
      <c r="D6" s="19">
        <f t="shared" ref="D6:D11" si="1">D15/N6</f>
        <v>0.64395091775681979</v>
      </c>
      <c r="E6" s="20">
        <f t="shared" ref="E6:E14" si="2">D6/B6</f>
        <v>1.0672268907563025</v>
      </c>
      <c r="F6" s="19">
        <f t="shared" ref="F6:F11" si="3">F15/N6</f>
        <v>0.69972619409796166</v>
      </c>
      <c r="G6" s="19">
        <f t="shared" ref="G6:G11" si="4">G15/N6</f>
        <v>0.6540918770915729</v>
      </c>
      <c r="H6" s="19"/>
      <c r="I6" s="19"/>
      <c r="J6" s="20">
        <f t="shared" ref="J6:J11" si="5">G6/B6</f>
        <v>1.0840336134453783</v>
      </c>
      <c r="K6" s="20">
        <f t="shared" ref="K6:K17" si="6">G6/D6</f>
        <v>1.015748031496063</v>
      </c>
      <c r="L6" s="19">
        <f t="shared" ref="L6:L11" si="7">L15/N6</f>
        <v>0.34986309704898083</v>
      </c>
      <c r="M6" s="21">
        <f t="shared" ref="M6:M11" si="8">L6/B6</f>
        <v>0.57983193277310918</v>
      </c>
      <c r="N6" s="22">
        <f>P6</f>
        <v>1.9722</v>
      </c>
      <c r="O6" s="23" t="s">
        <v>17</v>
      </c>
      <c r="P6" s="9">
        <v>1.9722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0.67593062366899914</v>
      </c>
      <c r="C7" s="20">
        <f>B7/$B$6</f>
        <v>1.1202272067226891</v>
      </c>
      <c r="D7" s="25">
        <f t="shared" si="1"/>
        <v>0.73314105263157903</v>
      </c>
      <c r="E7" s="20">
        <f t="shared" si="2"/>
        <v>1.084639498432602</v>
      </c>
      <c r="F7" s="25">
        <f t="shared" si="3"/>
        <v>0.83149354933576725</v>
      </c>
      <c r="G7" s="25">
        <f t="shared" si="4"/>
        <v>0.70241693337389721</v>
      </c>
      <c r="H7" s="26">
        <f t="shared" ref="H7:H14" si="9">G7/$G$6</f>
        <v>1.0738811441860465</v>
      </c>
      <c r="I7" s="26" t="e">
        <f t="shared" ref="I7:I14" si="10">G7/$G$5</f>
        <v>#DIV/0!</v>
      </c>
      <c r="J7" s="27">
        <f t="shared" si="5"/>
        <v>1.0391849529780564</v>
      </c>
      <c r="K7" s="20">
        <f t="shared" si="6"/>
        <v>0.95809248554913296</v>
      </c>
      <c r="L7" s="25">
        <f t="shared" si="7"/>
        <v>0.32101407362336476</v>
      </c>
      <c r="M7" s="28">
        <f t="shared" si="8"/>
        <v>0.47492163009404381</v>
      </c>
      <c r="N7" s="29">
        <f>P6/P7</f>
        <v>56.633031053118231</v>
      </c>
      <c r="O7" s="9"/>
      <c r="P7" s="9">
        <f>3.48242/100</f>
        <v>3.48242E-2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0.66109829023425615</v>
      </c>
      <c r="C8" s="20">
        <f>B8/$B$6</f>
        <v>1.0956454184873949</v>
      </c>
      <c r="D8" s="25">
        <f t="shared" si="1"/>
        <v>0.71318803265388908</v>
      </c>
      <c r="E8" s="20">
        <f t="shared" si="2"/>
        <v>1.0787927350427351</v>
      </c>
      <c r="F8" s="25">
        <f t="shared" si="3"/>
        <v>0.76103996552073838</v>
      </c>
      <c r="G8" s="25">
        <f t="shared" si="4"/>
        <v>0.70047460399553807</v>
      </c>
      <c r="H8" s="26">
        <f t="shared" si="9"/>
        <v>1.07091163875969</v>
      </c>
      <c r="I8" s="26" t="e">
        <f t="shared" si="10"/>
        <v>#DIV/0!</v>
      </c>
      <c r="J8" s="27">
        <f t="shared" si="5"/>
        <v>1.0595619658119659</v>
      </c>
      <c r="K8" s="20">
        <f t="shared" si="6"/>
        <v>0.98217380539737564</v>
      </c>
      <c r="L8" s="25">
        <f t="shared" si="7"/>
        <v>0.34361572457154449</v>
      </c>
      <c r="M8" s="28">
        <f t="shared" si="8"/>
        <v>0.51976495726495731</v>
      </c>
      <c r="N8" s="29">
        <f>N7</f>
        <v>56.633031053118231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0.66568925058310524</v>
      </c>
      <c r="C9" s="20">
        <f>B9/$B$6</f>
        <v>1.1032540672268909</v>
      </c>
      <c r="D9" s="25">
        <f t="shared" si="1"/>
        <v>0.71318803265388908</v>
      </c>
      <c r="E9" s="20">
        <f t="shared" si="2"/>
        <v>1.0713527851458886</v>
      </c>
      <c r="F9" s="25">
        <f t="shared" si="3"/>
        <v>0.78222901328465677</v>
      </c>
      <c r="G9" s="25">
        <f t="shared" si="4"/>
        <v>0.70135748098570128</v>
      </c>
      <c r="H9" s="26">
        <f t="shared" si="9"/>
        <v>1.0722614139534883</v>
      </c>
      <c r="I9" s="26" t="e">
        <f t="shared" si="10"/>
        <v>#DIV/0!</v>
      </c>
      <c r="J9" s="27">
        <f t="shared" si="5"/>
        <v>1.0535809018567639</v>
      </c>
      <c r="K9" s="20">
        <f t="shared" si="6"/>
        <v>0.98341173557811346</v>
      </c>
      <c r="L9" s="25">
        <f t="shared" si="7"/>
        <v>0.34255627218334855</v>
      </c>
      <c r="M9" s="28">
        <f t="shared" si="8"/>
        <v>0.51458885941644561</v>
      </c>
      <c r="N9" s="29">
        <f>N7</f>
        <v>56.633031053118231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0.66727842916539903</v>
      </c>
      <c r="C10" s="20">
        <f>B10/$B$6</f>
        <v>1.1058878302521009</v>
      </c>
      <c r="D10" s="25">
        <f t="shared" si="1"/>
        <v>0.7172492668086401</v>
      </c>
      <c r="E10" s="20">
        <f t="shared" si="2"/>
        <v>1.0748875363852872</v>
      </c>
      <c r="F10" s="25">
        <f t="shared" si="3"/>
        <v>0.78222901328465677</v>
      </c>
      <c r="G10" s="25">
        <f t="shared" si="4"/>
        <v>0.71760241760470544</v>
      </c>
      <c r="H10" s="26">
        <f t="shared" si="9"/>
        <v>1.0970972775193799</v>
      </c>
      <c r="I10" s="26" t="e">
        <f t="shared" si="10"/>
        <v>#DIV/0!</v>
      </c>
      <c r="J10" s="27">
        <f t="shared" si="5"/>
        <v>1.0754167769251126</v>
      </c>
      <c r="K10" s="20">
        <f t="shared" si="6"/>
        <v>1.0004923682914821</v>
      </c>
      <c r="L10" s="25">
        <f t="shared" si="7"/>
        <v>0.30494571240239327</v>
      </c>
      <c r="M10" s="28">
        <f t="shared" si="8"/>
        <v>0.45699920613919026</v>
      </c>
      <c r="N10" s="29">
        <f>N7</f>
        <v>56.633031053118231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1.0429659060947165</v>
      </c>
      <c r="C11" s="20">
        <f>B11/$B$6</f>
        <v>1.7285187899159662</v>
      </c>
      <c r="D11" s="25">
        <f t="shared" si="1"/>
        <v>1.0675145319947268</v>
      </c>
      <c r="E11" s="20">
        <f t="shared" si="2"/>
        <v>1.0235373234700742</v>
      </c>
      <c r="F11" s="25">
        <f t="shared" si="3"/>
        <v>1.1976222492647806</v>
      </c>
      <c r="G11" s="25">
        <f t="shared" si="4"/>
        <v>0.99281657032755299</v>
      </c>
      <c r="H11" s="26">
        <f t="shared" si="9"/>
        <v>1.5178549147286822</v>
      </c>
      <c r="I11" s="26" t="e">
        <f t="shared" si="10"/>
        <v>#DIV/0!</v>
      </c>
      <c r="J11" s="27">
        <f t="shared" si="5"/>
        <v>0.95191661062542032</v>
      </c>
      <c r="K11" s="20">
        <f t="shared" si="6"/>
        <v>0.93002628120893549</v>
      </c>
      <c r="L11" s="25">
        <f t="shared" si="7"/>
        <v>0.45485096846161649</v>
      </c>
      <c r="M11" s="28">
        <f t="shared" si="8"/>
        <v>0.4361129791526564</v>
      </c>
      <c r="N11" s="29">
        <f>P6/P11</f>
        <v>28.514834306864842</v>
      </c>
      <c r="O11" s="9"/>
      <c r="P11" s="9">
        <f>6.9164 /100</f>
        <v>6.9164000000000003E-2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1.5063764831153028</v>
      </c>
      <c r="E12" s="20" t="e">
        <f t="shared" si="2"/>
        <v>#DIV/0!</v>
      </c>
      <c r="F12" s="25">
        <f>F21*N12</f>
        <v>1.569920900517189</v>
      </c>
      <c r="G12" s="25">
        <f>G21*N12</f>
        <v>1.3942392759355036</v>
      </c>
      <c r="H12" s="26">
        <f t="shared" si="9"/>
        <v>2.1315648837209302</v>
      </c>
      <c r="I12" s="26" t="e">
        <f t="shared" si="10"/>
        <v>#DIV/0!</v>
      </c>
      <c r="J12" s="27"/>
      <c r="K12" s="20">
        <f t="shared" si="6"/>
        <v>0.92555831265508681</v>
      </c>
      <c r="L12" s="25">
        <f>L21*$N$12</f>
        <v>0.69151277760876184</v>
      </c>
      <c r="M12" s="31">
        <f>L12/D12</f>
        <v>0.45905707196029777</v>
      </c>
      <c r="N12" s="29">
        <f>P13/P6</f>
        <v>1.2459689686644357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1.4241425311834501</v>
      </c>
      <c r="E13" s="20" t="e">
        <f t="shared" si="2"/>
        <v>#DIV/0!</v>
      </c>
      <c r="F13" s="25">
        <f>F22*N13</f>
        <v>1.5948402798904777</v>
      </c>
      <c r="G13" s="25">
        <f>G22*N13</f>
        <v>1.3282029205962886</v>
      </c>
      <c r="H13" s="26">
        <f t="shared" si="9"/>
        <v>2.030606046511628</v>
      </c>
      <c r="I13" s="26" t="e">
        <f t="shared" si="10"/>
        <v>#DIV/0!</v>
      </c>
      <c r="J13" s="27"/>
      <c r="K13" s="20">
        <f t="shared" si="6"/>
        <v>0.9326334208223972</v>
      </c>
      <c r="L13" s="25">
        <f>L22*$N$12</f>
        <v>0.63419820505019775</v>
      </c>
      <c r="M13" s="31">
        <f>L13/D13</f>
        <v>0.44531933508311455</v>
      </c>
      <c r="N13" s="29">
        <f>P13/P6</f>
        <v>1.2459689686644357</v>
      </c>
      <c r="O13" s="9"/>
      <c r="P13" s="34">
        <v>2.4573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1.4075945137410002</v>
      </c>
      <c r="E14" s="20" t="e">
        <f t="shared" si="2"/>
        <v>#DIV/0!</v>
      </c>
      <c r="F14" s="25">
        <f>F23/N14</f>
        <v>1.4976325423385055</v>
      </c>
      <c r="G14" s="25">
        <f>G23/N14</f>
        <v>1.371579302301998</v>
      </c>
      <c r="H14" s="26">
        <f t="shared" si="9"/>
        <v>2.0969214728682171</v>
      </c>
      <c r="I14" s="26" t="e">
        <f t="shared" si="10"/>
        <v>#DIV/0!</v>
      </c>
      <c r="J14" s="27"/>
      <c r="K14" s="20">
        <f t="shared" si="6"/>
        <v>0.97441364605543701</v>
      </c>
      <c r="L14" s="25">
        <f>L23/N14</f>
        <v>0.6452725382821215</v>
      </c>
      <c r="M14" s="35">
        <f>L14/D14</f>
        <v>0.45842217484008518</v>
      </c>
      <c r="N14" s="36">
        <f>P6/P14</f>
        <v>3.3319254616411276</v>
      </c>
      <c r="O14" s="9"/>
      <c r="P14" s="37">
        <f>5.9191/10</f>
        <v>0.59191000000000005</v>
      </c>
      <c r="Q14" s="9" t="s">
        <v>30</v>
      </c>
    </row>
    <row r="15" spans="1:17" ht="15.75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0.69</v>
      </c>
      <c r="M15" s="38"/>
      <c r="N15" s="23" t="s">
        <v>32</v>
      </c>
      <c r="P15" s="42"/>
      <c r="Q15" s="43"/>
    </row>
    <row r="16" spans="1:17" ht="15.75" x14ac:dyDescent="0.25">
      <c r="A16" s="44" t="s">
        <v>19</v>
      </c>
      <c r="B16" s="45">
        <v>38.28</v>
      </c>
      <c r="C16" s="45"/>
      <c r="D16" s="45">
        <v>41.52</v>
      </c>
      <c r="E16" s="45"/>
      <c r="F16" s="45">
        <v>47.09</v>
      </c>
      <c r="G16" s="45">
        <v>39.78</v>
      </c>
      <c r="H16" s="46"/>
      <c r="I16" s="46"/>
      <c r="J16" s="46"/>
      <c r="K16" s="47">
        <f t="shared" si="6"/>
        <v>0.95809248554913296</v>
      </c>
      <c r="L16" s="48">
        <v>18.18</v>
      </c>
      <c r="M16" s="38"/>
      <c r="N16" s="23" t="s">
        <v>33</v>
      </c>
      <c r="Q16" s="49" t="s">
        <v>34</v>
      </c>
    </row>
    <row r="17" spans="1:18" ht="15.75" x14ac:dyDescent="0.25">
      <c r="A17" s="44" t="s">
        <v>35</v>
      </c>
      <c r="B17" s="45">
        <v>37.44</v>
      </c>
      <c r="C17" s="50"/>
      <c r="D17" s="45">
        <v>40.39</v>
      </c>
      <c r="E17" s="45"/>
      <c r="F17" s="51">
        <v>43.1</v>
      </c>
      <c r="G17" s="45">
        <v>39.67</v>
      </c>
      <c r="H17" s="50"/>
      <c r="I17" s="50"/>
      <c r="J17" s="50"/>
      <c r="K17" s="52">
        <f t="shared" si="6"/>
        <v>0.98217380539737564</v>
      </c>
      <c r="L17" s="53">
        <v>19.46</v>
      </c>
      <c r="M17" s="54"/>
      <c r="N17" s="23" t="s">
        <v>36</v>
      </c>
      <c r="P17" s="11"/>
      <c r="Q17" s="55" t="s">
        <v>37</v>
      </c>
    </row>
    <row r="18" spans="1:18" ht="15.75" x14ac:dyDescent="0.25">
      <c r="A18" s="44" t="s">
        <v>22</v>
      </c>
      <c r="B18" s="45">
        <v>37.700000000000003</v>
      </c>
      <c r="C18" s="50"/>
      <c r="D18" s="45">
        <v>40.39</v>
      </c>
      <c r="E18" s="56"/>
      <c r="F18" s="45">
        <v>44.3</v>
      </c>
      <c r="G18" s="56">
        <v>39.72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P18" s="11"/>
      <c r="Q18" s="55" t="s">
        <v>39</v>
      </c>
    </row>
    <row r="19" spans="1:18" ht="15.75" x14ac:dyDescent="0.25">
      <c r="A19" s="44" t="s">
        <v>23</v>
      </c>
      <c r="B19" s="58">
        <v>37.79</v>
      </c>
      <c r="C19" s="50"/>
      <c r="D19" s="56">
        <v>40.619999999999997</v>
      </c>
      <c r="E19" s="59"/>
      <c r="F19" s="56">
        <v>44.3</v>
      </c>
      <c r="G19" s="56">
        <v>40.64</v>
      </c>
      <c r="H19" s="50"/>
      <c r="I19" s="50"/>
      <c r="J19" s="50"/>
      <c r="K19" s="52"/>
      <c r="L19" s="60">
        <v>17.27</v>
      </c>
      <c r="M19" s="54"/>
      <c r="N19" s="23" t="s">
        <v>40</v>
      </c>
      <c r="P19" s="11"/>
      <c r="Q19" s="43"/>
    </row>
    <row r="20" spans="1:18" ht="16.5" customHeight="1" x14ac:dyDescent="0.25">
      <c r="A20" s="61" t="s">
        <v>24</v>
      </c>
      <c r="B20" s="45">
        <v>29.74</v>
      </c>
      <c r="C20" s="46"/>
      <c r="D20" s="45">
        <v>30.44</v>
      </c>
      <c r="E20" s="51"/>
      <c r="F20" s="45">
        <v>34.15</v>
      </c>
      <c r="G20" s="62">
        <v>28.31</v>
      </c>
      <c r="H20" s="50"/>
      <c r="I20" s="50"/>
      <c r="J20" s="50"/>
      <c r="K20" s="52">
        <f>G20/D20</f>
        <v>0.93002628120893549</v>
      </c>
      <c r="L20" s="63">
        <v>12.97</v>
      </c>
      <c r="M20" s="64"/>
      <c r="N20" s="23" t="s">
        <v>41</v>
      </c>
      <c r="P20" s="65"/>
      <c r="Q20" s="43"/>
    </row>
    <row r="21" spans="1:18" ht="15.75" x14ac:dyDescent="0.25">
      <c r="A21" s="44" t="s">
        <v>42</v>
      </c>
      <c r="B21" s="66"/>
      <c r="C21" s="50"/>
      <c r="D21" s="67">
        <v>1.2090000000000001</v>
      </c>
      <c r="E21" s="67"/>
      <c r="F21" s="67">
        <v>1.26</v>
      </c>
      <c r="G21" s="67">
        <v>1.119</v>
      </c>
      <c r="H21" s="50"/>
      <c r="I21" s="50"/>
      <c r="J21" s="50"/>
      <c r="K21" s="52">
        <f>G21/D21</f>
        <v>0.92555831265508681</v>
      </c>
      <c r="L21" s="68">
        <v>0.55500000000000005</v>
      </c>
      <c r="M21" s="69"/>
      <c r="N21" s="70"/>
      <c r="P21" s="71" t="s">
        <v>44</v>
      </c>
      <c r="Q21" s="43"/>
      <c r="R21" s="23" t="s">
        <v>45</v>
      </c>
    </row>
    <row r="22" spans="1:18" ht="15.75" x14ac:dyDescent="0.25">
      <c r="A22" s="61" t="s">
        <v>46</v>
      </c>
      <c r="B22" s="66"/>
      <c r="C22" s="50"/>
      <c r="D22" s="67">
        <v>1.143</v>
      </c>
      <c r="E22" s="67"/>
      <c r="F22" s="67">
        <v>1.28</v>
      </c>
      <c r="G22" s="67">
        <v>1.0660000000000001</v>
      </c>
      <c r="H22" s="50"/>
      <c r="I22" s="50"/>
      <c r="J22" s="50"/>
      <c r="K22" s="52">
        <f>G22/D22</f>
        <v>0.9326334208223972</v>
      </c>
      <c r="L22" s="68">
        <v>0.50900000000000001</v>
      </c>
      <c r="M22" s="54"/>
      <c r="N22" s="23"/>
      <c r="P22" s="72" t="s">
        <v>44</v>
      </c>
      <c r="Q22" s="43"/>
      <c r="R22" s="23" t="s">
        <v>48</v>
      </c>
    </row>
    <row r="23" spans="1:18" s="5" customFormat="1" ht="15.75" x14ac:dyDescent="0.25">
      <c r="A23" s="73" t="s">
        <v>49</v>
      </c>
      <c r="B23" s="74"/>
      <c r="C23" s="75"/>
      <c r="D23" s="76">
        <v>4.6900000000000004</v>
      </c>
      <c r="E23" s="76">
        <f>ROUND((34.45+33.3)/2,2)</f>
        <v>33.880000000000003</v>
      </c>
      <c r="F23" s="76">
        <v>4.99</v>
      </c>
      <c r="G23" s="76">
        <v>4.57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2.15</v>
      </c>
      <c r="M23" s="79"/>
      <c r="N23" s="23" t="s">
        <v>50</v>
      </c>
      <c r="P23" s="80" t="s">
        <v>51</v>
      </c>
      <c r="Q23" s="81"/>
    </row>
    <row r="25" spans="1:18" ht="14.25" x14ac:dyDescent="0.2">
      <c r="A25" s="82" t="s">
        <v>52</v>
      </c>
      <c r="B25" s="82">
        <v>80</v>
      </c>
      <c r="C25" s="82">
        <v>92</v>
      </c>
      <c r="D25" s="82">
        <v>95</v>
      </c>
      <c r="E25" s="82" t="s">
        <v>53</v>
      </c>
      <c r="F25" s="82">
        <v>98</v>
      </c>
      <c r="G25" s="82" t="s">
        <v>54</v>
      </c>
      <c r="H25" s="82" t="s">
        <v>11</v>
      </c>
      <c r="I25" s="82" t="s">
        <v>55</v>
      </c>
      <c r="J25" s="82" t="s">
        <v>56</v>
      </c>
    </row>
    <row r="26" spans="1:18" ht="15" x14ac:dyDescent="0.2">
      <c r="A26" s="83" t="s">
        <v>57</v>
      </c>
      <c r="B26" s="84"/>
      <c r="C26" s="84" t="s">
        <v>58</v>
      </c>
      <c r="D26" s="84" t="s">
        <v>59</v>
      </c>
      <c r="E26" s="84" t="s">
        <v>60</v>
      </c>
      <c r="F26" s="84"/>
      <c r="G26" s="84" t="s">
        <v>61</v>
      </c>
      <c r="H26" s="84" t="s">
        <v>62</v>
      </c>
      <c r="I26" s="84" t="s">
        <v>63</v>
      </c>
      <c r="J26" s="84"/>
    </row>
    <row r="27" spans="1:18" ht="15" x14ac:dyDescent="0.2">
      <c r="A27" s="83" t="s">
        <v>64</v>
      </c>
      <c r="B27" s="84"/>
      <c r="C27" s="84" t="s">
        <v>65</v>
      </c>
      <c r="D27" s="84" t="s">
        <v>66</v>
      </c>
      <c r="E27" s="84" t="s">
        <v>67</v>
      </c>
      <c r="F27" s="84"/>
      <c r="G27" s="84" t="s">
        <v>68</v>
      </c>
      <c r="H27" s="84" t="s">
        <v>69</v>
      </c>
      <c r="I27" s="84" t="s">
        <v>70</v>
      </c>
      <c r="J27" s="84"/>
    </row>
    <row r="28" spans="1:18" ht="15" x14ac:dyDescent="0.2">
      <c r="A28" s="83" t="s">
        <v>71</v>
      </c>
      <c r="B28" s="84"/>
      <c r="C28" s="84" t="s">
        <v>72</v>
      </c>
      <c r="D28" s="84" t="s">
        <v>73</v>
      </c>
      <c r="E28" s="84" t="s">
        <v>74</v>
      </c>
      <c r="F28" s="84" t="s">
        <v>75</v>
      </c>
      <c r="G28" s="84" t="s">
        <v>76</v>
      </c>
      <c r="H28" s="84" t="s">
        <v>77</v>
      </c>
      <c r="I28" s="84" t="s">
        <v>78</v>
      </c>
      <c r="J28" s="84"/>
    </row>
    <row r="29" spans="1:18" ht="15" x14ac:dyDescent="0.2">
      <c r="A29" s="83" t="s">
        <v>79</v>
      </c>
      <c r="B29" s="84"/>
      <c r="C29" s="84" t="s">
        <v>80</v>
      </c>
      <c r="D29" s="84" t="s">
        <v>81</v>
      </c>
      <c r="E29" s="84" t="s">
        <v>82</v>
      </c>
      <c r="F29" s="84"/>
      <c r="G29" s="84" t="s">
        <v>83</v>
      </c>
      <c r="H29" s="84" t="s">
        <v>84</v>
      </c>
      <c r="I29" s="84" t="s">
        <v>85</v>
      </c>
      <c r="J29" s="84"/>
    </row>
    <row r="30" spans="1:18" ht="15" x14ac:dyDescent="0.2">
      <c r="A30" s="83" t="s">
        <v>86</v>
      </c>
      <c r="B30" s="84"/>
      <c r="C30" s="84" t="s">
        <v>87</v>
      </c>
      <c r="D30" s="84" t="s">
        <v>88</v>
      </c>
      <c r="E30" s="84" t="s">
        <v>89</v>
      </c>
      <c r="F30" s="84"/>
      <c r="G30" s="84"/>
      <c r="H30" s="84" t="s">
        <v>90</v>
      </c>
      <c r="I30" s="84" t="s">
        <v>91</v>
      </c>
      <c r="J30" s="84"/>
    </row>
    <row r="31" spans="1:18" ht="15" x14ac:dyDescent="0.2">
      <c r="A31" s="83" t="s">
        <v>92</v>
      </c>
      <c r="B31" s="84"/>
      <c r="C31" s="84" t="s">
        <v>93</v>
      </c>
      <c r="D31" s="84" t="s">
        <v>94</v>
      </c>
      <c r="E31" s="84" t="s">
        <v>60</v>
      </c>
      <c r="F31" s="84" t="s">
        <v>95</v>
      </c>
      <c r="G31" s="84" t="s">
        <v>96</v>
      </c>
      <c r="H31" s="84" t="s">
        <v>97</v>
      </c>
      <c r="I31" s="84" t="s">
        <v>98</v>
      </c>
      <c r="J31" s="84"/>
    </row>
    <row r="32" spans="1:18" ht="15" x14ac:dyDescent="0.2">
      <c r="A32" s="83" t="s">
        <v>99</v>
      </c>
      <c r="B32" s="84"/>
      <c r="C32" s="84" t="s">
        <v>93</v>
      </c>
      <c r="D32" s="84" t="s">
        <v>100</v>
      </c>
      <c r="E32" s="84" t="s">
        <v>67</v>
      </c>
      <c r="F32" s="84" t="s">
        <v>101</v>
      </c>
      <c r="G32" s="84" t="s">
        <v>102</v>
      </c>
      <c r="H32" s="84" t="s">
        <v>103</v>
      </c>
      <c r="I32" s="84" t="s">
        <v>98</v>
      </c>
      <c r="J32" s="84"/>
    </row>
    <row r="33" spans="1:14" ht="15" x14ac:dyDescent="0.2">
      <c r="A33" s="83" t="s">
        <v>104</v>
      </c>
      <c r="B33" s="84"/>
      <c r="C33" s="84" t="s">
        <v>105</v>
      </c>
      <c r="D33" s="84" t="s">
        <v>106</v>
      </c>
      <c r="E33" s="84" t="s">
        <v>107</v>
      </c>
      <c r="F33" s="84" t="s">
        <v>108</v>
      </c>
      <c r="G33" s="84" t="s">
        <v>109</v>
      </c>
      <c r="H33" s="84" t="s">
        <v>110</v>
      </c>
      <c r="I33" s="84" t="s">
        <v>111</v>
      </c>
      <c r="J33" s="84"/>
    </row>
    <row r="35" spans="1:14" ht="15" x14ac:dyDescent="0.2">
      <c r="A35" s="83" t="s">
        <v>99</v>
      </c>
      <c r="B35" s="84"/>
      <c r="C35" s="84" t="s">
        <v>112</v>
      </c>
      <c r="D35" s="84" t="s">
        <v>113</v>
      </c>
      <c r="E35" s="84"/>
      <c r="F35" s="84"/>
      <c r="G35" s="84"/>
      <c r="H35" s="84" t="s">
        <v>114</v>
      </c>
      <c r="I35" s="84"/>
      <c r="J35" s="84"/>
    </row>
    <row r="37" spans="1:14" ht="14.25" x14ac:dyDescent="0.2">
      <c r="A37" s="85"/>
      <c r="B37" s="86" t="s">
        <v>115</v>
      </c>
      <c r="C37" s="86" t="s">
        <v>116</v>
      </c>
      <c r="D37" s="86" t="s">
        <v>117</v>
      </c>
      <c r="E37" s="85" t="s">
        <v>118</v>
      </c>
      <c r="F37" s="86" t="s">
        <v>119</v>
      </c>
      <c r="G37" s="86" t="s">
        <v>120</v>
      </c>
      <c r="H37" s="86" t="s">
        <v>121</v>
      </c>
      <c r="I37" s="86" t="s">
        <v>122</v>
      </c>
      <c r="J37" s="86" t="s">
        <v>123</v>
      </c>
      <c r="K37" s="86" t="s">
        <v>124</v>
      </c>
      <c r="L37" s="86" t="s">
        <v>125</v>
      </c>
      <c r="M37" s="85" t="s">
        <v>126</v>
      </c>
      <c r="N37" s="85" t="s">
        <v>127</v>
      </c>
    </row>
    <row r="38" spans="1:14" ht="15" x14ac:dyDescent="0.25">
      <c r="A38" s="87">
        <v>1</v>
      </c>
      <c r="B38" s="87" t="s">
        <v>128</v>
      </c>
      <c r="C38" s="87" t="s">
        <v>129</v>
      </c>
      <c r="D38" s="87" t="s">
        <v>128</v>
      </c>
      <c r="E38" s="87" t="s">
        <v>130</v>
      </c>
      <c r="F38" s="87" t="s">
        <v>131</v>
      </c>
      <c r="G38" s="87" t="s">
        <v>128</v>
      </c>
      <c r="H38" s="87" t="s">
        <v>128</v>
      </c>
      <c r="I38" s="87" t="s">
        <v>128</v>
      </c>
      <c r="J38" s="87" t="s">
        <v>132</v>
      </c>
      <c r="K38" s="87" t="s">
        <v>128</v>
      </c>
      <c r="L38" s="87" t="s">
        <v>133</v>
      </c>
      <c r="M38"/>
      <c r="N38"/>
    </row>
    <row r="42" spans="1:14" ht="18.75" x14ac:dyDescent="0.2">
      <c r="A42" s="88" t="s">
        <v>134</v>
      </c>
    </row>
    <row r="43" spans="1:14" ht="15" x14ac:dyDescent="0.25">
      <c r="A43" t="s">
        <v>135</v>
      </c>
    </row>
    <row r="44" spans="1:14" ht="15" x14ac:dyDescent="0.2">
      <c r="A44" s="89" t="s">
        <v>136</v>
      </c>
    </row>
    <row r="45" spans="1:14" x14ac:dyDescent="0.2">
      <c r="A45" s="23" t="s">
        <v>137</v>
      </c>
    </row>
    <row r="46" spans="1:14" ht="15" x14ac:dyDescent="0.25">
      <c r="A46" t="s">
        <v>138</v>
      </c>
    </row>
    <row r="47" spans="1:14" ht="15" x14ac:dyDescent="0.2">
      <c r="A47" s="89" t="s">
        <v>139</v>
      </c>
    </row>
    <row r="48" spans="1:14" x14ac:dyDescent="0.2">
      <c r="A48" s="23" t="s">
        <v>140</v>
      </c>
    </row>
    <row r="49" spans="1:1" ht="15" x14ac:dyDescent="0.25">
      <c r="A49" t="s">
        <v>11</v>
      </c>
    </row>
    <row r="50" spans="1:1" ht="15" x14ac:dyDescent="0.2">
      <c r="A50" s="89" t="s">
        <v>141</v>
      </c>
    </row>
    <row r="51" spans="1:1" x14ac:dyDescent="0.2">
      <c r="A51" s="23" t="s">
        <v>142</v>
      </c>
    </row>
    <row r="52" spans="1:1" ht="15" x14ac:dyDescent="0.25">
      <c r="A52" t="s">
        <v>143</v>
      </c>
    </row>
    <row r="53" spans="1:1" ht="15" x14ac:dyDescent="0.2">
      <c r="A53" s="89" t="s">
        <v>144</v>
      </c>
    </row>
    <row r="54" spans="1:1" x14ac:dyDescent="0.2">
      <c r="A54" s="23" t="s">
        <v>145</v>
      </c>
    </row>
    <row r="55" spans="1:1" ht="15" x14ac:dyDescent="0.25">
      <c r="A55" t="s">
        <v>56</v>
      </c>
    </row>
    <row r="56" spans="1:1" ht="15" x14ac:dyDescent="0.2">
      <c r="A56" s="89" t="s">
        <v>146</v>
      </c>
    </row>
    <row r="57" spans="1:1" x14ac:dyDescent="0.2">
      <c r="A57" s="23" t="s">
        <v>147</v>
      </c>
    </row>
    <row r="58" spans="1:1" ht="15" x14ac:dyDescent="0.2">
      <c r="A58" s="90"/>
    </row>
    <row r="59" spans="1:1" ht="15" x14ac:dyDescent="0.25">
      <c r="A59" t="s">
        <v>148</v>
      </c>
    </row>
    <row r="60" spans="1:1" ht="15" x14ac:dyDescent="0.2">
      <c r="A60" s="89" t="s">
        <v>149</v>
      </c>
    </row>
    <row r="61" spans="1:1" x14ac:dyDescent="0.2">
      <c r="A61" s="23" t="s">
        <v>150</v>
      </c>
    </row>
    <row r="62" spans="1:1" ht="15" x14ac:dyDescent="0.2">
      <c r="A62" s="90"/>
    </row>
    <row r="63" spans="1:1" ht="15" x14ac:dyDescent="0.25">
      <c r="A63">
        <v>98</v>
      </c>
    </row>
    <row r="64" spans="1:1" ht="15" x14ac:dyDescent="0.2">
      <c r="A64" s="89" t="s">
        <v>151</v>
      </c>
    </row>
    <row r="65" spans="1:1" x14ac:dyDescent="0.2">
      <c r="A65" s="23" t="s">
        <v>140</v>
      </c>
    </row>
    <row r="66" spans="1:1" ht="15" x14ac:dyDescent="0.25">
      <c r="A66" s="91">
        <v>9.8000000000000005E+34</v>
      </c>
    </row>
    <row r="67" spans="1:1" ht="15" x14ac:dyDescent="0.2">
      <c r="A67" s="89" t="s">
        <v>152</v>
      </c>
    </row>
    <row r="68" spans="1:1" x14ac:dyDescent="0.2">
      <c r="A68" s="23" t="s">
        <v>153</v>
      </c>
    </row>
    <row r="69" spans="1:1" ht="15" x14ac:dyDescent="0.2">
      <c r="A69" s="90"/>
    </row>
    <row r="70" spans="1:1" ht="15" x14ac:dyDescent="0.25">
      <c r="A70" t="s">
        <v>154</v>
      </c>
    </row>
    <row r="71" spans="1:1" ht="15" x14ac:dyDescent="0.2">
      <c r="A71" s="89" t="s">
        <v>155</v>
      </c>
    </row>
    <row r="72" spans="1:1" x14ac:dyDescent="0.2">
      <c r="A72" s="23" t="s">
        <v>137</v>
      </c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B37" r:id="rId6" display="http://www.benzin-price.ru/price.php?region_id=60&amp;sort=1&amp;brand_id=0&amp;price_mode="/>
    <hyperlink ref="C37" r:id="rId7" display="http://www.benzin-price.ru/price.php?region_id=60&amp;sort=2&amp;brand_id=0&amp;price_mode="/>
    <hyperlink ref="D37" r:id="rId8" display="http://www.benzin-price.ru/price.php?region_id=60&amp;sort=3&amp;brand_id=0&amp;price_mode="/>
    <hyperlink ref="F37" r:id="rId9" display="http://www.benzin-price.ru/price.php?region_id=60&amp;sort=5&amp;brand_id=0&amp;price_mode="/>
    <hyperlink ref="G37" r:id="rId10" display="http://www.benzin-price.ru/price.php?region_id=60&amp;sort=6&amp;brand_id=0&amp;price_mode="/>
    <hyperlink ref="H37" r:id="rId11" display="http://www.benzin-price.ru/price.php?region_id=60&amp;sort=7&amp;brand_id=0&amp;price_mode="/>
    <hyperlink ref="I37" r:id="rId12" display="http://www.benzin-price.ru/price.php?region_id=60&amp;sort=8&amp;brand_id=0&amp;price_mode="/>
    <hyperlink ref="J37" r:id="rId13" display="http://www.benzin-price.ru/price.php?region_id=60&amp;sort=9&amp;brand_id=0&amp;price_mode="/>
    <hyperlink ref="K37" r:id="rId14" display="http://www.benzin-price.ru/price.php?region_id=60&amp;sort=10&amp;brand_id=0&amp;price_mode="/>
    <hyperlink ref="L37" r:id="rId15" display="http://www.benzin-price.ru/price.php?region_id=60&amp;sort=11&amp;brand_id=0&amp;price_mode="/>
    <hyperlink ref="N20" r:id="rId16"/>
    <hyperlink ref="A45" r:id="rId17" display="http://www.lukoil.lt/ru/avtozapravochnye_stancii_azs_/karta_azs?filterID=65"/>
    <hyperlink ref="A48" r:id="rId18" display="http://www.lukoil.lt/ru/avtozapravochnye_stancii_azs_/karta_azs?filterID=67"/>
    <hyperlink ref="A51" r:id="rId19" display="http://www.lukoil.lt/ru/avtozapravochnye_stancii_azs_/karta_azs?filterID=54"/>
    <hyperlink ref="A54" r:id="rId20" display="http://www.lukoil.lt/ru/avtozapravochnye_stancii_azs_/karta_azs?filterID=33"/>
    <hyperlink ref="A57" r:id="rId21" display="http://www.lukoil.lt/ru/avtozapravochnye_stancii_azs_/karta_azs?filterID=32,87"/>
    <hyperlink ref="A61" r:id="rId22" display="http://www.lukoil.lt/ru/avtozapravochnye_stancii_azs_/karta_azs?filterID=22,77,104,110,117,118,119"/>
    <hyperlink ref="A65" r:id="rId23" display="http://www.lukoil.lt/ru/avtozapravochnye_stancii_azs_/karta_azs?filterID=67"/>
    <hyperlink ref="A68" r:id="rId24" display="http://www.lukoil.lt/ru/avtozapravochnye_stancii_azs_/karta_azs?filterID=86,87,111"/>
    <hyperlink ref="A72" r:id="rId25" display="http://www.lukoil.lt/ru/avtozapravochnye_stancii_azs_/karta_azs?filterID=65"/>
    <hyperlink ref="N23" r:id="rId26"/>
    <hyperlink ref="P21" r:id="rId27"/>
    <hyperlink ref="R22" r:id="rId28" location=".Vs2LGH2LRkg"/>
    <hyperlink ref="Q16" r:id="rId29"/>
    <hyperlink ref="Q17" r:id="rId30"/>
    <hyperlink ref="O6" r:id="rId31"/>
    <hyperlink ref="N17" r:id="rId32"/>
    <hyperlink ref="Q18" r:id="rId33"/>
    <hyperlink ref="R21" r:id="rId34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35"/>
  <headerFooter alignWithMargins="0"/>
  <drawing r:id="rId36"/>
  <legacyDrawing r:id="rId37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26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5" x14ac:dyDescent="0.25"/>
  <cols>
    <col min="1" max="1" width="57" customWidth="1"/>
    <col min="2" max="2" width="15.5703125" customWidth="1"/>
    <col min="3" max="3" width="15" customWidth="1"/>
    <col min="4" max="4" width="13.85546875" customWidth="1"/>
    <col min="5" max="5" width="11.28515625" hidden="1" customWidth="1"/>
    <col min="6" max="6" width="11" customWidth="1"/>
    <col min="7" max="7" width="23.85546875" customWidth="1"/>
    <col min="8" max="8" width="15.28515625" customWidth="1"/>
    <col min="9" max="9" width="14.42578125" hidden="1" customWidth="1"/>
    <col min="10" max="11" width="11.85546875" hidden="1" customWidth="1"/>
    <col min="12" max="12" width="9.7109375" customWidth="1"/>
    <col min="13" max="13" width="11.85546875" hidden="1" customWidth="1"/>
    <col min="14" max="14" width="16.85546875" hidden="1" customWidth="1"/>
    <col min="15" max="15" width="19.85546875" hidden="1" customWidth="1"/>
    <col min="16" max="16" width="12" hidden="1" customWidth="1"/>
    <col min="17" max="17" width="17.85546875" hidden="1" customWidth="1"/>
    <col min="18" max="18" width="15.28515625" hidden="1" customWidth="1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160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0.60271474878444087</v>
      </c>
      <c r="C6" s="20"/>
      <c r="D6" s="19">
        <f t="shared" ref="D6:D11" si="1">D15/N6</f>
        <v>0.6432333873581848</v>
      </c>
      <c r="E6" s="20">
        <f t="shared" ref="E6:E14" si="2">D6/B6</f>
        <v>1.0672268907563025</v>
      </c>
      <c r="F6" s="19">
        <f t="shared" ref="F6:F11" si="3">F15/N6</f>
        <v>0.69894651539708263</v>
      </c>
      <c r="G6" s="19">
        <f t="shared" ref="G6:G11" si="4">G15/N6</f>
        <v>0.65336304700162073</v>
      </c>
      <c r="H6" s="19"/>
      <c r="I6" s="19"/>
      <c r="J6" s="20">
        <f t="shared" ref="J6:J11" si="5">G6/B6</f>
        <v>1.0840336134453781</v>
      </c>
      <c r="K6" s="20">
        <f t="shared" ref="K6:K17" si="6">G6/D6</f>
        <v>1.015748031496063</v>
      </c>
      <c r="L6" s="19">
        <f t="shared" ref="L6:L11" si="7">L15/N6</f>
        <v>0.34947325769854132</v>
      </c>
      <c r="M6" s="21">
        <f t="shared" ref="M6:M11" si="8">L6/B6</f>
        <v>0.57983193277310918</v>
      </c>
      <c r="N6" s="22">
        <f>P6</f>
        <v>1.9743999999999999</v>
      </c>
      <c r="O6" s="23" t="s">
        <v>17</v>
      </c>
      <c r="P6" s="9">
        <v>1.9743999999999999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0.68056468800648307</v>
      </c>
      <c r="C7" s="20">
        <f>B7/$B$6</f>
        <v>1.1291654789915968</v>
      </c>
      <c r="D7" s="25">
        <f t="shared" si="1"/>
        <v>0.73813996150729344</v>
      </c>
      <c r="E7" s="20">
        <f t="shared" si="2"/>
        <v>1.0845992666317443</v>
      </c>
      <c r="F7" s="25">
        <f t="shared" si="3"/>
        <v>0.84883421799027559</v>
      </c>
      <c r="G7" s="25">
        <f t="shared" si="4"/>
        <v>0.70908494732576999</v>
      </c>
      <c r="H7" s="26">
        <f t="shared" ref="H7:H14" si="9">G7/$G$6</f>
        <v>1.0852847441860467</v>
      </c>
      <c r="I7" s="26" t="e">
        <f t="shared" ref="I7:I14" si="10">G7/$G$5</f>
        <v>#DIV/0!</v>
      </c>
      <c r="J7" s="27">
        <f t="shared" si="5"/>
        <v>1.0419067574646412</v>
      </c>
      <c r="K7" s="20">
        <f t="shared" si="6"/>
        <v>0.96063752716735096</v>
      </c>
      <c r="L7" s="25">
        <f t="shared" si="7"/>
        <v>0.32406144651539714</v>
      </c>
      <c r="M7" s="28">
        <f t="shared" si="8"/>
        <v>0.47616553169198539</v>
      </c>
      <c r="N7" s="29">
        <f>P6/P7</f>
        <v>56.100471671307602</v>
      </c>
      <c r="O7" s="9"/>
      <c r="P7" s="9">
        <f>3.5194/100</f>
        <v>3.5194000000000003E-2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0.66291777755267423</v>
      </c>
      <c r="C8" s="20">
        <f>B8/$B$6</f>
        <v>1.0998864369747898</v>
      </c>
      <c r="D8" s="25">
        <f t="shared" si="1"/>
        <v>0.71674976701782833</v>
      </c>
      <c r="E8" s="20">
        <f t="shared" si="2"/>
        <v>1.0812046248991667</v>
      </c>
      <c r="F8" s="25">
        <f t="shared" si="3"/>
        <v>0.7967847447325771</v>
      </c>
      <c r="G8" s="25">
        <f t="shared" si="4"/>
        <v>0.70587641815235025</v>
      </c>
      <c r="H8" s="26">
        <f t="shared" si="9"/>
        <v>1.0803739534883723</v>
      </c>
      <c r="I8" s="26" t="e">
        <f t="shared" si="10"/>
        <v>#DIV/0!</v>
      </c>
      <c r="J8" s="27">
        <f t="shared" si="5"/>
        <v>1.0648023662274808</v>
      </c>
      <c r="K8" s="20">
        <f t="shared" si="6"/>
        <v>0.98482964436707288</v>
      </c>
      <c r="L8" s="25">
        <f t="shared" si="7"/>
        <v>0.34687765397082665</v>
      </c>
      <c r="M8" s="28">
        <f t="shared" si="8"/>
        <v>0.52325894057542366</v>
      </c>
      <c r="N8" s="29">
        <f>N7</f>
        <v>56.100471671307602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0.67610839748784446</v>
      </c>
      <c r="C9" s="20">
        <f>B9/$B$6</f>
        <v>1.1217717815126051</v>
      </c>
      <c r="D9" s="25">
        <f t="shared" si="1"/>
        <v>0.72976213533225287</v>
      </c>
      <c r="E9" s="20">
        <f t="shared" si="2"/>
        <v>1.0793567097284471</v>
      </c>
      <c r="F9" s="25">
        <f t="shared" si="3"/>
        <v>0.81639242301458681</v>
      </c>
      <c r="G9" s="25">
        <f t="shared" si="4"/>
        <v>0.70944145056726093</v>
      </c>
      <c r="H9" s="26">
        <f t="shared" si="9"/>
        <v>1.0858303875968993</v>
      </c>
      <c r="I9" s="26" t="e">
        <f t="shared" si="10"/>
        <v>#DIV/0!</v>
      </c>
      <c r="J9" s="27">
        <f t="shared" si="5"/>
        <v>1.0493013445821249</v>
      </c>
      <c r="K9" s="20">
        <f t="shared" si="6"/>
        <v>0.97215437225207613</v>
      </c>
      <c r="L9" s="25">
        <f t="shared" si="7"/>
        <v>0.34580814424635337</v>
      </c>
      <c r="M9" s="28">
        <f t="shared" si="8"/>
        <v>0.51146849459530719</v>
      </c>
      <c r="N9" s="29">
        <f>N7</f>
        <v>56.100471671307602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0.67218686183144261</v>
      </c>
      <c r="C10" s="20">
        <f>B10/$B$6</f>
        <v>1.1152653277310927</v>
      </c>
      <c r="D10" s="25">
        <f t="shared" si="1"/>
        <v>0.72281032212317675</v>
      </c>
      <c r="E10" s="20">
        <f t="shared" si="2"/>
        <v>1.0753115884380799</v>
      </c>
      <c r="F10" s="25">
        <f t="shared" si="3"/>
        <v>0.84669519854132913</v>
      </c>
      <c r="G10" s="25">
        <f t="shared" si="4"/>
        <v>0.72441458670988668</v>
      </c>
      <c r="H10" s="26">
        <f t="shared" si="9"/>
        <v>1.1087474108527133</v>
      </c>
      <c r="I10" s="26" t="e">
        <f t="shared" si="10"/>
        <v>#DIV/0!</v>
      </c>
      <c r="J10" s="27">
        <f t="shared" si="5"/>
        <v>1.0776982232829488</v>
      </c>
      <c r="K10" s="20">
        <f t="shared" si="6"/>
        <v>1.0022194821208386</v>
      </c>
      <c r="L10" s="25">
        <f t="shared" si="7"/>
        <v>0.3078405490275527</v>
      </c>
      <c r="M10" s="28">
        <f t="shared" si="8"/>
        <v>0.4579687085653672</v>
      </c>
      <c r="N10" s="29">
        <f>N7</f>
        <v>56.100471671307602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1.0768390700972446</v>
      </c>
      <c r="C11" s="20">
        <f>B11/$B$6</f>
        <v>1.7866479495798315</v>
      </c>
      <c r="D11" s="25">
        <f t="shared" si="1"/>
        <v>1.1019736932739059</v>
      </c>
      <c r="E11" s="20">
        <f t="shared" si="2"/>
        <v>1.0233411137045683</v>
      </c>
      <c r="F11" s="25">
        <f t="shared" si="3"/>
        <v>1.2351871961102106</v>
      </c>
      <c r="G11" s="25">
        <f t="shared" si="4"/>
        <v>1.0254926256077794</v>
      </c>
      <c r="H11" s="26">
        <f t="shared" si="9"/>
        <v>1.5695601860465114</v>
      </c>
      <c r="I11" s="26" t="e">
        <f t="shared" si="10"/>
        <v>#DIV/0!</v>
      </c>
      <c r="J11" s="27">
        <f t="shared" si="5"/>
        <v>0.95231743914638212</v>
      </c>
      <c r="K11" s="20">
        <f t="shared" si="6"/>
        <v>0.93059628543499506</v>
      </c>
      <c r="L11" s="25">
        <f t="shared" si="7"/>
        <v>0.4710946515397082</v>
      </c>
      <c r="M11" s="28">
        <f t="shared" si="8"/>
        <v>0.43747915971990664</v>
      </c>
      <c r="N11" s="29">
        <f>P6/P11</f>
        <v>27.850029621688719</v>
      </c>
      <c r="O11" s="9"/>
      <c r="P11" s="9">
        <f>7.0894/100</f>
        <v>7.0893999999999999E-2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1.5329421089951378</v>
      </c>
      <c r="E12" s="20" t="e">
        <f t="shared" si="2"/>
        <v>#DIV/0!</v>
      </c>
      <c r="F12" s="25">
        <f>F21*N12</f>
        <v>1.5991572123176661</v>
      </c>
      <c r="G12" s="25">
        <f>G21*N12</f>
        <v>1.4117559764991894</v>
      </c>
      <c r="H12" s="26">
        <f t="shared" si="9"/>
        <v>2.1607527131782942</v>
      </c>
      <c r="I12" s="26" t="e">
        <f t="shared" si="10"/>
        <v>#DIV/0!</v>
      </c>
      <c r="J12" s="27"/>
      <c r="K12" s="20">
        <f t="shared" si="6"/>
        <v>0.92094539527302344</v>
      </c>
      <c r="L12" s="25">
        <f>L21*$N$12</f>
        <v>0.69338457252836305</v>
      </c>
      <c r="M12" s="31">
        <f>L12/D12</f>
        <v>0.45232273838630804</v>
      </c>
      <c r="N12" s="29">
        <f>P13/P6</f>
        <v>1.2493415721231766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1.421750709076175</v>
      </c>
      <c r="E13" s="20" t="e">
        <f t="shared" si="2"/>
        <v>#DIV/0!</v>
      </c>
      <c r="F13" s="25">
        <f>F22*N13</f>
        <v>1.5866637965964343</v>
      </c>
      <c r="G13" s="25">
        <f>G22*N13</f>
        <v>1.3168060170178282</v>
      </c>
      <c r="H13" s="26">
        <f t="shared" si="9"/>
        <v>2.0154277519379846</v>
      </c>
      <c r="I13" s="26" t="e">
        <f t="shared" si="10"/>
        <v>#DIV/0!</v>
      </c>
      <c r="J13" s="27"/>
      <c r="K13" s="20">
        <f t="shared" si="6"/>
        <v>0.92618629173989464</v>
      </c>
      <c r="L13" s="25">
        <f>L22*$N$12</f>
        <v>0.6309174939222042</v>
      </c>
      <c r="M13" s="31">
        <f>L13/D13</f>
        <v>0.44376098418277682</v>
      </c>
      <c r="N13" s="29">
        <f>P13/P6</f>
        <v>1.2493415721231766</v>
      </c>
      <c r="O13" s="9"/>
      <c r="P13" s="34">
        <v>2.4666999999999999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1.4004559866288493</v>
      </c>
      <c r="E14" s="20" t="e">
        <f t="shared" si="2"/>
        <v>#DIV/0!</v>
      </c>
      <c r="F14" s="25">
        <f>F23/N14</f>
        <v>1.4964187094813617</v>
      </c>
      <c r="G14" s="25">
        <f>G23/N14</f>
        <v>1.3644699655591572</v>
      </c>
      <c r="H14" s="26">
        <f t="shared" si="9"/>
        <v>2.0883794573643413</v>
      </c>
      <c r="I14" s="26" t="e">
        <f t="shared" si="10"/>
        <v>#DIV/0!</v>
      </c>
      <c r="J14" s="27"/>
      <c r="K14" s="20">
        <f t="shared" si="6"/>
        <v>0.97430406852248397</v>
      </c>
      <c r="L14" s="25">
        <f>L23/N14</f>
        <v>0.64175070907617515</v>
      </c>
      <c r="M14" s="35">
        <f>L14/D14</f>
        <v>0.45824411134903648</v>
      </c>
      <c r="N14" s="36">
        <f>P6/P14</f>
        <v>3.3346281815264569</v>
      </c>
      <c r="O14" s="9"/>
      <c r="P14" s="37">
        <f>5.9209/10</f>
        <v>0.59209000000000001</v>
      </c>
      <c r="Q14" s="9" t="s">
        <v>30</v>
      </c>
    </row>
    <row r="15" spans="1:17" ht="15.75" hidden="1" x14ac:dyDescent="0.25">
      <c r="A15" s="38" t="s">
        <v>31</v>
      </c>
      <c r="B15" s="39">
        <v>1.19</v>
      </c>
      <c r="C15" s="38"/>
      <c r="D15" s="39">
        <v>1.27</v>
      </c>
      <c r="E15" s="39"/>
      <c r="F15" s="39">
        <v>1.38</v>
      </c>
      <c r="G15" s="39">
        <v>1.29</v>
      </c>
      <c r="H15" s="38"/>
      <c r="I15" s="38"/>
      <c r="J15" s="38"/>
      <c r="K15" s="40">
        <f t="shared" si="6"/>
        <v>1.015748031496063</v>
      </c>
      <c r="L15" s="41">
        <v>0.69</v>
      </c>
      <c r="M15" s="38"/>
      <c r="N15" s="23" t="s">
        <v>32</v>
      </c>
      <c r="O15" s="9"/>
      <c r="P15" s="42"/>
      <c r="Q15" s="43"/>
    </row>
    <row r="16" spans="1:17" ht="15.75" hidden="1" x14ac:dyDescent="0.25">
      <c r="A16" s="44" t="s">
        <v>19</v>
      </c>
      <c r="B16" s="45">
        <v>38.18</v>
      </c>
      <c r="C16" s="45"/>
      <c r="D16" s="45">
        <v>41.41</v>
      </c>
      <c r="E16" s="45"/>
      <c r="F16" s="45">
        <v>47.62</v>
      </c>
      <c r="G16" s="45">
        <v>39.78</v>
      </c>
      <c r="H16" s="46"/>
      <c r="I16" s="46"/>
      <c r="J16" s="46"/>
      <c r="K16" s="47">
        <f t="shared" si="6"/>
        <v>0.96063752716735096</v>
      </c>
      <c r="L16" s="48">
        <v>18.18</v>
      </c>
      <c r="M16" s="38"/>
      <c r="N16" s="23" t="s">
        <v>33</v>
      </c>
      <c r="O16" s="9"/>
      <c r="P16" s="9"/>
      <c r="Q16" s="49" t="s">
        <v>34</v>
      </c>
    </row>
    <row r="17" spans="1:18" ht="15.75" hidden="1" x14ac:dyDescent="0.25">
      <c r="A17" s="44" t="s">
        <v>35</v>
      </c>
      <c r="B17" s="45">
        <v>37.19</v>
      </c>
      <c r="C17" s="50"/>
      <c r="D17" s="45">
        <v>40.21</v>
      </c>
      <c r="E17" s="45"/>
      <c r="F17" s="51">
        <v>44.7</v>
      </c>
      <c r="G17" s="45">
        <v>39.6</v>
      </c>
      <c r="H17" s="50"/>
      <c r="I17" s="50"/>
      <c r="J17" s="50"/>
      <c r="K17" s="52">
        <f t="shared" si="6"/>
        <v>0.98482964436707288</v>
      </c>
      <c r="L17" s="53">
        <v>19.46</v>
      </c>
      <c r="M17" s="54"/>
      <c r="N17" s="23" t="s">
        <v>36</v>
      </c>
      <c r="O17" s="9"/>
      <c r="P17" s="11"/>
      <c r="Q17" s="55" t="s">
        <v>37</v>
      </c>
      <c r="R17" s="9"/>
    </row>
    <row r="18" spans="1:18" ht="15.75" hidden="1" x14ac:dyDescent="0.25">
      <c r="A18" s="44" t="s">
        <v>22</v>
      </c>
      <c r="B18" s="45">
        <v>37.93</v>
      </c>
      <c r="C18" s="50"/>
      <c r="D18" s="45">
        <v>40.94</v>
      </c>
      <c r="E18" s="56"/>
      <c r="F18" s="45">
        <v>45.8</v>
      </c>
      <c r="G18" s="56">
        <v>39.799999999999997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O18" s="9"/>
      <c r="P18" s="11"/>
      <c r="Q18" s="55" t="s">
        <v>39</v>
      </c>
      <c r="R18" s="9"/>
    </row>
    <row r="19" spans="1:18" ht="15.75" hidden="1" x14ac:dyDescent="0.25">
      <c r="A19" s="44" t="s">
        <v>23</v>
      </c>
      <c r="B19" s="58">
        <v>37.71</v>
      </c>
      <c r="C19" s="50"/>
      <c r="D19" s="56">
        <v>40.549999999999997</v>
      </c>
      <c r="E19" s="59"/>
      <c r="F19" s="56">
        <v>47.5</v>
      </c>
      <c r="G19" s="56">
        <v>40.64</v>
      </c>
      <c r="H19" s="50"/>
      <c r="I19" s="50"/>
      <c r="J19" s="50"/>
      <c r="K19" s="52"/>
      <c r="L19" s="60">
        <v>17.27</v>
      </c>
      <c r="M19" s="54"/>
      <c r="N19" s="23" t="s">
        <v>40</v>
      </c>
      <c r="O19" s="9"/>
      <c r="P19" s="11"/>
      <c r="Q19" s="43"/>
      <c r="R19" s="9"/>
    </row>
    <row r="20" spans="1:18" ht="16.5" hidden="1" customHeight="1" x14ac:dyDescent="0.25">
      <c r="A20" s="61" t="s">
        <v>24</v>
      </c>
      <c r="B20" s="45">
        <v>29.99</v>
      </c>
      <c r="C20" s="46"/>
      <c r="D20" s="45">
        <v>30.69</v>
      </c>
      <c r="E20" s="51"/>
      <c r="F20" s="45">
        <v>34.4</v>
      </c>
      <c r="G20" s="62">
        <v>28.56</v>
      </c>
      <c r="H20" s="50"/>
      <c r="I20" s="50"/>
      <c r="J20" s="50"/>
      <c r="K20" s="52">
        <f>G20/D20</f>
        <v>0.93059628543499506</v>
      </c>
      <c r="L20" s="63">
        <v>13.12</v>
      </c>
      <c r="M20" s="64"/>
      <c r="N20" s="23" t="s">
        <v>41</v>
      </c>
      <c r="O20" s="9"/>
      <c r="P20" s="65"/>
      <c r="Q20" s="43"/>
      <c r="R20" s="9"/>
    </row>
    <row r="21" spans="1:18" ht="15.75" hidden="1" x14ac:dyDescent="0.25">
      <c r="A21" s="44" t="s">
        <v>42</v>
      </c>
      <c r="B21" s="66"/>
      <c r="C21" s="50"/>
      <c r="D21" s="67">
        <v>1.2270000000000001</v>
      </c>
      <c r="E21" s="67"/>
      <c r="F21" s="67">
        <v>1.28</v>
      </c>
      <c r="G21" s="67">
        <v>1.1299999999999999</v>
      </c>
      <c r="H21" s="50"/>
      <c r="I21" s="50"/>
      <c r="J21" s="50"/>
      <c r="K21" s="52">
        <f>G21/D21</f>
        <v>0.92094539527302344</v>
      </c>
      <c r="L21" s="68">
        <v>0.55500000000000005</v>
      </c>
      <c r="M21" s="69"/>
      <c r="N21" s="70"/>
      <c r="O21" s="9"/>
      <c r="P21" s="71" t="s">
        <v>44</v>
      </c>
      <c r="Q21" s="43"/>
      <c r="R21" s="23" t="s">
        <v>45</v>
      </c>
    </row>
    <row r="22" spans="1:18" ht="15.75" hidden="1" x14ac:dyDescent="0.25">
      <c r="A22" s="61" t="s">
        <v>46</v>
      </c>
      <c r="B22" s="66"/>
      <c r="C22" s="50"/>
      <c r="D22" s="67">
        <v>1.1379999999999999</v>
      </c>
      <c r="E22" s="67"/>
      <c r="F22" s="67">
        <v>1.27</v>
      </c>
      <c r="G22" s="67">
        <v>1.054</v>
      </c>
      <c r="H22" s="50"/>
      <c r="I22" s="50"/>
      <c r="J22" s="50"/>
      <c r="K22" s="52">
        <f>G22/D22</f>
        <v>0.92618629173989464</v>
      </c>
      <c r="L22" s="68">
        <v>0.505</v>
      </c>
      <c r="M22" s="54"/>
      <c r="N22" s="23"/>
      <c r="O22" s="9"/>
      <c r="P22" s="72" t="s">
        <v>44</v>
      </c>
      <c r="Q22" s="43"/>
      <c r="R22" s="23" t="s">
        <v>48</v>
      </c>
    </row>
    <row r="23" spans="1:18" s="5" customFormat="1" ht="15.75" hidden="1" x14ac:dyDescent="0.25">
      <c r="A23" s="73" t="s">
        <v>49</v>
      </c>
      <c r="B23" s="74"/>
      <c r="C23" s="75"/>
      <c r="D23" s="76">
        <v>4.67</v>
      </c>
      <c r="E23" s="76">
        <f>ROUND((34.45+33.3)/2,2)</f>
        <v>33.880000000000003</v>
      </c>
      <c r="F23" s="76">
        <v>4.99</v>
      </c>
      <c r="G23" s="76">
        <v>4.55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2.14</v>
      </c>
      <c r="M23" s="79"/>
      <c r="N23" s="23" t="s">
        <v>50</v>
      </c>
      <c r="P23" s="80" t="s">
        <v>51</v>
      </c>
      <c r="Q23" s="81"/>
    </row>
    <row r="24" spans="1:18" hidden="1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</row>
    <row r="25" spans="1:18" hidden="1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</row>
    <row r="26" spans="1:18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N20" r:id="rId6"/>
    <hyperlink ref="N23" r:id="rId7"/>
    <hyperlink ref="P21" r:id="rId8"/>
    <hyperlink ref="R22" r:id="rId9" location=".Vs2LGH2LRkg"/>
    <hyperlink ref="Q16" r:id="rId10"/>
    <hyperlink ref="Q17" r:id="rId11"/>
    <hyperlink ref="O6" r:id="rId12"/>
    <hyperlink ref="N17" r:id="rId13"/>
    <hyperlink ref="Q18" r:id="rId14"/>
    <hyperlink ref="R21" r:id="rId15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16"/>
  <headerFooter alignWithMargins="0"/>
  <drawing r:id="rId17"/>
  <legacyDrawing r:id="rId18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R26"/>
  <sheetViews>
    <sheetView view="pageBreakPreview" zoomScale="115" zoomScaleNormal="100" zoomScaleSheetLayoutView="115" workbookViewId="0">
      <selection activeCell="A29" sqref="A29:P29"/>
    </sheetView>
  </sheetViews>
  <sheetFormatPr defaultColWidth="9.140625" defaultRowHeight="15" x14ac:dyDescent="0.25"/>
  <cols>
    <col min="1" max="1" width="57" customWidth="1"/>
    <col min="2" max="2" width="15.5703125" customWidth="1"/>
    <col min="3" max="3" width="15" customWidth="1"/>
    <col min="4" max="4" width="13.85546875" customWidth="1"/>
    <col min="5" max="5" width="11.28515625" hidden="1" customWidth="1"/>
    <col min="6" max="6" width="11" customWidth="1"/>
    <col min="7" max="7" width="23.85546875" customWidth="1"/>
    <col min="8" max="8" width="15.28515625" customWidth="1"/>
    <col min="9" max="9" width="14.42578125" hidden="1" customWidth="1"/>
    <col min="10" max="11" width="11.85546875" hidden="1" customWidth="1"/>
    <col min="12" max="12" width="9.7109375" customWidth="1"/>
    <col min="13" max="13" width="11.85546875" hidden="1" customWidth="1"/>
    <col min="14" max="14" width="16.85546875" hidden="1" customWidth="1"/>
    <col min="15" max="15" width="19.85546875" hidden="1" customWidth="1"/>
    <col min="16" max="16" width="12" hidden="1" customWidth="1"/>
    <col min="17" max="17" width="17.85546875" hidden="1" customWidth="1"/>
    <col min="18" max="18" width="15.28515625" hidden="1" customWidth="1"/>
  </cols>
  <sheetData>
    <row r="1" spans="1:17" s="3" customFormat="1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2"/>
      <c r="M1" s="1"/>
    </row>
    <row r="2" spans="1:17" s="5" customFormat="1" ht="78" customHeight="1" x14ac:dyDescent="0.2">
      <c r="A2" s="483" t="s">
        <v>161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"/>
      <c r="N2" s="4"/>
    </row>
    <row r="3" spans="1:17" s="5" customFormat="1" ht="38.25" hidden="1" customHeight="1" x14ac:dyDescent="0.2">
      <c r="A3" s="484" t="s">
        <v>1</v>
      </c>
      <c r="B3" s="486"/>
      <c r="C3" s="486"/>
      <c r="D3" s="486"/>
      <c r="E3" s="486"/>
      <c r="F3" s="6"/>
      <c r="G3" s="6" t="s">
        <v>2</v>
      </c>
      <c r="H3" s="6"/>
      <c r="I3" s="7"/>
      <c r="J3" s="7"/>
      <c r="K3" s="7"/>
      <c r="L3" s="487" t="s">
        <v>3</v>
      </c>
      <c r="M3" s="489" t="s">
        <v>4</v>
      </c>
      <c r="N3" s="481" t="s">
        <v>5</v>
      </c>
      <c r="O3" s="8"/>
      <c r="P3" s="9"/>
      <c r="Q3" s="9"/>
    </row>
    <row r="4" spans="1:17" s="5" customFormat="1" ht="73.5" customHeight="1" thickBot="1" x14ac:dyDescent="0.25">
      <c r="A4" s="485"/>
      <c r="B4" s="10" t="s">
        <v>6</v>
      </c>
      <c r="C4" s="10" t="s">
        <v>7</v>
      </c>
      <c r="D4" s="10" t="s">
        <v>8</v>
      </c>
      <c r="E4" s="10" t="s">
        <v>9</v>
      </c>
      <c r="F4" s="10" t="s">
        <v>10</v>
      </c>
      <c r="G4" s="10" t="s">
        <v>11</v>
      </c>
      <c r="H4" s="10" t="s">
        <v>7</v>
      </c>
      <c r="I4" s="10" t="s">
        <v>12</v>
      </c>
      <c r="J4" s="10" t="s">
        <v>13</v>
      </c>
      <c r="K4" s="10" t="s">
        <v>14</v>
      </c>
      <c r="L4" s="488"/>
      <c r="M4" s="490"/>
      <c r="N4" s="482"/>
      <c r="O4" s="9"/>
      <c r="P4" s="11"/>
      <c r="Q4" s="11"/>
    </row>
    <row r="5" spans="1:17" s="5" customFormat="1" ht="30.75" hidden="1" customHeight="1" x14ac:dyDescent="0.25">
      <c r="A5" s="12" t="s">
        <v>15</v>
      </c>
      <c r="B5" s="13"/>
      <c r="C5" s="14"/>
      <c r="D5" s="13"/>
      <c r="E5" s="14"/>
      <c r="F5" s="13"/>
      <c r="G5" s="13"/>
      <c r="H5" s="15"/>
      <c r="I5" s="15"/>
      <c r="J5" s="15"/>
      <c r="K5" s="15"/>
      <c r="L5" s="16"/>
      <c r="M5" s="17"/>
      <c r="N5" s="18"/>
      <c r="O5" s="9"/>
      <c r="P5" s="9"/>
      <c r="Q5" s="9"/>
    </row>
    <row r="6" spans="1:17" s="5" customFormat="1" ht="31.5" x14ac:dyDescent="0.25">
      <c r="A6" s="12" t="s">
        <v>16</v>
      </c>
      <c r="B6" s="19">
        <f t="shared" ref="B6:B11" si="0">B15/N6</f>
        <v>0.60448618674126986</v>
      </c>
      <c r="C6" s="20"/>
      <c r="D6" s="19">
        <f t="shared" ref="D6:D11" si="1">D15/N6</f>
        <v>0.64445221561672583</v>
      </c>
      <c r="E6" s="20">
        <f t="shared" ref="E6:E14" si="2">D6/B6</f>
        <v>1.0661157024793391</v>
      </c>
      <c r="F6" s="19">
        <f t="shared" ref="F6:F11" si="3">F15/N6</f>
        <v>0.69940550532047752</v>
      </c>
      <c r="G6" s="19">
        <f t="shared" ref="G6:G11" si="4">G15/N6</f>
        <v>0.65444372283558971</v>
      </c>
      <c r="H6" s="19"/>
      <c r="I6" s="19"/>
      <c r="J6" s="20">
        <f t="shared" ref="J6:J11" si="5">G6/B6</f>
        <v>1.0826446280991735</v>
      </c>
      <c r="K6" s="20">
        <f t="shared" ref="K6:K17" si="6">G6/D6</f>
        <v>1.0155038759689921</v>
      </c>
      <c r="L6" s="19">
        <f t="shared" ref="L6:L11" si="7">L15/N6</f>
        <v>0.35469850626967075</v>
      </c>
      <c r="M6" s="21">
        <f t="shared" ref="M6:M11" si="8">L6/B6</f>
        <v>0.58677685950413228</v>
      </c>
      <c r="N6" s="22">
        <f>P6</f>
        <v>2.0017</v>
      </c>
      <c r="O6" s="23" t="s">
        <v>17</v>
      </c>
      <c r="P6" s="9">
        <v>2.0017</v>
      </c>
      <c r="Q6" s="9" t="s">
        <v>18</v>
      </c>
    </row>
    <row r="7" spans="1:17" s="5" customFormat="1" ht="15.75" x14ac:dyDescent="0.25">
      <c r="A7" s="24" t="s">
        <v>19</v>
      </c>
      <c r="B7" s="25">
        <f t="shared" si="0"/>
        <v>0.65988272468401854</v>
      </c>
      <c r="C7" s="20">
        <f>B7/$B$6</f>
        <v>1.0916423553719008</v>
      </c>
      <c r="D7" s="25">
        <f t="shared" si="1"/>
        <v>0.71422803117350253</v>
      </c>
      <c r="E7" s="20">
        <f t="shared" si="2"/>
        <v>1.0823560072973679</v>
      </c>
      <c r="F7" s="25">
        <f t="shared" si="3"/>
        <v>0.81724334315831548</v>
      </c>
      <c r="G7" s="25">
        <f t="shared" si="4"/>
        <v>0.68722735674676527</v>
      </c>
      <c r="H7" s="26">
        <f t="shared" ref="H7:H14" si="9">G7/$G$6</f>
        <v>1.050093893129771</v>
      </c>
      <c r="I7" s="26" t="e">
        <f t="shared" ref="I7:I14" si="10">G7/$G$5</f>
        <v>#DIV/0!</v>
      </c>
      <c r="J7" s="27">
        <f t="shared" si="5"/>
        <v>1.0414386239249414</v>
      </c>
      <c r="K7" s="20">
        <f t="shared" si="6"/>
        <v>0.96219600288947749</v>
      </c>
      <c r="L7" s="25">
        <f t="shared" si="7"/>
        <v>0.31265749113253732</v>
      </c>
      <c r="M7" s="28">
        <f t="shared" si="8"/>
        <v>0.47380766223612197</v>
      </c>
      <c r="N7" s="29">
        <f>P6/P7</f>
        <v>58.146695715323169</v>
      </c>
      <c r="O7" s="9"/>
      <c r="P7" s="9">
        <f>3.4425/100</f>
        <v>3.4424999999999997E-2</v>
      </c>
      <c r="Q7" s="9" t="s">
        <v>20</v>
      </c>
    </row>
    <row r="8" spans="1:17" s="5" customFormat="1" ht="15.75" x14ac:dyDescent="0.25">
      <c r="A8" s="30" t="s">
        <v>21</v>
      </c>
      <c r="B8" s="25">
        <f t="shared" si="0"/>
        <v>0.64096505470350207</v>
      </c>
      <c r="C8" s="20">
        <f>B8/$B$6</f>
        <v>1.0603469008264466</v>
      </c>
      <c r="D8" s="25">
        <f t="shared" si="1"/>
        <v>0.69273067892291551</v>
      </c>
      <c r="E8" s="20">
        <f t="shared" si="2"/>
        <v>1.0807620069761201</v>
      </c>
      <c r="F8" s="25">
        <f t="shared" si="3"/>
        <v>0.7687453164809912</v>
      </c>
      <c r="G8" s="25">
        <f t="shared" si="4"/>
        <v>0.68206799220662429</v>
      </c>
      <c r="H8" s="26">
        <f t="shared" si="9"/>
        <v>1.0422103053435114</v>
      </c>
      <c r="I8" s="26" t="e">
        <f t="shared" si="10"/>
        <v>#DIV/0!</v>
      </c>
      <c r="J8" s="27">
        <f t="shared" si="5"/>
        <v>1.0641266434129324</v>
      </c>
      <c r="K8" s="20">
        <f t="shared" si="6"/>
        <v>0.98460774577954313</v>
      </c>
      <c r="L8" s="25">
        <f t="shared" si="7"/>
        <v>0.32675975420892239</v>
      </c>
      <c r="M8" s="28">
        <f t="shared" si="8"/>
        <v>0.50979339951703773</v>
      </c>
      <c r="N8" s="29">
        <f>N7</f>
        <v>58.146695715323169</v>
      </c>
      <c r="O8" s="9"/>
      <c r="P8" s="9"/>
      <c r="Q8" s="9"/>
    </row>
    <row r="9" spans="1:17" s="5" customFormat="1" ht="15.75" x14ac:dyDescent="0.25">
      <c r="A9" s="30" t="s">
        <v>22</v>
      </c>
      <c r="B9" s="25">
        <f t="shared" si="0"/>
        <v>0.65265961432782138</v>
      </c>
      <c r="C9" s="20">
        <f>B9/$B$6</f>
        <v>1.0796931818181821</v>
      </c>
      <c r="D9" s="25">
        <f t="shared" si="1"/>
        <v>0.70425325972923014</v>
      </c>
      <c r="E9" s="20">
        <f t="shared" si="2"/>
        <v>1.0790513833992095</v>
      </c>
      <c r="F9" s="25">
        <f t="shared" si="3"/>
        <v>0.76186616376080318</v>
      </c>
      <c r="G9" s="25">
        <f t="shared" si="4"/>
        <v>0.68378778038667132</v>
      </c>
      <c r="H9" s="26">
        <f t="shared" si="9"/>
        <v>1.0448381679389314</v>
      </c>
      <c r="I9" s="26" t="e">
        <f t="shared" si="10"/>
        <v>#DIV/0!</v>
      </c>
      <c r="J9" s="27">
        <f t="shared" si="5"/>
        <v>1.0476943346508563</v>
      </c>
      <c r="K9" s="20">
        <f t="shared" si="6"/>
        <v>0.97094017094017093</v>
      </c>
      <c r="L9" s="25">
        <f t="shared" si="7"/>
        <v>0.33363890692911019</v>
      </c>
      <c r="M9" s="28">
        <f t="shared" si="8"/>
        <v>0.51119894598155458</v>
      </c>
      <c r="N9" s="29">
        <f>N7</f>
        <v>58.146695715323169</v>
      </c>
      <c r="O9" s="9"/>
      <c r="P9" s="9"/>
      <c r="Q9" s="9"/>
    </row>
    <row r="10" spans="1:17" s="5" customFormat="1" ht="15.75" x14ac:dyDescent="0.25">
      <c r="A10" s="30" t="s">
        <v>23</v>
      </c>
      <c r="B10" s="25">
        <f t="shared" si="0"/>
        <v>0.64853212269570859</v>
      </c>
      <c r="C10" s="20">
        <f>B10/$B$6</f>
        <v>1.0728650826446282</v>
      </c>
      <c r="D10" s="25">
        <f t="shared" si="1"/>
        <v>0.69737410700904223</v>
      </c>
      <c r="E10" s="20">
        <f t="shared" si="2"/>
        <v>1.0753115884380799</v>
      </c>
      <c r="F10" s="25">
        <f t="shared" si="3"/>
        <v>0.78508330419143724</v>
      </c>
      <c r="G10" s="25">
        <f t="shared" si="4"/>
        <v>0.69892191637108458</v>
      </c>
      <c r="H10" s="26">
        <f t="shared" si="9"/>
        <v>1.0679633587786259</v>
      </c>
      <c r="I10" s="26" t="e">
        <f t="shared" si="10"/>
        <v>#DIV/0!</v>
      </c>
      <c r="J10" s="27">
        <f t="shared" si="5"/>
        <v>1.0776982232829488</v>
      </c>
      <c r="K10" s="20">
        <f t="shared" si="6"/>
        <v>1.0022194821208386</v>
      </c>
      <c r="L10" s="25">
        <f t="shared" si="7"/>
        <v>0.29700741869410996</v>
      </c>
      <c r="M10" s="28">
        <f t="shared" si="8"/>
        <v>0.45796870856536726</v>
      </c>
      <c r="N10" s="29">
        <f>N7</f>
        <v>58.146695715323169</v>
      </c>
      <c r="O10" s="9"/>
      <c r="P10" s="9"/>
      <c r="Q10" s="9"/>
    </row>
    <row r="11" spans="1:17" s="5" customFormat="1" ht="15.75" x14ac:dyDescent="0.25">
      <c r="A11" s="30" t="s">
        <v>24</v>
      </c>
      <c r="B11" s="25">
        <f t="shared" si="0"/>
        <v>1.117280811310386</v>
      </c>
      <c r="C11" s="20">
        <f>B11/$B$6</f>
        <v>1.8483148760330579</v>
      </c>
      <c r="D11" s="25">
        <f t="shared" si="1"/>
        <v>1.1372586801218962</v>
      </c>
      <c r="E11" s="20">
        <f t="shared" si="2"/>
        <v>1.0178807947019868</v>
      </c>
      <c r="F11" s="25">
        <f t="shared" si="3"/>
        <v>1.289312459409502</v>
      </c>
      <c r="G11" s="25">
        <f t="shared" si="4"/>
        <v>0.97447604536144272</v>
      </c>
      <c r="H11" s="26">
        <f t="shared" si="9"/>
        <v>1.4890142748091604</v>
      </c>
      <c r="I11" s="26" t="e">
        <f t="shared" si="10"/>
        <v>#DIV/0!</v>
      </c>
      <c r="J11" s="27">
        <f t="shared" si="5"/>
        <v>0.87218543046357622</v>
      </c>
      <c r="K11" s="20">
        <f t="shared" si="6"/>
        <v>0.85686402081977886</v>
      </c>
      <c r="L11" s="25">
        <f t="shared" si="7"/>
        <v>0.48353841734525654</v>
      </c>
      <c r="M11" s="28">
        <f t="shared" si="8"/>
        <v>0.43278145695364245</v>
      </c>
      <c r="N11" s="29">
        <f>P6/P11</f>
        <v>27.029910201876984</v>
      </c>
      <c r="O11" s="9"/>
      <c r="P11" s="9">
        <f>7.4055/100</f>
        <v>7.4054999999999996E-2</v>
      </c>
      <c r="Q11" s="9" t="s">
        <v>25</v>
      </c>
    </row>
    <row r="12" spans="1:17" s="5" customFormat="1" ht="15.75" customHeight="1" x14ac:dyDescent="0.3">
      <c r="A12" s="30" t="s">
        <v>26</v>
      </c>
      <c r="B12" s="25"/>
      <c r="C12" s="20"/>
      <c r="D12" s="25">
        <f>D21*N12</f>
        <v>1.5041277913773297</v>
      </c>
      <c r="E12" s="20" t="e">
        <f t="shared" si="2"/>
        <v>#DIV/0!</v>
      </c>
      <c r="F12" s="25">
        <f>F21*N12</f>
        <v>1.5715499825148627</v>
      </c>
      <c r="G12" s="25">
        <f>G21*N12</f>
        <v>1.3852195633711346</v>
      </c>
      <c r="H12" s="26">
        <f t="shared" si="9"/>
        <v>2.1166366412213744</v>
      </c>
      <c r="I12" s="26" t="e">
        <f t="shared" si="10"/>
        <v>#DIV/0!</v>
      </c>
      <c r="J12" s="27"/>
      <c r="K12" s="20">
        <f t="shared" si="6"/>
        <v>0.92094539527302344</v>
      </c>
      <c r="L12" s="25">
        <f>L21*$N$12</f>
        <v>0.68035120147874317</v>
      </c>
      <c r="M12" s="31">
        <f>L12/D12</f>
        <v>0.45232273838630804</v>
      </c>
      <c r="N12" s="29">
        <f>P13/P6</f>
        <v>1.2258580206824201</v>
      </c>
      <c r="O12" s="32"/>
      <c r="P12" s="33"/>
      <c r="Q12" s="9"/>
    </row>
    <row r="13" spans="1:17" s="5" customFormat="1" ht="15.75" x14ac:dyDescent="0.25">
      <c r="A13" s="30" t="s">
        <v>27</v>
      </c>
      <c r="B13" s="25"/>
      <c r="C13" s="20"/>
      <c r="D13" s="25">
        <f>D22*N13</f>
        <v>1.4747071988809515</v>
      </c>
      <c r="E13" s="20" t="e">
        <f t="shared" si="2"/>
        <v>#DIV/0!</v>
      </c>
      <c r="F13" s="25">
        <f>F22*N13</f>
        <v>1.5592914023080384</v>
      </c>
      <c r="G13" s="25">
        <f>G22*N13</f>
        <v>1.3876712794124995</v>
      </c>
      <c r="H13" s="26">
        <f t="shared" si="9"/>
        <v>2.1203829007633592</v>
      </c>
      <c r="I13" s="26" t="e">
        <f t="shared" si="10"/>
        <v>#DIV/0!</v>
      </c>
      <c r="J13" s="27"/>
      <c r="K13" s="20">
        <f t="shared" si="6"/>
        <v>0.94098088113050693</v>
      </c>
      <c r="L13" s="25">
        <f>L22*$N$12</f>
        <v>0.68402877554079045</v>
      </c>
      <c r="M13" s="31">
        <f>L13/D13</f>
        <v>0.46384039900249374</v>
      </c>
      <c r="N13" s="29">
        <f>P13/P6</f>
        <v>1.2258580206824201</v>
      </c>
      <c r="O13" s="9"/>
      <c r="P13" s="34">
        <v>2.4538000000000002</v>
      </c>
      <c r="Q13" s="9" t="s">
        <v>28</v>
      </c>
    </row>
    <row r="14" spans="1:17" s="5" customFormat="1" ht="17.25" customHeight="1" thickBot="1" x14ac:dyDescent="0.3">
      <c r="A14" s="30" t="s">
        <v>29</v>
      </c>
      <c r="B14" s="25"/>
      <c r="C14" s="20"/>
      <c r="D14" s="25">
        <f>D23/N14</f>
        <v>1.3558619173702353</v>
      </c>
      <c r="E14" s="20" t="e">
        <f t="shared" si="2"/>
        <v>#DIV/0!</v>
      </c>
      <c r="F14" s="25">
        <f>F23/N14</f>
        <v>1.4449864615077186</v>
      </c>
      <c r="G14" s="25">
        <f>G23/N14</f>
        <v>1.3222575810561024</v>
      </c>
      <c r="H14" s="26">
        <f t="shared" si="9"/>
        <v>2.0204297709923664</v>
      </c>
      <c r="I14" s="26" t="e">
        <f t="shared" si="10"/>
        <v>#DIV/0!</v>
      </c>
      <c r="J14" s="27"/>
      <c r="K14" s="20">
        <f t="shared" si="6"/>
        <v>0.97521551724137934</v>
      </c>
      <c r="L14" s="25">
        <f>L23/N14</f>
        <v>0.6078001698556228</v>
      </c>
      <c r="M14" s="35">
        <f>L14/D14</f>
        <v>0.44827586206896558</v>
      </c>
      <c r="N14" s="36">
        <f>P6/P14</f>
        <v>3.4221773917800724</v>
      </c>
      <c r="O14" s="9"/>
      <c r="P14" s="37">
        <f>5.8492/10</f>
        <v>0.58492</v>
      </c>
      <c r="Q14" s="9" t="s">
        <v>30</v>
      </c>
    </row>
    <row r="15" spans="1:17" ht="15.75" hidden="1" x14ac:dyDescent="0.25">
      <c r="A15" s="38" t="s">
        <v>31</v>
      </c>
      <c r="B15" s="39">
        <v>1.21</v>
      </c>
      <c r="C15" s="38"/>
      <c r="D15" s="39">
        <v>1.29</v>
      </c>
      <c r="E15" s="39"/>
      <c r="F15" s="39">
        <v>1.4</v>
      </c>
      <c r="G15" s="39">
        <v>1.31</v>
      </c>
      <c r="H15" s="38"/>
      <c r="I15" s="38"/>
      <c r="J15" s="38"/>
      <c r="K15" s="40">
        <f t="shared" si="6"/>
        <v>1.0155038759689923</v>
      </c>
      <c r="L15" s="41">
        <v>0.71</v>
      </c>
      <c r="M15" s="38"/>
      <c r="N15" s="23" t="s">
        <v>32</v>
      </c>
      <c r="O15" s="9"/>
      <c r="P15" s="42"/>
      <c r="Q15" s="43"/>
    </row>
    <row r="16" spans="1:17" ht="15.75" hidden="1" x14ac:dyDescent="0.25">
      <c r="A16" s="44" t="s">
        <v>19</v>
      </c>
      <c r="B16" s="45">
        <v>38.369999999999997</v>
      </c>
      <c r="C16" s="45"/>
      <c r="D16" s="45">
        <v>41.53</v>
      </c>
      <c r="E16" s="45"/>
      <c r="F16" s="45">
        <v>47.52</v>
      </c>
      <c r="G16" s="45">
        <v>39.96</v>
      </c>
      <c r="H16" s="46"/>
      <c r="I16" s="46"/>
      <c r="J16" s="46"/>
      <c r="K16" s="47">
        <f t="shared" si="6"/>
        <v>0.96219600288947749</v>
      </c>
      <c r="L16" s="48">
        <v>18.18</v>
      </c>
      <c r="M16" s="38"/>
      <c r="N16" s="23" t="s">
        <v>33</v>
      </c>
      <c r="O16" s="9"/>
      <c r="P16" s="9"/>
      <c r="Q16" s="49" t="s">
        <v>34</v>
      </c>
    </row>
    <row r="17" spans="1:18" ht="15.75" hidden="1" x14ac:dyDescent="0.25">
      <c r="A17" s="44" t="s">
        <v>35</v>
      </c>
      <c r="B17" s="45">
        <v>37.270000000000003</v>
      </c>
      <c r="C17" s="50"/>
      <c r="D17" s="45">
        <v>40.28</v>
      </c>
      <c r="E17" s="45"/>
      <c r="F17" s="51">
        <v>44.7</v>
      </c>
      <c r="G17" s="45">
        <v>39.659999999999997</v>
      </c>
      <c r="H17" s="50"/>
      <c r="I17" s="50"/>
      <c r="J17" s="50"/>
      <c r="K17" s="52">
        <f t="shared" si="6"/>
        <v>0.98460774577954313</v>
      </c>
      <c r="L17" s="53">
        <v>19</v>
      </c>
      <c r="M17" s="54"/>
      <c r="N17" s="23" t="s">
        <v>36</v>
      </c>
      <c r="O17" s="9"/>
      <c r="P17" s="11"/>
      <c r="Q17" s="55" t="s">
        <v>37</v>
      </c>
      <c r="R17" s="9"/>
    </row>
    <row r="18" spans="1:18" ht="15.75" hidden="1" x14ac:dyDescent="0.25">
      <c r="A18" s="44" t="s">
        <v>22</v>
      </c>
      <c r="B18" s="45">
        <v>37.950000000000003</v>
      </c>
      <c r="C18" s="50"/>
      <c r="D18" s="45">
        <v>40.950000000000003</v>
      </c>
      <c r="E18" s="56"/>
      <c r="F18" s="45">
        <v>44.3</v>
      </c>
      <c r="G18" s="56">
        <v>39.76</v>
      </c>
      <c r="H18" s="50"/>
      <c r="I18" s="50"/>
      <c r="J18" s="50"/>
      <c r="K18" s="52"/>
      <c r="L18" s="57">
        <v>19.399999999999999</v>
      </c>
      <c r="M18" s="54"/>
      <c r="N18" s="23" t="s">
        <v>38</v>
      </c>
      <c r="O18" s="9"/>
      <c r="P18" s="11"/>
      <c r="Q18" s="55" t="s">
        <v>39</v>
      </c>
      <c r="R18" s="9"/>
    </row>
    <row r="19" spans="1:18" ht="15.75" hidden="1" x14ac:dyDescent="0.25">
      <c r="A19" s="44" t="s">
        <v>23</v>
      </c>
      <c r="B19" s="58">
        <v>37.71</v>
      </c>
      <c r="C19" s="50"/>
      <c r="D19" s="56">
        <v>40.549999999999997</v>
      </c>
      <c r="E19" s="59"/>
      <c r="F19" s="56">
        <v>45.65</v>
      </c>
      <c r="G19" s="56">
        <v>40.64</v>
      </c>
      <c r="H19" s="50"/>
      <c r="I19" s="50"/>
      <c r="J19" s="50"/>
      <c r="K19" s="52"/>
      <c r="L19" s="60">
        <v>17.27</v>
      </c>
      <c r="M19" s="54"/>
      <c r="N19" s="23" t="s">
        <v>40</v>
      </c>
      <c r="O19" s="9"/>
      <c r="P19" s="11"/>
      <c r="Q19" s="43"/>
      <c r="R19" s="9"/>
    </row>
    <row r="20" spans="1:18" ht="16.5" hidden="1" customHeight="1" x14ac:dyDescent="0.25">
      <c r="A20" s="61" t="s">
        <v>24</v>
      </c>
      <c r="B20" s="45">
        <v>30.2</v>
      </c>
      <c r="C20" s="46"/>
      <c r="D20" s="45">
        <v>30.74</v>
      </c>
      <c r="E20" s="51"/>
      <c r="F20" s="45">
        <v>34.85</v>
      </c>
      <c r="G20" s="62">
        <v>26.34</v>
      </c>
      <c r="H20" s="50"/>
      <c r="I20" s="50"/>
      <c r="J20" s="50"/>
      <c r="K20" s="52">
        <f>G20/D20</f>
        <v>0.85686402081977886</v>
      </c>
      <c r="L20" s="63">
        <v>13.07</v>
      </c>
      <c r="M20" s="64"/>
      <c r="N20" s="23" t="s">
        <v>41</v>
      </c>
      <c r="O20" s="9"/>
      <c r="P20" s="65"/>
      <c r="Q20" s="43"/>
      <c r="R20" s="9"/>
    </row>
    <row r="21" spans="1:18" ht="15.75" hidden="1" x14ac:dyDescent="0.25">
      <c r="A21" s="44" t="s">
        <v>42</v>
      </c>
      <c r="B21" s="66"/>
      <c r="C21" s="50"/>
      <c r="D21" s="67">
        <v>1.2270000000000001</v>
      </c>
      <c r="E21" s="67"/>
      <c r="F21" s="67">
        <v>1.282</v>
      </c>
      <c r="G21" s="67">
        <v>1.1299999999999999</v>
      </c>
      <c r="H21" s="50"/>
      <c r="I21" s="50"/>
      <c r="J21" s="50"/>
      <c r="K21" s="52">
        <f>G21/D21</f>
        <v>0.92094539527302344</v>
      </c>
      <c r="L21" s="68">
        <v>0.55500000000000005</v>
      </c>
      <c r="M21" s="69"/>
      <c r="N21" s="70"/>
      <c r="O21" s="9"/>
      <c r="P21" s="71" t="s">
        <v>44</v>
      </c>
      <c r="Q21" s="43"/>
      <c r="R21" s="23" t="s">
        <v>45</v>
      </c>
    </row>
    <row r="22" spans="1:18" ht="15.75" hidden="1" x14ac:dyDescent="0.25">
      <c r="A22" s="61" t="s">
        <v>46</v>
      </c>
      <c r="B22" s="66"/>
      <c r="C22" s="50"/>
      <c r="D22" s="67">
        <v>1.2030000000000001</v>
      </c>
      <c r="E22" s="67"/>
      <c r="F22" s="67">
        <v>1.272</v>
      </c>
      <c r="G22" s="67">
        <v>1.1319999999999999</v>
      </c>
      <c r="H22" s="50"/>
      <c r="I22" s="50"/>
      <c r="J22" s="50"/>
      <c r="K22" s="52">
        <f>G22/D22</f>
        <v>0.94098088113050693</v>
      </c>
      <c r="L22" s="68">
        <v>0.55800000000000005</v>
      </c>
      <c r="M22" s="54"/>
      <c r="N22" s="23"/>
      <c r="O22" s="9"/>
      <c r="P22" s="72" t="s">
        <v>44</v>
      </c>
      <c r="Q22" s="43"/>
      <c r="R22" s="23" t="s">
        <v>48</v>
      </c>
    </row>
    <row r="23" spans="1:18" s="5" customFormat="1" ht="15.75" hidden="1" x14ac:dyDescent="0.25">
      <c r="A23" s="73" t="s">
        <v>49</v>
      </c>
      <c r="B23" s="74"/>
      <c r="C23" s="75"/>
      <c r="D23" s="76">
        <v>4.6399999999999997</v>
      </c>
      <c r="E23" s="76">
        <f>ROUND((34.45+33.3)/2,2)</f>
        <v>33.880000000000003</v>
      </c>
      <c r="F23" s="76">
        <v>4.9450000000000003</v>
      </c>
      <c r="G23" s="76">
        <v>4.5250000000000004</v>
      </c>
      <c r="H23" s="77"/>
      <c r="I23" s="77">
        <f>ROUND((34.45+33.3)/2,2)</f>
        <v>33.880000000000003</v>
      </c>
      <c r="J23" s="77">
        <f>ROUND((34.45+33.3)/2,2)</f>
        <v>33.880000000000003</v>
      </c>
      <c r="K23" s="78">
        <f>ROUND((34.45+33.3)/2,2)</f>
        <v>33.880000000000003</v>
      </c>
      <c r="L23" s="76">
        <v>2.08</v>
      </c>
      <c r="M23" s="79"/>
      <c r="N23" s="23" t="s">
        <v>50</v>
      </c>
      <c r="P23" s="80" t="s">
        <v>51</v>
      </c>
      <c r="Q23" s="81"/>
    </row>
    <row r="24" spans="1:18" hidden="1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</row>
    <row r="25" spans="1:18" hidden="1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</row>
    <row r="26" spans="1:18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</row>
  </sheetData>
  <mergeCells count="6">
    <mergeCell ref="N3:N4"/>
    <mergeCell ref="A2:L2"/>
    <mergeCell ref="A3:A4"/>
    <mergeCell ref="B3:E3"/>
    <mergeCell ref="L3:L4"/>
    <mergeCell ref="M3:M4"/>
  </mergeCells>
  <hyperlinks>
    <hyperlink ref="P23" r:id="rId1" location=".VyhQfdKLTcs"/>
    <hyperlink ref="N15" r:id="rId2"/>
    <hyperlink ref="N16" r:id="rId3"/>
    <hyperlink ref="N18" r:id="rId4"/>
    <hyperlink ref="N19" r:id="rId5"/>
    <hyperlink ref="N20" r:id="rId6"/>
    <hyperlink ref="N23" r:id="rId7"/>
    <hyperlink ref="P21" r:id="rId8"/>
    <hyperlink ref="R22" r:id="rId9" location=".Vs2LGH2LRkg"/>
    <hyperlink ref="Q16" r:id="rId10"/>
    <hyperlink ref="Q17" r:id="rId11"/>
    <hyperlink ref="O6" r:id="rId12"/>
    <hyperlink ref="N17" r:id="rId13"/>
    <hyperlink ref="Q18" r:id="rId14"/>
    <hyperlink ref="R21" r:id="rId15" location=".WOOTMl7SnSs"/>
  </hyperlinks>
  <pageMargins left="0.70866141732283472" right="0.70866141732283472" top="0.74803149606299213" bottom="0.74803149606299213" header="0.31496062992125984" footer="0.31496062992125984"/>
  <pageSetup paperSize="9" scale="83" orientation="landscape" r:id="rId16"/>
  <headerFooter alignWithMargins="0"/>
  <drawing r:id="rId17"/>
  <legacyDrawing r:id="rId18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2"/>
  <sheetViews>
    <sheetView workbookViewId="0">
      <selection activeCell="J26" sqref="J26"/>
    </sheetView>
  </sheetViews>
  <sheetFormatPr defaultColWidth="9.140625" defaultRowHeight="15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/>
    <col min="18" max="18" width="41.7109375" customWidth="1"/>
    <col min="19" max="19" width="15.28515625" customWidth="1"/>
    <col min="20" max="21" width="9.140625" customWidth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43150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0.61734693877551017</v>
      </c>
      <c r="C6" s="103" t="s">
        <v>172</v>
      </c>
      <c r="D6" s="104" t="s">
        <v>172</v>
      </c>
      <c r="E6" s="102">
        <f>E19/$B$32</f>
        <v>0.65816326530612246</v>
      </c>
      <c r="F6" s="103" t="s">
        <v>172</v>
      </c>
      <c r="G6" s="104" t="s">
        <v>172</v>
      </c>
      <c r="H6" s="102">
        <f>H19/$B$32</f>
        <v>0.7142857142857143</v>
      </c>
      <c r="I6" s="103" t="s">
        <v>172</v>
      </c>
      <c r="J6" s="104" t="s">
        <v>172</v>
      </c>
      <c r="K6" s="102">
        <f>K19/$B$32</f>
        <v>0.66836734693877553</v>
      </c>
      <c r="L6" s="103" t="s">
        <v>172</v>
      </c>
      <c r="M6" s="104" t="s">
        <v>172</v>
      </c>
      <c r="N6" s="102">
        <f>N19/$B$32</f>
        <v>0.36224489795918369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0.68049587755102037</v>
      </c>
      <c r="C7" s="107">
        <f>B7-B$6</f>
        <v>6.3148938775510199E-2</v>
      </c>
      <c r="D7" s="108">
        <f>B7/B$6*100</f>
        <v>110.22908429752066</v>
      </c>
      <c r="E7" s="102">
        <f t="shared" ref="E7:E10" si="0">E20*$B$35/100/$B$32</f>
        <v>0.73835755102040823</v>
      </c>
      <c r="F7" s="107">
        <f>E7-E$6</f>
        <v>8.0194285714285773E-2</v>
      </c>
      <c r="G7" s="108">
        <f>E7/E$6*100</f>
        <v>112.1845581395349</v>
      </c>
      <c r="H7" s="102">
        <f t="shared" ref="H7:H10" si="1">H20*$B$35/100/$B$32</f>
        <v>0.83544446938775518</v>
      </c>
      <c r="I7" s="107">
        <f t="shared" ref="I7:I14" si="2">H7-H$6</f>
        <v>0.12115875510204088</v>
      </c>
      <c r="J7" s="108">
        <f t="shared" ref="J7:J14" si="3">H7/H$6*100</f>
        <v>116.96222571428572</v>
      </c>
      <c r="K7" s="102">
        <f t="shared" ref="K7:K10" si="4">K20*$B$35/100/$B$32</f>
        <v>0.70640938775510209</v>
      </c>
      <c r="L7" s="107">
        <f t="shared" ref="L7:L14" si="5">K7-K$6</f>
        <v>3.8042040816326561E-2</v>
      </c>
      <c r="M7" s="108">
        <f t="shared" ref="M7:M14" si="6">K7/K$6*100</f>
        <v>105.69178625954198</v>
      </c>
      <c r="N7" s="102">
        <f t="shared" ref="N7:N10" si="7">N20*$B$35/100/$B$32</f>
        <v>0.33474575510204085</v>
      </c>
      <c r="O7" s="107">
        <f t="shared" ref="O7:O14" si="8">N7-N$6</f>
        <v>-2.7499142857142833E-2</v>
      </c>
      <c r="P7" s="108">
        <f t="shared" ref="P7:P14" si="9">N7/N$6*100</f>
        <v>92.408687323943667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0.6615044693877552</v>
      </c>
      <c r="C8" s="107">
        <f t="shared" ref="C8:C11" si="11">B8-B$6</f>
        <v>4.4157530612245033E-2</v>
      </c>
      <c r="D8" s="108">
        <f t="shared" ref="D8:D11" si="12">B8/B$6*100</f>
        <v>107.15279008264464</v>
      </c>
      <c r="E8" s="102">
        <f t="shared" si="0"/>
        <v>0.71475140816326543</v>
      </c>
      <c r="F8" s="107">
        <f t="shared" ref="F8:F14" si="13">E8-E$6</f>
        <v>5.6588142857142976E-2</v>
      </c>
      <c r="G8" s="108">
        <f t="shared" ref="G8:G14" si="14">E8/E$6*100</f>
        <v>108.59788837209304</v>
      </c>
      <c r="H8" s="102">
        <f t="shared" si="1"/>
        <v>0.79337938775510219</v>
      </c>
      <c r="I8" s="107">
        <f t="shared" si="2"/>
        <v>7.9093673469387893E-2</v>
      </c>
      <c r="J8" s="108">
        <f t="shared" si="3"/>
        <v>111.07311428571431</v>
      </c>
      <c r="K8" s="102">
        <f t="shared" si="4"/>
        <v>0.70001975510204084</v>
      </c>
      <c r="L8" s="107">
        <f t="shared" si="5"/>
        <v>3.1652408163265311E-2</v>
      </c>
      <c r="M8" s="108">
        <f t="shared" si="6"/>
        <v>104.73578015267175</v>
      </c>
      <c r="N8" s="102">
        <f t="shared" si="7"/>
        <v>0.33634316326530611</v>
      </c>
      <c r="O8" s="107">
        <f t="shared" si="8"/>
        <v>-2.5901734693877576E-2</v>
      </c>
      <c r="P8" s="108">
        <f t="shared" si="9"/>
        <v>92.849661971830983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0.67357377551020414</v>
      </c>
      <c r="C9" s="107">
        <f t="shared" si="11"/>
        <v>5.6226836734693975E-2</v>
      </c>
      <c r="D9" s="108">
        <f t="shared" si="12"/>
        <v>109.1078181818182</v>
      </c>
      <c r="E9" s="102">
        <f t="shared" si="0"/>
        <v>0.72256095918367358</v>
      </c>
      <c r="F9" s="107">
        <f t="shared" si="13"/>
        <v>6.4397693877551121E-2</v>
      </c>
      <c r="G9" s="108">
        <f t="shared" si="14"/>
        <v>109.78445581395351</v>
      </c>
      <c r="H9" s="102">
        <f t="shared" si="1"/>
        <v>0.78627979591836727</v>
      </c>
      <c r="I9" s="107">
        <f t="shared" si="2"/>
        <v>7.1994081632652973E-2</v>
      </c>
      <c r="J9" s="108">
        <f t="shared" si="3"/>
        <v>110.07917142857141</v>
      </c>
      <c r="K9" s="102">
        <f t="shared" si="4"/>
        <v>0.70800679591836746</v>
      </c>
      <c r="L9" s="107">
        <f t="shared" si="5"/>
        <v>3.9639448979591929E-2</v>
      </c>
      <c r="M9" s="108">
        <f t="shared" si="6"/>
        <v>105.93078778625954</v>
      </c>
      <c r="N9" s="102">
        <f t="shared" si="7"/>
        <v>0.33634316326530611</v>
      </c>
      <c r="O9" s="107">
        <f t="shared" si="8"/>
        <v>-2.5901734693877576E-2</v>
      </c>
      <c r="P9" s="108">
        <f t="shared" si="9"/>
        <v>92.849661971830983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0.66931402040816335</v>
      </c>
      <c r="C10" s="107">
        <f t="shared" si="11"/>
        <v>5.1967081632653178E-2</v>
      </c>
      <c r="D10" s="108">
        <f t="shared" si="12"/>
        <v>108.41780826446283</v>
      </c>
      <c r="E10" s="102">
        <f t="shared" si="0"/>
        <v>0.71972112244897957</v>
      </c>
      <c r="F10" s="107">
        <f t="shared" si="13"/>
        <v>6.1557857142857109E-2</v>
      </c>
      <c r="G10" s="108">
        <f t="shared" si="14"/>
        <v>109.35297674418605</v>
      </c>
      <c r="H10" s="102">
        <f t="shared" si="1"/>
        <v>0.81024091836734702</v>
      </c>
      <c r="I10" s="107">
        <f t="shared" si="2"/>
        <v>9.5955204081632717E-2</v>
      </c>
      <c r="J10" s="108">
        <f t="shared" si="3"/>
        <v>113.43372857142857</v>
      </c>
      <c r="K10" s="102">
        <f t="shared" si="4"/>
        <v>0.72451334693877556</v>
      </c>
      <c r="L10" s="107">
        <f t="shared" si="5"/>
        <v>5.6146000000000029E-2</v>
      </c>
      <c r="M10" s="108">
        <f t="shared" si="6"/>
        <v>108.40047022900762</v>
      </c>
      <c r="N10" s="102">
        <f t="shared" si="7"/>
        <v>0.3132694897959184</v>
      </c>
      <c r="O10" s="107">
        <f t="shared" si="8"/>
        <v>-4.8975408163265288E-2</v>
      </c>
      <c r="P10" s="108">
        <f t="shared" si="9"/>
        <v>86.480028169014091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1.1003375102040815</v>
      </c>
      <c r="C11" s="107">
        <f t="shared" si="11"/>
        <v>0.48299057142857138</v>
      </c>
      <c r="D11" s="108">
        <f t="shared" si="12"/>
        <v>178.23648925619835</v>
      </c>
      <c r="E11" s="102">
        <f>E24*$B$31/100/$B$32</f>
        <v>1.1251432346938777</v>
      </c>
      <c r="F11" s="107">
        <f t="shared" si="13"/>
        <v>0.46697996938775521</v>
      </c>
      <c r="G11" s="108">
        <f t="shared" si="14"/>
        <v>170.95199534883722</v>
      </c>
      <c r="H11" s="102">
        <f>H24*$B$31/100/$B$32</f>
        <v>1.2643514795918367</v>
      </c>
      <c r="I11" s="107">
        <f t="shared" si="2"/>
        <v>0.55006576530612239</v>
      </c>
      <c r="J11" s="108">
        <f t="shared" si="3"/>
        <v>177.00920714285712</v>
      </c>
      <c r="K11" s="102">
        <f>K24*$B$31/100/$B$32</f>
        <v>0.9659423163265306</v>
      </c>
      <c r="L11" s="107">
        <f t="shared" si="5"/>
        <v>0.29757496938775507</v>
      </c>
      <c r="M11" s="108">
        <f t="shared" si="6"/>
        <v>144.52266717557251</v>
      </c>
      <c r="N11" s="102">
        <f>N24*$B$31/100/$B$32</f>
        <v>0.49944660204081631</v>
      </c>
      <c r="O11" s="107">
        <f t="shared" si="8"/>
        <v>0.13720170408163262</v>
      </c>
      <c r="P11" s="108">
        <f t="shared" si="9"/>
        <v>137.87539999999998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1.5410770408163268</v>
      </c>
      <c r="F12" s="107">
        <f t="shared" si="13"/>
        <v>0.88291377551020434</v>
      </c>
      <c r="G12" s="108">
        <f t="shared" si="14"/>
        <v>234.14813953488377</v>
      </c>
      <c r="H12" s="102">
        <f t="shared" ref="H12:H13" si="15">H25*$B$33/$B$32</f>
        <v>1.603722448979592</v>
      </c>
      <c r="I12" s="107">
        <f t="shared" si="2"/>
        <v>0.88943673469387774</v>
      </c>
      <c r="J12" s="108">
        <f t="shared" si="3"/>
        <v>224.52114285714288</v>
      </c>
      <c r="K12" s="102">
        <f t="shared" ref="K12:K13" si="16">K25*$B$33/$B$32</f>
        <v>1.4157862244897961</v>
      </c>
      <c r="L12" s="107">
        <f t="shared" si="5"/>
        <v>0.74741887755102054</v>
      </c>
      <c r="M12" s="108">
        <f t="shared" si="6"/>
        <v>211.82755725190842</v>
      </c>
      <c r="N12" s="102">
        <f t="shared" ref="N12:N13" si="17">N25*$B$33/$B$32</f>
        <v>0.70162857142857149</v>
      </c>
      <c r="O12" s="107">
        <f t="shared" si="8"/>
        <v>0.3393836734693878</v>
      </c>
      <c r="P12" s="108">
        <f t="shared" si="9"/>
        <v>193.68901408450705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1.4909607142857144</v>
      </c>
      <c r="F13" s="107">
        <f t="shared" si="13"/>
        <v>0.83279744897959196</v>
      </c>
      <c r="G13" s="108">
        <f t="shared" si="14"/>
        <v>226.53356589147288</v>
      </c>
      <c r="H13" s="102">
        <f t="shared" si="15"/>
        <v>1.5786642857142859</v>
      </c>
      <c r="I13" s="107">
        <f t="shared" si="2"/>
        <v>0.86437857142857155</v>
      </c>
      <c r="J13" s="108">
        <f t="shared" si="3"/>
        <v>221.01300000000001</v>
      </c>
      <c r="K13" s="102">
        <f t="shared" si="16"/>
        <v>1.3907280612244901</v>
      </c>
      <c r="L13" s="107">
        <f t="shared" si="5"/>
        <v>0.72236071428571458</v>
      </c>
      <c r="M13" s="108">
        <f t="shared" si="6"/>
        <v>208.07839694656494</v>
      </c>
      <c r="N13" s="102">
        <f t="shared" si="17"/>
        <v>0.68909948979591851</v>
      </c>
      <c r="O13" s="107">
        <f t="shared" si="8"/>
        <v>0.32685459183673482</v>
      </c>
      <c r="P13" s="108">
        <f t="shared" si="9"/>
        <v>190.23028169014086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1.3778789795918369</v>
      </c>
      <c r="F14" s="119">
        <f t="shared" si="13"/>
        <v>0.71971571428571446</v>
      </c>
      <c r="G14" s="120">
        <f t="shared" si="14"/>
        <v>209.35215503875972</v>
      </c>
      <c r="H14" s="118">
        <f>H27*$B$34/10/$B$32</f>
        <v>1.4861838775510205</v>
      </c>
      <c r="I14" s="119">
        <f t="shared" si="2"/>
        <v>0.77189816326530625</v>
      </c>
      <c r="J14" s="120">
        <f t="shared" si="3"/>
        <v>208.06574285714285</v>
      </c>
      <c r="K14" s="118">
        <f>K27*$B$34/10/$B$32</f>
        <v>1.353811224489796</v>
      </c>
      <c r="L14" s="119">
        <f t="shared" si="5"/>
        <v>0.68544387755102043</v>
      </c>
      <c r="M14" s="120">
        <f t="shared" si="6"/>
        <v>202.55496183206105</v>
      </c>
      <c r="N14" s="118">
        <f>N27*$B$34/10/$B$32</f>
        <v>0.61372775510204081</v>
      </c>
      <c r="O14" s="119">
        <f t="shared" si="8"/>
        <v>0.25148285714285712</v>
      </c>
      <c r="P14" s="120">
        <f t="shared" si="9"/>
        <v>169.4234366197183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2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2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3"/>
      <c r="Q18" s="130" t="s">
        <v>183</v>
      </c>
      <c r="R18" s="131" t="s">
        <v>184</v>
      </c>
      <c r="S18" s="132"/>
    </row>
    <row r="19" spans="1:22" s="141" customFormat="1" ht="15.75" x14ac:dyDescent="0.25">
      <c r="A19" s="133" t="s">
        <v>185</v>
      </c>
      <c r="B19" s="134">
        <v>1.21</v>
      </c>
      <c r="C19" s="135" t="s">
        <v>172</v>
      </c>
      <c r="D19" s="136" t="s">
        <v>172</v>
      </c>
      <c r="E19" s="134">
        <v>1.29</v>
      </c>
      <c r="F19" s="135" t="s">
        <v>172</v>
      </c>
      <c r="G19" s="136" t="s">
        <v>172</v>
      </c>
      <c r="H19" s="134">
        <v>1.4</v>
      </c>
      <c r="I19" s="135" t="s">
        <v>172</v>
      </c>
      <c r="J19" s="136" t="s">
        <v>172</v>
      </c>
      <c r="K19" s="134">
        <v>1.31</v>
      </c>
      <c r="L19" s="135" t="s">
        <v>172</v>
      </c>
      <c r="M19" s="136" t="s">
        <v>172</v>
      </c>
      <c r="N19" s="134">
        <v>0.71</v>
      </c>
      <c r="O19" s="135" t="s">
        <v>172</v>
      </c>
      <c r="P19" s="137" t="s">
        <v>172</v>
      </c>
      <c r="Q19" s="138" t="s">
        <v>32</v>
      </c>
      <c r="R19" s="139"/>
      <c r="S19" s="140"/>
      <c r="T19"/>
      <c r="U19"/>
      <c r="V19"/>
    </row>
    <row r="20" spans="1:22" s="141" customFormat="1" ht="15.75" x14ac:dyDescent="0.25">
      <c r="A20" s="142" t="s">
        <v>186</v>
      </c>
      <c r="B20" s="143">
        <v>38.340000000000003</v>
      </c>
      <c r="C20" s="144" t="s">
        <v>172</v>
      </c>
      <c r="D20" s="145" t="s">
        <v>172</v>
      </c>
      <c r="E20" s="143">
        <v>41.6</v>
      </c>
      <c r="F20" s="144" t="s">
        <v>172</v>
      </c>
      <c r="G20" s="145" t="s">
        <v>172</v>
      </c>
      <c r="H20" s="143">
        <v>47.07</v>
      </c>
      <c r="I20" s="144" t="s">
        <v>172</v>
      </c>
      <c r="J20" s="145" t="s">
        <v>172</v>
      </c>
      <c r="K20" s="143">
        <v>39.799999999999997</v>
      </c>
      <c r="L20" s="144" t="s">
        <v>172</v>
      </c>
      <c r="M20" s="145" t="s">
        <v>172</v>
      </c>
      <c r="N20" s="143">
        <v>18.86</v>
      </c>
      <c r="O20" s="144" t="s">
        <v>172</v>
      </c>
      <c r="P20" s="146" t="s">
        <v>172</v>
      </c>
      <c r="Q20" s="147" t="s">
        <v>187</v>
      </c>
      <c r="R20" s="148"/>
      <c r="S20" s="149"/>
      <c r="T20"/>
      <c r="U20"/>
      <c r="V20"/>
    </row>
    <row r="21" spans="1:22" s="141" customFormat="1" ht="15.75" x14ac:dyDescent="0.25">
      <c r="A21" s="142" t="s">
        <v>188</v>
      </c>
      <c r="B21" s="143">
        <v>37.270000000000003</v>
      </c>
      <c r="C21" s="144" t="s">
        <v>172</v>
      </c>
      <c r="D21" s="145" t="s">
        <v>172</v>
      </c>
      <c r="E21" s="143">
        <v>40.270000000000003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39.44</v>
      </c>
      <c r="L21" s="144" t="s">
        <v>172</v>
      </c>
      <c r="M21" s="145" t="s">
        <v>172</v>
      </c>
      <c r="N21" s="143">
        <v>18.95</v>
      </c>
      <c r="O21" s="144" t="s">
        <v>172</v>
      </c>
      <c r="P21" s="146" t="s">
        <v>172</v>
      </c>
      <c r="Q21" s="147" t="s">
        <v>189</v>
      </c>
      <c r="R21" s="148"/>
      <c r="S21" s="150"/>
      <c r="U21"/>
      <c r="V21"/>
    </row>
    <row r="22" spans="1:22" s="141" customFormat="1" ht="15.75" x14ac:dyDescent="0.25">
      <c r="A22" s="142" t="s">
        <v>190</v>
      </c>
      <c r="B22" s="143">
        <v>37.950000000000003</v>
      </c>
      <c r="C22" s="144" t="s">
        <v>172</v>
      </c>
      <c r="D22" s="145" t="s">
        <v>172</v>
      </c>
      <c r="E22" s="143">
        <v>40.71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39.89</v>
      </c>
      <c r="L22" s="144" t="s">
        <v>172</v>
      </c>
      <c r="M22" s="145" t="s">
        <v>172</v>
      </c>
      <c r="N22" s="143">
        <v>18.95</v>
      </c>
      <c r="O22" s="144" t="s">
        <v>172</v>
      </c>
      <c r="P22" s="146" t="s">
        <v>172</v>
      </c>
      <c r="Q22" s="147" t="s">
        <v>191</v>
      </c>
      <c r="R22" s="148"/>
      <c r="S22" s="150"/>
      <c r="U22"/>
      <c r="V22"/>
    </row>
    <row r="23" spans="1:22" s="141" customFormat="1" ht="15.75" x14ac:dyDescent="0.25">
      <c r="A23" s="142" t="s">
        <v>192</v>
      </c>
      <c r="B23" s="151">
        <v>37.71</v>
      </c>
      <c r="C23" s="144" t="s">
        <v>172</v>
      </c>
      <c r="D23" s="145" t="s">
        <v>172</v>
      </c>
      <c r="E23" s="143">
        <v>40.549999999999997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40.82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6" t="s">
        <v>172</v>
      </c>
      <c r="Q23" s="147" t="s">
        <v>193</v>
      </c>
      <c r="R23" s="148"/>
      <c r="S23" s="140"/>
      <c r="U23"/>
      <c r="V23"/>
    </row>
    <row r="24" spans="1:22" s="141" customFormat="1" ht="15.75" x14ac:dyDescent="0.25">
      <c r="A24" s="142" t="s">
        <v>194</v>
      </c>
      <c r="B24" s="143">
        <v>29.72</v>
      </c>
      <c r="C24" s="144" t="s">
        <v>172</v>
      </c>
      <c r="D24" s="145" t="s">
        <v>172</v>
      </c>
      <c r="E24" s="143">
        <v>30.39</v>
      </c>
      <c r="F24" s="144" t="s">
        <v>172</v>
      </c>
      <c r="G24" s="145" t="s">
        <v>172</v>
      </c>
      <c r="H24" s="143">
        <v>34.15</v>
      </c>
      <c r="I24" s="144" t="s">
        <v>172</v>
      </c>
      <c r="J24" s="145" t="s">
        <v>172</v>
      </c>
      <c r="K24" s="143">
        <v>26.09</v>
      </c>
      <c r="L24" s="144" t="s">
        <v>172</v>
      </c>
      <c r="M24" s="145" t="s">
        <v>172</v>
      </c>
      <c r="N24" s="143">
        <v>13.49</v>
      </c>
      <c r="O24" s="144" t="s">
        <v>172</v>
      </c>
      <c r="P24" s="146" t="s">
        <v>172</v>
      </c>
      <c r="Q24" s="147" t="s">
        <v>41</v>
      </c>
      <c r="R24" s="148"/>
      <c r="S24" s="140"/>
      <c r="U24"/>
      <c r="V24"/>
    </row>
    <row r="25" spans="1:22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1.23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1.1299999999999999</v>
      </c>
      <c r="L25" s="144" t="s">
        <v>172</v>
      </c>
      <c r="M25" s="145" t="s">
        <v>172</v>
      </c>
      <c r="N25" s="153">
        <v>0.56000000000000005</v>
      </c>
      <c r="O25" s="144" t="s">
        <v>172</v>
      </c>
      <c r="P25" s="146" t="s">
        <v>172</v>
      </c>
      <c r="Q25" s="147" t="s">
        <v>45</v>
      </c>
      <c r="R25" s="154" t="s">
        <v>196</v>
      </c>
      <c r="S25" s="140"/>
      <c r="T25" s="155"/>
      <c r="U25"/>
      <c r="V25"/>
    </row>
    <row r="26" spans="1:22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1.19</v>
      </c>
      <c r="F26" s="144" t="s">
        <v>172</v>
      </c>
      <c r="G26" s="145" t="s">
        <v>172</v>
      </c>
      <c r="H26" s="153">
        <v>1.26</v>
      </c>
      <c r="I26" s="144" t="s">
        <v>172</v>
      </c>
      <c r="J26" s="145" t="s">
        <v>172</v>
      </c>
      <c r="K26" s="153">
        <v>1.1100000000000001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6" t="s">
        <v>172</v>
      </c>
      <c r="Q26" s="147" t="s">
        <v>48</v>
      </c>
      <c r="R26" s="154" t="s">
        <v>196</v>
      </c>
      <c r="S26" s="140"/>
      <c r="T26" s="155"/>
      <c r="U26"/>
      <c r="V26"/>
    </row>
    <row r="27" spans="1:22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4.58</v>
      </c>
      <c r="F27" s="158" t="s">
        <v>172</v>
      </c>
      <c r="G27" s="159" t="s">
        <v>172</v>
      </c>
      <c r="H27" s="160">
        <v>4.9400000000000004</v>
      </c>
      <c r="I27" s="158" t="s">
        <v>172</v>
      </c>
      <c r="J27" s="159" t="s">
        <v>172</v>
      </c>
      <c r="K27" s="160">
        <v>4.5</v>
      </c>
      <c r="L27" s="158" t="s">
        <v>172</v>
      </c>
      <c r="M27" s="159" t="s">
        <v>172</v>
      </c>
      <c r="N27" s="160">
        <v>2.04</v>
      </c>
      <c r="O27" s="158" t="s">
        <v>172</v>
      </c>
      <c r="P27" s="161" t="s">
        <v>172</v>
      </c>
      <c r="Q27" s="162" t="s">
        <v>51</v>
      </c>
      <c r="R27" s="163" t="s">
        <v>50</v>
      </c>
      <c r="S27" s="164"/>
    </row>
    <row r="28" spans="1:22" s="93" customFormat="1" ht="33" customHeight="1" x14ac:dyDescent="0.25">
      <c r="A28" s="504" t="s">
        <v>199</v>
      </c>
      <c r="B28" s="505"/>
      <c r="C28" s="505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164"/>
    </row>
    <row r="29" spans="1:22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2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2" s="141" customFormat="1" ht="15.75" customHeight="1" x14ac:dyDescent="0.25">
      <c r="A31" s="173" t="s">
        <v>202</v>
      </c>
      <c r="B31" s="174">
        <v>7.2565999999999997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2" s="141" customFormat="1" ht="15.75" x14ac:dyDescent="0.25">
      <c r="A32" s="176" t="s">
        <v>204</v>
      </c>
      <c r="B32" s="174">
        <v>1.96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2.4557000000000002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5.8966000000000003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3.4788000000000001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R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</hyperlinks>
  <pageMargins left="0.25" right="0.25" top="0.75" bottom="0.75" header="0.3" footer="0.3"/>
  <pageSetup paperSize="9" orientation="landscape" r:id="rId1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2"/>
  <sheetViews>
    <sheetView workbookViewId="0">
      <selection activeCell="A29" sqref="A29:P29"/>
    </sheetView>
  </sheetViews>
  <sheetFormatPr defaultColWidth="9.140625" defaultRowHeight="15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/>
    <col min="18" max="18" width="41.7109375" customWidth="1"/>
    <col min="19" max="19" width="15.28515625" customWidth="1"/>
    <col min="20" max="21" width="9.140625" customWidth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43157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0.61756749859643745</v>
      </c>
      <c r="C6" s="103" t="s">
        <v>172</v>
      </c>
      <c r="D6" s="104" t="s">
        <v>172</v>
      </c>
      <c r="E6" s="102">
        <f>E19/$B$32</f>
        <v>0.65839840759454904</v>
      </c>
      <c r="F6" s="103" t="s">
        <v>172</v>
      </c>
      <c r="G6" s="104" t="s">
        <v>172</v>
      </c>
      <c r="H6" s="102">
        <f>H19/$B$32</f>
        <v>0.71454090746695242</v>
      </c>
      <c r="I6" s="103" t="s">
        <v>172</v>
      </c>
      <c r="J6" s="104" t="s">
        <v>172</v>
      </c>
      <c r="K6" s="102">
        <f>K19/$B$32</f>
        <v>0.66860613484407694</v>
      </c>
      <c r="L6" s="103" t="s">
        <v>172</v>
      </c>
      <c r="M6" s="104" t="s">
        <v>172</v>
      </c>
      <c r="N6" s="102">
        <f>N19/$B$32</f>
        <v>0.36237431735824016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0.6779028224365844</v>
      </c>
      <c r="C7" s="107">
        <f>B7-B$6</f>
        <v>6.0335323840146948E-2</v>
      </c>
      <c r="D7" s="108">
        <f>B7/B$6*100</f>
        <v>109.76983471074379</v>
      </c>
      <c r="E7" s="102">
        <f t="shared" ref="E7:E10" si="0">E20*$B$35/100/$B$32</f>
        <v>0.73551395906701356</v>
      </c>
      <c r="F7" s="107">
        <f>E7-E$6</f>
        <v>7.7115551472464516E-2</v>
      </c>
      <c r="G7" s="108">
        <f>E7/E$6*100</f>
        <v>111.71259689922479</v>
      </c>
      <c r="H7" s="102">
        <f t="shared" ref="H7:H10" si="1">H20*$B$35/100/$B$32</f>
        <v>0.82952967896697793</v>
      </c>
      <c r="I7" s="107">
        <f t="shared" ref="I7:I14" si="2">H7-H$6</f>
        <v>0.11498877150002551</v>
      </c>
      <c r="J7" s="108">
        <f t="shared" ref="J7:J14" si="3">H7/H$6*100</f>
        <v>116.09267857142858</v>
      </c>
      <c r="K7" s="102">
        <f t="shared" ref="K7:K10" si="4">K20*$B$35/100/$B$32</f>
        <v>0.70494117797172451</v>
      </c>
      <c r="L7" s="107">
        <f t="shared" ref="L7:L14" si="5">K7-K$6</f>
        <v>3.633504312764757E-2</v>
      </c>
      <c r="M7" s="108">
        <f t="shared" ref="M7:M14" si="6">K7/K$6*100</f>
        <v>105.43444656488549</v>
      </c>
      <c r="N7" s="102">
        <f t="shared" ref="N7:N10" si="7">N20*$B$35/100/$B$32</f>
        <v>0.33400321543408357</v>
      </c>
      <c r="O7" s="107">
        <f t="shared" ref="O7:O14" si="8">N7-N$6</f>
        <v>-2.8371101924156594E-2</v>
      </c>
      <c r="P7" s="108">
        <f t="shared" ref="P7:P14" si="9">N7/N$6*100</f>
        <v>92.170774647887328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0.65899364568978724</v>
      </c>
      <c r="C8" s="107">
        <f t="shared" ref="C8:C11" si="11">B8-B$6</f>
        <v>4.1426147093349797E-2</v>
      </c>
      <c r="D8" s="108">
        <f t="shared" ref="D8:D11" si="12">B8/B$6*100</f>
        <v>106.70795454545457</v>
      </c>
      <c r="E8" s="102">
        <f t="shared" si="0"/>
        <v>0.71201002909202249</v>
      </c>
      <c r="F8" s="107">
        <f t="shared" ref="F8:F14" si="13">E8-E$6</f>
        <v>5.361162149747345E-2</v>
      </c>
      <c r="G8" s="108">
        <f t="shared" ref="G8:G14" si="14">E8/E$6*100</f>
        <v>108.14273255813951</v>
      </c>
      <c r="H8" s="102">
        <f t="shared" si="1"/>
        <v>0.78994411269330878</v>
      </c>
      <c r="I8" s="107">
        <f t="shared" si="2"/>
        <v>7.5403205226356351E-2</v>
      </c>
      <c r="J8" s="108">
        <f t="shared" si="3"/>
        <v>110.55267857142856</v>
      </c>
      <c r="K8" s="102">
        <f t="shared" si="4"/>
        <v>0.69910937579747878</v>
      </c>
      <c r="L8" s="107">
        <f t="shared" si="5"/>
        <v>3.0503240953401844E-2</v>
      </c>
      <c r="M8" s="108">
        <f t="shared" si="6"/>
        <v>104.56221374045805</v>
      </c>
      <c r="N8" s="102">
        <f t="shared" si="7"/>
        <v>0.33488682182412083</v>
      </c>
      <c r="O8" s="107">
        <f t="shared" si="8"/>
        <v>-2.7487495534119333E-2</v>
      </c>
      <c r="P8" s="108">
        <f t="shared" si="9"/>
        <v>92.414612676056336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0.6713641351503089</v>
      </c>
      <c r="C9" s="107">
        <f t="shared" si="11"/>
        <v>5.3796636553871457E-2</v>
      </c>
      <c r="D9" s="108">
        <f t="shared" si="12"/>
        <v>108.71105371900829</v>
      </c>
      <c r="E9" s="102">
        <f t="shared" si="0"/>
        <v>0.72385035471852199</v>
      </c>
      <c r="F9" s="107">
        <f t="shared" si="13"/>
        <v>6.5451947123972953E-2</v>
      </c>
      <c r="G9" s="108">
        <f t="shared" si="14"/>
        <v>109.94108527131785</v>
      </c>
      <c r="H9" s="102">
        <f t="shared" si="1"/>
        <v>0.78287526157301068</v>
      </c>
      <c r="I9" s="107">
        <f t="shared" si="2"/>
        <v>6.8334354106058259E-2</v>
      </c>
      <c r="J9" s="108">
        <f t="shared" si="3"/>
        <v>109.56339285714284</v>
      </c>
      <c r="K9" s="102">
        <f t="shared" si="4"/>
        <v>0.70458773541570963</v>
      </c>
      <c r="L9" s="107">
        <f t="shared" si="5"/>
        <v>3.5981600571632688E-2</v>
      </c>
      <c r="M9" s="108">
        <f t="shared" si="6"/>
        <v>105.38158396946564</v>
      </c>
      <c r="N9" s="102">
        <f t="shared" si="7"/>
        <v>0.33488682182412083</v>
      </c>
      <c r="O9" s="107">
        <f t="shared" si="8"/>
        <v>-2.7487495534119333E-2</v>
      </c>
      <c r="P9" s="108">
        <f t="shared" si="9"/>
        <v>92.414612676056336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0.66641593936610011</v>
      </c>
      <c r="C10" s="107">
        <f t="shared" si="11"/>
        <v>4.884844076966266E-2</v>
      </c>
      <c r="D10" s="108">
        <f t="shared" si="12"/>
        <v>107.90981404958677</v>
      </c>
      <c r="E10" s="102">
        <f t="shared" si="0"/>
        <v>0.71660478232021629</v>
      </c>
      <c r="F10" s="107">
        <f t="shared" si="13"/>
        <v>5.8206374725667254E-2</v>
      </c>
      <c r="G10" s="108">
        <f t="shared" si="14"/>
        <v>108.84060077519379</v>
      </c>
      <c r="H10" s="102">
        <f t="shared" si="1"/>
        <v>0.80673263410401674</v>
      </c>
      <c r="I10" s="107">
        <f t="shared" si="2"/>
        <v>9.219172663706432E-2</v>
      </c>
      <c r="J10" s="108">
        <f t="shared" si="3"/>
        <v>112.90223214285714</v>
      </c>
      <c r="K10" s="102">
        <f t="shared" si="4"/>
        <v>0.71784183126626855</v>
      </c>
      <c r="L10" s="107">
        <f t="shared" si="5"/>
        <v>4.923569642219161E-2</v>
      </c>
      <c r="M10" s="108">
        <f t="shared" si="6"/>
        <v>107.36393129770994</v>
      </c>
      <c r="N10" s="102">
        <f t="shared" si="7"/>
        <v>0.31191305568315214</v>
      </c>
      <c r="O10" s="107">
        <f t="shared" si="8"/>
        <v>-5.0461261675088021E-2</v>
      </c>
      <c r="P10" s="108">
        <f t="shared" si="9"/>
        <v>86.074823943661968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1.0833383096003675</v>
      </c>
      <c r="C11" s="107">
        <f t="shared" si="11"/>
        <v>0.46577081100393003</v>
      </c>
      <c r="D11" s="108">
        <f t="shared" si="12"/>
        <v>175.42022727272729</v>
      </c>
      <c r="E11" s="102">
        <f>E24*$B$31/100/$B$32</f>
        <v>1.111116214974736</v>
      </c>
      <c r="F11" s="107">
        <f t="shared" si="13"/>
        <v>0.45271780738018697</v>
      </c>
      <c r="G11" s="108">
        <f t="shared" si="14"/>
        <v>168.76046511627908</v>
      </c>
      <c r="H11" s="102">
        <f>H24*$B$31/100/$B$32</f>
        <v>1.2574131832797428</v>
      </c>
      <c r="I11" s="107">
        <f t="shared" si="2"/>
        <v>0.54287227581279041</v>
      </c>
      <c r="J11" s="108">
        <f t="shared" si="3"/>
        <v>175.97497500000003</v>
      </c>
      <c r="K11" s="102">
        <f>K24*$B$31/100/$B$32</f>
        <v>0.95704143316490575</v>
      </c>
      <c r="L11" s="107">
        <f t="shared" si="5"/>
        <v>0.28843529832082881</v>
      </c>
      <c r="M11" s="108">
        <f t="shared" si="6"/>
        <v>143.13979236641222</v>
      </c>
      <c r="N11" s="102">
        <f>N24*$B$31/100/$B$32</f>
        <v>0.46926141479099681</v>
      </c>
      <c r="O11" s="107">
        <f t="shared" si="8"/>
        <v>0.10688709743275665</v>
      </c>
      <c r="P11" s="108">
        <f t="shared" si="9"/>
        <v>129.49632253521128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1.5059128260092889</v>
      </c>
      <c r="F12" s="107">
        <f t="shared" si="13"/>
        <v>0.84751441841473985</v>
      </c>
      <c r="G12" s="108">
        <f t="shared" si="14"/>
        <v>228.7236434108527</v>
      </c>
      <c r="H12" s="102">
        <f t="shared" ref="H12:H13" si="15">H25*$B$33/$B$32</f>
        <v>1.5735252386056244</v>
      </c>
      <c r="I12" s="107">
        <f t="shared" si="2"/>
        <v>0.85898433113867201</v>
      </c>
      <c r="J12" s="108">
        <f t="shared" si="3"/>
        <v>220.21485714285717</v>
      </c>
      <c r="K12" s="102">
        <f t="shared" ref="K12:K13" si="16">K25*$B$33/$B$32</f>
        <v>1.3891277497065275</v>
      </c>
      <c r="L12" s="107">
        <f t="shared" si="5"/>
        <v>0.72052161486245059</v>
      </c>
      <c r="M12" s="108">
        <f t="shared" si="6"/>
        <v>207.76473282442743</v>
      </c>
      <c r="N12" s="102">
        <f t="shared" ref="N12:N13" si="17">N25*$B$33/$B$32</f>
        <v>0.68227070892665742</v>
      </c>
      <c r="O12" s="107">
        <f t="shared" si="8"/>
        <v>0.31989639156841726</v>
      </c>
      <c r="P12" s="108">
        <f t="shared" si="9"/>
        <v>188.27788732394367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1.485014443934058</v>
      </c>
      <c r="F13" s="107">
        <f t="shared" si="13"/>
        <v>0.82661603633950897</v>
      </c>
      <c r="G13" s="108">
        <f t="shared" si="14"/>
        <v>225.54951937984495</v>
      </c>
      <c r="H13" s="102">
        <f t="shared" si="15"/>
        <v>1.5722959220129635</v>
      </c>
      <c r="I13" s="107">
        <f t="shared" si="2"/>
        <v>0.85775501454601111</v>
      </c>
      <c r="J13" s="108">
        <f t="shared" si="3"/>
        <v>220.04281428571426</v>
      </c>
      <c r="K13" s="102">
        <f t="shared" si="16"/>
        <v>1.3977329658551523</v>
      </c>
      <c r="L13" s="107">
        <f t="shared" si="5"/>
        <v>0.72912683101107534</v>
      </c>
      <c r="M13" s="108">
        <f t="shared" si="6"/>
        <v>209.05177099236641</v>
      </c>
      <c r="N13" s="102">
        <f t="shared" si="17"/>
        <v>0.67489480937069368</v>
      </c>
      <c r="O13" s="107">
        <f t="shared" si="8"/>
        <v>0.31252049201245352</v>
      </c>
      <c r="P13" s="108">
        <f t="shared" si="9"/>
        <v>186.24245070422538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1.3419167559842802</v>
      </c>
      <c r="F14" s="119">
        <f t="shared" si="13"/>
        <v>0.68351834838973113</v>
      </c>
      <c r="G14" s="120">
        <f t="shared" si="14"/>
        <v>203.81531007751937</v>
      </c>
      <c r="H14" s="118">
        <f>H27*$B$34/10/$B$32</f>
        <v>1.4598874598070739</v>
      </c>
      <c r="I14" s="119">
        <f t="shared" si="2"/>
        <v>0.74534655234012148</v>
      </c>
      <c r="J14" s="120">
        <f t="shared" si="3"/>
        <v>204.31125</v>
      </c>
      <c r="K14" s="118">
        <f>K27*$B$34/10/$B$32</f>
        <v>1.3124240800285818</v>
      </c>
      <c r="L14" s="119">
        <f t="shared" si="5"/>
        <v>0.64381794518450486</v>
      </c>
      <c r="M14" s="120">
        <f t="shared" si="6"/>
        <v>196.29255725190845</v>
      </c>
      <c r="N14" s="118">
        <f>N27*$B$34/10/$B$32</f>
        <v>0.59575205430510891</v>
      </c>
      <c r="O14" s="119">
        <f t="shared" si="8"/>
        <v>0.23337773694686875</v>
      </c>
      <c r="P14" s="120">
        <f t="shared" si="9"/>
        <v>164.4023943661972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2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2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3"/>
      <c r="Q18" s="130" t="s">
        <v>183</v>
      </c>
      <c r="R18" s="131" t="s">
        <v>184</v>
      </c>
      <c r="S18" s="132"/>
    </row>
    <row r="19" spans="1:22" s="141" customFormat="1" ht="15.75" x14ac:dyDescent="0.25">
      <c r="A19" s="133" t="s">
        <v>185</v>
      </c>
      <c r="B19" s="134">
        <v>1.21</v>
      </c>
      <c r="C19" s="135" t="s">
        <v>172</v>
      </c>
      <c r="D19" s="136" t="s">
        <v>172</v>
      </c>
      <c r="E19" s="134">
        <v>1.29</v>
      </c>
      <c r="F19" s="135" t="s">
        <v>172</v>
      </c>
      <c r="G19" s="136" t="s">
        <v>172</v>
      </c>
      <c r="H19" s="134">
        <v>1.4</v>
      </c>
      <c r="I19" s="135" t="s">
        <v>172</v>
      </c>
      <c r="J19" s="136" t="s">
        <v>172</v>
      </c>
      <c r="K19" s="134">
        <v>1.31</v>
      </c>
      <c r="L19" s="135" t="s">
        <v>172</v>
      </c>
      <c r="M19" s="136" t="s">
        <v>172</v>
      </c>
      <c r="N19" s="134">
        <v>0.71</v>
      </c>
      <c r="O19" s="135" t="s">
        <v>172</v>
      </c>
      <c r="P19" s="137" t="s">
        <v>172</v>
      </c>
      <c r="Q19" s="138" t="s">
        <v>32</v>
      </c>
      <c r="R19" s="139"/>
      <c r="S19" s="140"/>
      <c r="T19"/>
      <c r="U19"/>
      <c r="V19"/>
    </row>
    <row r="20" spans="1:22" s="141" customFormat="1" ht="15.75" x14ac:dyDescent="0.25">
      <c r="A20" s="142" t="s">
        <v>186</v>
      </c>
      <c r="B20" s="143">
        <v>38.36</v>
      </c>
      <c r="C20" s="144" t="s">
        <v>172</v>
      </c>
      <c r="D20" s="145" t="s">
        <v>172</v>
      </c>
      <c r="E20" s="143">
        <v>41.62</v>
      </c>
      <c r="F20" s="144" t="s">
        <v>172</v>
      </c>
      <c r="G20" s="145" t="s">
        <v>172</v>
      </c>
      <c r="H20" s="143">
        <v>46.94</v>
      </c>
      <c r="I20" s="144" t="s">
        <v>172</v>
      </c>
      <c r="J20" s="145" t="s">
        <v>172</v>
      </c>
      <c r="K20" s="143">
        <v>39.89</v>
      </c>
      <c r="L20" s="144" t="s">
        <v>172</v>
      </c>
      <c r="M20" s="145" t="s">
        <v>172</v>
      </c>
      <c r="N20" s="143">
        <v>18.899999999999999</v>
      </c>
      <c r="O20" s="144" t="s">
        <v>172</v>
      </c>
      <c r="P20" s="146" t="s">
        <v>172</v>
      </c>
      <c r="Q20" s="147" t="s">
        <v>187</v>
      </c>
      <c r="R20" s="148"/>
      <c r="S20" s="149"/>
      <c r="T20"/>
      <c r="U20"/>
      <c r="V20"/>
    </row>
    <row r="21" spans="1:22" s="141" customFormat="1" ht="15.75" x14ac:dyDescent="0.25">
      <c r="A21" s="142" t="s">
        <v>188</v>
      </c>
      <c r="B21" s="143">
        <v>37.29</v>
      </c>
      <c r="C21" s="144" t="s">
        <v>172</v>
      </c>
      <c r="D21" s="145" t="s">
        <v>172</v>
      </c>
      <c r="E21" s="143">
        <v>40.29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39.56</v>
      </c>
      <c r="L21" s="144" t="s">
        <v>172</v>
      </c>
      <c r="M21" s="145" t="s">
        <v>172</v>
      </c>
      <c r="N21" s="143">
        <v>18.95</v>
      </c>
      <c r="O21" s="144" t="s">
        <v>172</v>
      </c>
      <c r="P21" s="146" t="s">
        <v>172</v>
      </c>
      <c r="Q21" s="147" t="s">
        <v>189</v>
      </c>
      <c r="R21" s="148"/>
      <c r="S21" s="150"/>
      <c r="U21"/>
      <c r="V21"/>
    </row>
    <row r="22" spans="1:22" s="141" customFormat="1" ht="15.75" x14ac:dyDescent="0.25">
      <c r="A22" s="142" t="s">
        <v>190</v>
      </c>
      <c r="B22" s="143">
        <v>37.99</v>
      </c>
      <c r="C22" s="144" t="s">
        <v>172</v>
      </c>
      <c r="D22" s="145" t="s">
        <v>172</v>
      </c>
      <c r="E22" s="143">
        <v>40.96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39.869999999999997</v>
      </c>
      <c r="L22" s="144" t="s">
        <v>172</v>
      </c>
      <c r="M22" s="145" t="s">
        <v>172</v>
      </c>
      <c r="N22" s="143">
        <v>18.95</v>
      </c>
      <c r="O22" s="144" t="s">
        <v>172</v>
      </c>
      <c r="P22" s="146" t="s">
        <v>172</v>
      </c>
      <c r="Q22" s="147" t="s">
        <v>191</v>
      </c>
      <c r="R22" s="148"/>
      <c r="S22" s="150"/>
      <c r="U22"/>
      <c r="V22"/>
    </row>
    <row r="23" spans="1:22" s="141" customFormat="1" ht="15.75" x14ac:dyDescent="0.25">
      <c r="A23" s="142" t="s">
        <v>192</v>
      </c>
      <c r="B23" s="151">
        <v>37.71</v>
      </c>
      <c r="C23" s="144" t="s">
        <v>172</v>
      </c>
      <c r="D23" s="145" t="s">
        <v>172</v>
      </c>
      <c r="E23" s="143">
        <v>40.549999999999997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40.619999999999997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6" t="s">
        <v>172</v>
      </c>
      <c r="Q23" s="147" t="s">
        <v>193</v>
      </c>
      <c r="R23" s="148"/>
      <c r="S23" s="140"/>
      <c r="U23"/>
      <c r="V23"/>
    </row>
    <row r="24" spans="1:22" s="141" customFormat="1" ht="15.75" x14ac:dyDescent="0.25">
      <c r="A24" s="142" t="s">
        <v>194</v>
      </c>
      <c r="B24" s="143">
        <v>29.25</v>
      </c>
      <c r="C24" s="144" t="s">
        <v>172</v>
      </c>
      <c r="D24" s="145" t="s">
        <v>172</v>
      </c>
      <c r="E24" s="143">
        <v>30</v>
      </c>
      <c r="F24" s="144" t="s">
        <v>172</v>
      </c>
      <c r="G24" s="145" t="s">
        <v>172</v>
      </c>
      <c r="H24" s="143">
        <v>33.950000000000003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12.67</v>
      </c>
      <c r="O24" s="144" t="s">
        <v>172</v>
      </c>
      <c r="P24" s="146" t="s">
        <v>172</v>
      </c>
      <c r="Q24" s="147" t="s">
        <v>41</v>
      </c>
      <c r="R24" s="148"/>
      <c r="S24" s="140"/>
      <c r="U24"/>
      <c r="V24"/>
    </row>
    <row r="25" spans="1:22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1.2250000000000001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1.1299999999999999</v>
      </c>
      <c r="L25" s="144" t="s">
        <v>172</v>
      </c>
      <c r="M25" s="145" t="s">
        <v>172</v>
      </c>
      <c r="N25" s="153">
        <v>0.55500000000000005</v>
      </c>
      <c r="O25" s="144" t="s">
        <v>172</v>
      </c>
      <c r="P25" s="146" t="s">
        <v>172</v>
      </c>
      <c r="Q25" s="147" t="s">
        <v>45</v>
      </c>
      <c r="R25" s="154" t="s">
        <v>196</v>
      </c>
      <c r="S25" s="140"/>
      <c r="T25" s="155"/>
      <c r="U25"/>
      <c r="V25"/>
    </row>
    <row r="26" spans="1:22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1.208</v>
      </c>
      <c r="F26" s="144" t="s">
        <v>172</v>
      </c>
      <c r="G26" s="145" t="s">
        <v>172</v>
      </c>
      <c r="H26" s="153">
        <v>1.2789999999999999</v>
      </c>
      <c r="I26" s="144" t="s">
        <v>172</v>
      </c>
      <c r="J26" s="145" t="s">
        <v>172</v>
      </c>
      <c r="K26" s="153">
        <v>1.137</v>
      </c>
      <c r="L26" s="144" t="s">
        <v>172</v>
      </c>
      <c r="M26" s="145" t="s">
        <v>172</v>
      </c>
      <c r="N26" s="153">
        <v>0.54900000000000004</v>
      </c>
      <c r="O26" s="144" t="s">
        <v>172</v>
      </c>
      <c r="P26" s="146" t="s">
        <v>172</v>
      </c>
      <c r="Q26" s="147" t="s">
        <v>48</v>
      </c>
      <c r="R26" s="154" t="s">
        <v>196</v>
      </c>
      <c r="S26" s="140"/>
      <c r="T26" s="155"/>
      <c r="U26"/>
      <c r="V26"/>
    </row>
    <row r="27" spans="1:22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4.55</v>
      </c>
      <c r="F27" s="158" t="s">
        <v>172</v>
      </c>
      <c r="G27" s="159" t="s">
        <v>172</v>
      </c>
      <c r="H27" s="160">
        <v>4.95</v>
      </c>
      <c r="I27" s="158" t="s">
        <v>172</v>
      </c>
      <c r="J27" s="159" t="s">
        <v>172</v>
      </c>
      <c r="K27" s="160">
        <v>4.45</v>
      </c>
      <c r="L27" s="158" t="s">
        <v>172</v>
      </c>
      <c r="M27" s="159" t="s">
        <v>172</v>
      </c>
      <c r="N27" s="160">
        <v>2.02</v>
      </c>
      <c r="O27" s="158" t="s">
        <v>172</v>
      </c>
      <c r="P27" s="161" t="s">
        <v>172</v>
      </c>
      <c r="Q27" s="162" t="s">
        <v>51</v>
      </c>
      <c r="R27" s="163" t="s">
        <v>50</v>
      </c>
      <c r="S27" s="164"/>
    </row>
    <row r="28" spans="1:22" s="93" customFormat="1" ht="33" customHeight="1" x14ac:dyDescent="0.25">
      <c r="A28" s="504" t="s">
        <v>199</v>
      </c>
      <c r="B28" s="505"/>
      <c r="C28" s="505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164"/>
    </row>
    <row r="29" spans="1:22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2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2" s="141" customFormat="1" ht="15.75" customHeight="1" x14ac:dyDescent="0.25">
      <c r="A31" s="173" t="s">
        <v>202</v>
      </c>
      <c r="B31" s="174">
        <v>7.2567000000000004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2" s="141" customFormat="1" ht="15.75" x14ac:dyDescent="0.25">
      <c r="A32" s="176" t="s">
        <v>204</v>
      </c>
      <c r="B32" s="174">
        <v>1.9593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2.4085999999999999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5.7785000000000002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3.4624999999999999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R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</hyperlinks>
  <pageMargins left="0.25" right="0.25" top="0.75" bottom="0.75" header="0.3" footer="0.3"/>
  <pageSetup paperSize="9" orientation="landscape" r:id="rId1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2"/>
  <sheetViews>
    <sheetView workbookViewId="0">
      <selection activeCell="A29" sqref="A29:P29"/>
    </sheetView>
  </sheetViews>
  <sheetFormatPr defaultColWidth="9.140625" defaultRowHeight="15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/>
    <col min="18" max="18" width="41.7109375" customWidth="1"/>
    <col min="19" max="19" width="15.28515625" customWidth="1"/>
    <col min="20" max="21" width="9.140625" customWidth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43164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0.61700066289327415</v>
      </c>
      <c r="C6" s="103" t="s">
        <v>172</v>
      </c>
      <c r="D6" s="104" t="s">
        <v>172</v>
      </c>
      <c r="E6" s="102">
        <f>E19/$B$32</f>
        <v>0.65779409515068077</v>
      </c>
      <c r="F6" s="103" t="s">
        <v>172</v>
      </c>
      <c r="G6" s="104" t="s">
        <v>172</v>
      </c>
      <c r="H6" s="102">
        <f>H19/$B$32</f>
        <v>0.71388506450461464</v>
      </c>
      <c r="I6" s="103" t="s">
        <v>172</v>
      </c>
      <c r="J6" s="104" t="s">
        <v>172</v>
      </c>
      <c r="K6" s="102">
        <f>K19/$B$32</f>
        <v>0.66799245321503242</v>
      </c>
      <c r="L6" s="103" t="s">
        <v>172</v>
      </c>
      <c r="M6" s="104" t="s">
        <v>172</v>
      </c>
      <c r="N6" s="102">
        <f>N19/$B$32</f>
        <v>0.36204171128448315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0.67528504410789858</v>
      </c>
      <c r="C7" s="107">
        <f>B7-B$6</f>
        <v>5.8284381214624426E-2</v>
      </c>
      <c r="D7" s="108">
        <f>B7/B$6*100</f>
        <v>109.44640495867768</v>
      </c>
      <c r="E7" s="102">
        <f t="shared" ref="E7:E10" si="0">E20*$B$35/100/$B$32</f>
        <v>0.73289480393656625</v>
      </c>
      <c r="F7" s="107">
        <f>E7-E$6</f>
        <v>7.5100708785885484E-2</v>
      </c>
      <c r="G7" s="108">
        <f>E7/E$6*100</f>
        <v>111.4170542635659</v>
      </c>
      <c r="H7" s="102">
        <f t="shared" ref="H7:H10" si="1">H20*$B$35/100/$B$32</f>
        <v>0.82785401050430885</v>
      </c>
      <c r="I7" s="107">
        <f t="shared" ref="I7:I14" si="2">H7-H$6</f>
        <v>0.1139689459996942</v>
      </c>
      <c r="J7" s="108">
        <f t="shared" ref="J7:J14" si="3">H7/H$6*100</f>
        <v>115.96460714285716</v>
      </c>
      <c r="K7" s="102">
        <f t="shared" ref="K7:K10" si="4">K20*$B$35/100/$B$32</f>
        <v>0.70100683289990295</v>
      </c>
      <c r="L7" s="107">
        <f t="shared" ref="L7:L14" si="5">K7-K$6</f>
        <v>3.3014379684870532E-2</v>
      </c>
      <c r="M7" s="108">
        <f t="shared" ref="M7:M14" si="6">K7/K$6*100</f>
        <v>104.94232824427479</v>
      </c>
      <c r="N7" s="102">
        <f t="shared" ref="N7:N10" si="7">N20*$B$35/100/$B$32</f>
        <v>0.33632119728723675</v>
      </c>
      <c r="O7" s="107">
        <f t="shared" ref="O7:O14" si="8">N7-N$6</f>
        <v>-2.5720513997246397E-2</v>
      </c>
      <c r="P7" s="108">
        <f t="shared" ref="P7:P14" si="9">N7/N$6*100</f>
        <v>92.895704225352134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0.65696267400948438</v>
      </c>
      <c r="C8" s="107">
        <f t="shared" ref="C8:C11" si="11">B8-B$6</f>
        <v>3.9962011116210228E-2</v>
      </c>
      <c r="D8" s="108">
        <f t="shared" ref="D8:D11" si="12">B8/B$6*100</f>
        <v>106.47681818181817</v>
      </c>
      <c r="E8" s="102">
        <f t="shared" si="0"/>
        <v>0.70981566467798696</v>
      </c>
      <c r="F8" s="107">
        <f t="shared" ref="F8:F14" si="13">E8-E$6</f>
        <v>5.2021569527306188E-2</v>
      </c>
      <c r="G8" s="108">
        <f t="shared" ref="G8:G14" si="14">E8/E$6*100</f>
        <v>107.90848837209303</v>
      </c>
      <c r="H8" s="102">
        <f t="shared" si="1"/>
        <v>0.78750956096068536</v>
      </c>
      <c r="I8" s="107">
        <f t="shared" si="2"/>
        <v>7.362449645607072E-2</v>
      </c>
      <c r="J8" s="108">
        <f t="shared" si="3"/>
        <v>110.3132142857143</v>
      </c>
      <c r="K8" s="102">
        <f t="shared" si="4"/>
        <v>0.70347330579776646</v>
      </c>
      <c r="L8" s="107">
        <f t="shared" si="5"/>
        <v>3.5480852582734035E-2</v>
      </c>
      <c r="M8" s="108">
        <f t="shared" si="6"/>
        <v>105.31156488549615</v>
      </c>
      <c r="N8" s="102">
        <f t="shared" si="7"/>
        <v>0.3338547243893733</v>
      </c>
      <c r="O8" s="107">
        <f t="shared" si="8"/>
        <v>-2.8186986895109845E-2</v>
      </c>
      <c r="P8" s="108">
        <f t="shared" si="9"/>
        <v>92.214436619718327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0.66859033195655504</v>
      </c>
      <c r="C9" s="107">
        <f t="shared" si="11"/>
        <v>5.1589669063280885E-2</v>
      </c>
      <c r="D9" s="108">
        <f t="shared" si="12"/>
        <v>108.36136363636363</v>
      </c>
      <c r="E9" s="102">
        <f t="shared" si="0"/>
        <v>0.72232420580286572</v>
      </c>
      <c r="F9" s="107">
        <f t="shared" si="13"/>
        <v>6.4530110652184947E-2</v>
      </c>
      <c r="G9" s="108">
        <f t="shared" si="14"/>
        <v>109.81007751937983</v>
      </c>
      <c r="H9" s="102">
        <f t="shared" si="1"/>
        <v>0.78046249553821834</v>
      </c>
      <c r="I9" s="107">
        <f t="shared" si="2"/>
        <v>6.6577431033603696E-2</v>
      </c>
      <c r="J9" s="108">
        <f t="shared" si="3"/>
        <v>109.32607142857145</v>
      </c>
      <c r="K9" s="102">
        <f t="shared" si="4"/>
        <v>0.70241624598439634</v>
      </c>
      <c r="L9" s="107">
        <f t="shared" si="5"/>
        <v>3.4423792769363915E-2</v>
      </c>
      <c r="M9" s="108">
        <f t="shared" si="6"/>
        <v>105.15332061068699</v>
      </c>
      <c r="N9" s="102">
        <f t="shared" si="7"/>
        <v>0.3338547243893733</v>
      </c>
      <c r="O9" s="107">
        <f t="shared" si="8"/>
        <v>-2.8186986895109845E-2</v>
      </c>
      <c r="P9" s="108">
        <f t="shared" si="9"/>
        <v>92.214436619718327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0.66436209270307467</v>
      </c>
      <c r="C10" s="107">
        <f t="shared" si="11"/>
        <v>4.7361429809800515E-2</v>
      </c>
      <c r="D10" s="108">
        <f t="shared" si="12"/>
        <v>107.67607438016526</v>
      </c>
      <c r="E10" s="102">
        <f t="shared" si="0"/>
        <v>0.72073861608281053</v>
      </c>
      <c r="F10" s="107">
        <f t="shared" si="13"/>
        <v>6.2944520932129766E-2</v>
      </c>
      <c r="G10" s="108">
        <f t="shared" si="14"/>
        <v>109.5690310077519</v>
      </c>
      <c r="H10" s="102">
        <f t="shared" si="1"/>
        <v>0.80424634133904449</v>
      </c>
      <c r="I10" s="107">
        <f t="shared" si="2"/>
        <v>9.0361276834429849E-2</v>
      </c>
      <c r="J10" s="108">
        <f t="shared" si="3"/>
        <v>112.6576785714286</v>
      </c>
      <c r="K10" s="102">
        <f t="shared" si="4"/>
        <v>0.71598184692264544</v>
      </c>
      <c r="L10" s="107">
        <f t="shared" si="5"/>
        <v>4.7989393707613015E-2</v>
      </c>
      <c r="M10" s="108">
        <f t="shared" si="6"/>
        <v>107.18412213740459</v>
      </c>
      <c r="N10" s="102">
        <f t="shared" si="7"/>
        <v>0.31095176176635558</v>
      </c>
      <c r="O10" s="107">
        <f t="shared" si="8"/>
        <v>-5.1089949518127564E-2</v>
      </c>
      <c r="P10" s="108">
        <f t="shared" si="9"/>
        <v>85.888380281690146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1.0946538167355055</v>
      </c>
      <c r="C11" s="107">
        <f t="shared" si="11"/>
        <v>0.47765315384223139</v>
      </c>
      <c r="D11" s="108">
        <f t="shared" si="12"/>
        <v>177.41533884297519</v>
      </c>
      <c r="E11" s="102">
        <f>E24*$B$31/100/$B$32</f>
        <v>1.1227699250420682</v>
      </c>
      <c r="F11" s="107">
        <f t="shared" si="13"/>
        <v>0.46497582989138742</v>
      </c>
      <c r="G11" s="108">
        <f t="shared" si="14"/>
        <v>170.6871395348837</v>
      </c>
      <c r="H11" s="102">
        <f>H24*$B$31/100/$B$32</f>
        <v>1.2708480954566312</v>
      </c>
      <c r="I11" s="107">
        <f t="shared" si="2"/>
        <v>0.5569630309520166</v>
      </c>
      <c r="J11" s="108">
        <f t="shared" si="3"/>
        <v>178.01858571428571</v>
      </c>
      <c r="K11" s="102">
        <f>K24*$B$31/100/$B$32</f>
        <v>0.96869365152210485</v>
      </c>
      <c r="L11" s="107">
        <f t="shared" si="5"/>
        <v>0.30070119830707243</v>
      </c>
      <c r="M11" s="108">
        <f t="shared" si="6"/>
        <v>145.01565801526715</v>
      </c>
      <c r="N11" s="102">
        <f>N24*$B$31/100/$B$32</f>
        <v>0.50234113507725253</v>
      </c>
      <c r="O11" s="107">
        <f t="shared" si="8"/>
        <v>0.14029942379276938</v>
      </c>
      <c r="P11" s="108">
        <f t="shared" si="9"/>
        <v>138.75228169014088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1.5137048595176177</v>
      </c>
      <c r="F12" s="107">
        <f t="shared" si="13"/>
        <v>0.85591076436693692</v>
      </c>
      <c r="G12" s="108">
        <f t="shared" si="14"/>
        <v>230.11834108527131</v>
      </c>
      <c r="H12" s="102">
        <f t="shared" ref="H12:H13" si="15">H25*$B$33/$B$32</f>
        <v>1.5814459232063638</v>
      </c>
      <c r="I12" s="107">
        <f t="shared" si="2"/>
        <v>0.86756085870174915</v>
      </c>
      <c r="J12" s="108">
        <f t="shared" si="3"/>
        <v>221.52668571428572</v>
      </c>
      <c r="K12" s="102">
        <f t="shared" ref="K12:K13" si="16">K25*$B$33/$B$32</f>
        <v>1.3966975676916014</v>
      </c>
      <c r="L12" s="107">
        <f t="shared" si="5"/>
        <v>0.72870511447656894</v>
      </c>
      <c r="M12" s="108">
        <f t="shared" si="6"/>
        <v>209.08882442748086</v>
      </c>
      <c r="N12" s="102">
        <f t="shared" ref="N12:N13" si="17">N25*$B$33/$B$32</f>
        <v>0.68356891540461995</v>
      </c>
      <c r="O12" s="107">
        <f t="shared" si="8"/>
        <v>0.3215272041201368</v>
      </c>
      <c r="P12" s="108">
        <f t="shared" si="9"/>
        <v>188.80943661971835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1.4841451226352558</v>
      </c>
      <c r="F13" s="107">
        <f t="shared" si="13"/>
        <v>0.82635102748457501</v>
      </c>
      <c r="G13" s="108">
        <f t="shared" si="14"/>
        <v>225.62457364341086</v>
      </c>
      <c r="H13" s="102">
        <f t="shared" si="15"/>
        <v>1.5728243332823415</v>
      </c>
      <c r="I13" s="107">
        <f t="shared" si="2"/>
        <v>0.85893926877772686</v>
      </c>
      <c r="J13" s="108">
        <f t="shared" si="3"/>
        <v>220.31898571428576</v>
      </c>
      <c r="K13" s="102">
        <f t="shared" si="16"/>
        <v>1.3991608790984651</v>
      </c>
      <c r="L13" s="107">
        <f t="shared" si="5"/>
        <v>0.73116842588343267</v>
      </c>
      <c r="M13" s="108">
        <f t="shared" si="6"/>
        <v>209.45758778625952</v>
      </c>
      <c r="N13" s="102">
        <f t="shared" si="17"/>
        <v>0.67617898118402942</v>
      </c>
      <c r="O13" s="107">
        <f t="shared" si="8"/>
        <v>0.31413726989954627</v>
      </c>
      <c r="P13" s="108">
        <f t="shared" si="9"/>
        <v>186.76825352112681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1.3412366528988833</v>
      </c>
      <c r="F14" s="119">
        <f t="shared" si="13"/>
        <v>0.68344255774820251</v>
      </c>
      <c r="G14" s="120">
        <f t="shared" si="14"/>
        <v>203.89916279069769</v>
      </c>
      <c r="H14" s="118">
        <f>H27*$B$34/10/$B$32</f>
        <v>1.4324172148284127</v>
      </c>
      <c r="I14" s="119">
        <f t="shared" si="2"/>
        <v>0.71853215032379802</v>
      </c>
      <c r="J14" s="120">
        <f t="shared" si="3"/>
        <v>200.65095714285718</v>
      </c>
      <c r="K14" s="118">
        <f>K27*$B$34/10/$B$32</f>
        <v>1.3147648768548261</v>
      </c>
      <c r="L14" s="119">
        <f t="shared" si="5"/>
        <v>0.6467724236397937</v>
      </c>
      <c r="M14" s="120">
        <f t="shared" si="6"/>
        <v>196.82331297709919</v>
      </c>
      <c r="N14" s="118">
        <f>N27*$B$34/10/$B$32</f>
        <v>0.57943776451991236</v>
      </c>
      <c r="O14" s="119">
        <f t="shared" si="8"/>
        <v>0.21739605323542921</v>
      </c>
      <c r="P14" s="120">
        <f t="shared" si="9"/>
        <v>160.04723943661975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2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2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3"/>
      <c r="Q18" s="130" t="s">
        <v>183</v>
      </c>
      <c r="R18" s="131" t="s">
        <v>184</v>
      </c>
      <c r="S18" s="132"/>
    </row>
    <row r="19" spans="1:22" s="141" customFormat="1" ht="15.75" x14ac:dyDescent="0.25">
      <c r="A19" s="133" t="s">
        <v>185</v>
      </c>
      <c r="B19" s="134">
        <v>1.21</v>
      </c>
      <c r="C19" s="135" t="s">
        <v>172</v>
      </c>
      <c r="D19" s="136" t="s">
        <v>172</v>
      </c>
      <c r="E19" s="134">
        <v>1.29</v>
      </c>
      <c r="F19" s="135" t="s">
        <v>172</v>
      </c>
      <c r="G19" s="136" t="s">
        <v>172</v>
      </c>
      <c r="H19" s="134">
        <v>1.4</v>
      </c>
      <c r="I19" s="135" t="s">
        <v>172</v>
      </c>
      <c r="J19" s="136" t="s">
        <v>172</v>
      </c>
      <c r="K19" s="134">
        <v>1.31</v>
      </c>
      <c r="L19" s="135" t="s">
        <v>172</v>
      </c>
      <c r="M19" s="136" t="s">
        <v>172</v>
      </c>
      <c r="N19" s="134">
        <v>0.71</v>
      </c>
      <c r="O19" s="135" t="s">
        <v>172</v>
      </c>
      <c r="P19" s="137" t="s">
        <v>172</v>
      </c>
      <c r="Q19" s="138" t="s">
        <v>32</v>
      </c>
      <c r="R19" s="139"/>
      <c r="S19" s="140"/>
      <c r="T19"/>
      <c r="U19"/>
      <c r="V19"/>
    </row>
    <row r="20" spans="1:22" s="141" customFormat="1" ht="15.75" x14ac:dyDescent="0.25">
      <c r="A20" s="142" t="s">
        <v>186</v>
      </c>
      <c r="B20" s="143">
        <v>38.33</v>
      </c>
      <c r="C20" s="144" t="s">
        <v>172</v>
      </c>
      <c r="D20" s="145" t="s">
        <v>172</v>
      </c>
      <c r="E20" s="143">
        <v>41.6</v>
      </c>
      <c r="F20" s="144" t="s">
        <v>172</v>
      </c>
      <c r="G20" s="145" t="s">
        <v>172</v>
      </c>
      <c r="H20" s="143">
        <v>46.99</v>
      </c>
      <c r="I20" s="144" t="s">
        <v>172</v>
      </c>
      <c r="J20" s="145" t="s">
        <v>172</v>
      </c>
      <c r="K20" s="143">
        <v>39.79</v>
      </c>
      <c r="L20" s="144" t="s">
        <v>172</v>
      </c>
      <c r="M20" s="145" t="s">
        <v>172</v>
      </c>
      <c r="N20" s="143">
        <v>19.09</v>
      </c>
      <c r="O20" s="144" t="s">
        <v>172</v>
      </c>
      <c r="P20" s="146" t="s">
        <v>172</v>
      </c>
      <c r="Q20" s="147" t="s">
        <v>187</v>
      </c>
      <c r="R20" s="148"/>
      <c r="S20" s="149"/>
      <c r="T20"/>
      <c r="U20"/>
      <c r="V20"/>
    </row>
    <row r="21" spans="1:22" s="141" customFormat="1" ht="15.75" x14ac:dyDescent="0.25">
      <c r="A21" s="142" t="s">
        <v>188</v>
      </c>
      <c r="B21" s="143">
        <v>37.29</v>
      </c>
      <c r="C21" s="144" t="s">
        <v>172</v>
      </c>
      <c r="D21" s="145" t="s">
        <v>172</v>
      </c>
      <c r="E21" s="143">
        <v>40.29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39.93</v>
      </c>
      <c r="L21" s="144" t="s">
        <v>172</v>
      </c>
      <c r="M21" s="145" t="s">
        <v>172</v>
      </c>
      <c r="N21" s="143">
        <v>18.95</v>
      </c>
      <c r="O21" s="144" t="s">
        <v>172</v>
      </c>
      <c r="P21" s="146" t="s">
        <v>172</v>
      </c>
      <c r="Q21" s="147" t="s">
        <v>189</v>
      </c>
      <c r="R21" s="148"/>
      <c r="S21" s="150"/>
      <c r="U21"/>
      <c r="V21"/>
    </row>
    <row r="22" spans="1:22" s="141" customFormat="1" ht="15.75" x14ac:dyDescent="0.25">
      <c r="A22" s="142" t="s">
        <v>190</v>
      </c>
      <c r="B22" s="143">
        <v>37.950000000000003</v>
      </c>
      <c r="C22" s="144" t="s">
        <v>172</v>
      </c>
      <c r="D22" s="145" t="s">
        <v>172</v>
      </c>
      <c r="E22" s="143">
        <v>41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39.869999999999997</v>
      </c>
      <c r="L22" s="144" t="s">
        <v>172</v>
      </c>
      <c r="M22" s="145" t="s">
        <v>172</v>
      </c>
      <c r="N22" s="143">
        <v>18.95</v>
      </c>
      <c r="O22" s="144" t="s">
        <v>172</v>
      </c>
      <c r="P22" s="146" t="s">
        <v>172</v>
      </c>
      <c r="Q22" s="147" t="s">
        <v>191</v>
      </c>
      <c r="R22" s="148"/>
      <c r="S22" s="150"/>
      <c r="U22"/>
      <c r="V22"/>
    </row>
    <row r="23" spans="1:22" s="141" customFormat="1" ht="15.75" x14ac:dyDescent="0.25">
      <c r="A23" s="142" t="s">
        <v>192</v>
      </c>
      <c r="B23" s="151">
        <v>37.71</v>
      </c>
      <c r="C23" s="144" t="s">
        <v>172</v>
      </c>
      <c r="D23" s="145" t="s">
        <v>172</v>
      </c>
      <c r="E23" s="143">
        <v>40.909999999999997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40.64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6" t="s">
        <v>172</v>
      </c>
      <c r="Q23" s="147" t="s">
        <v>193</v>
      </c>
      <c r="R23" s="148"/>
      <c r="S23" s="140"/>
      <c r="U23"/>
      <c r="V23"/>
    </row>
    <row r="24" spans="1:22" s="141" customFormat="1" ht="15.75" x14ac:dyDescent="0.25">
      <c r="A24" s="142" t="s">
        <v>194</v>
      </c>
      <c r="B24" s="143">
        <v>29.2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33.9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13.4</v>
      </c>
      <c r="O24" s="144" t="s">
        <v>172</v>
      </c>
      <c r="P24" s="146" t="s">
        <v>172</v>
      </c>
      <c r="Q24" s="147" t="s">
        <v>41</v>
      </c>
      <c r="R24" s="148"/>
      <c r="S24" s="140"/>
      <c r="U24"/>
      <c r="V24"/>
    </row>
    <row r="25" spans="1:22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1.2290000000000001</v>
      </c>
      <c r="F25" s="144" t="s">
        <v>172</v>
      </c>
      <c r="G25" s="145" t="s">
        <v>172</v>
      </c>
      <c r="H25" s="153">
        <v>1.284</v>
      </c>
      <c r="I25" s="144" t="s">
        <v>172</v>
      </c>
      <c r="J25" s="145" t="s">
        <v>172</v>
      </c>
      <c r="K25" s="153">
        <v>1.1339999999999999</v>
      </c>
      <c r="L25" s="144" t="s">
        <v>172</v>
      </c>
      <c r="M25" s="145" t="s">
        <v>172</v>
      </c>
      <c r="N25" s="153">
        <v>0.55500000000000005</v>
      </c>
      <c r="O25" s="144" t="s">
        <v>172</v>
      </c>
      <c r="P25" s="146" t="s">
        <v>172</v>
      </c>
      <c r="Q25" s="147" t="s">
        <v>45</v>
      </c>
      <c r="R25" s="154" t="s">
        <v>196</v>
      </c>
      <c r="S25" s="140"/>
      <c r="T25" s="155"/>
      <c r="U25"/>
      <c r="V25"/>
    </row>
    <row r="26" spans="1:22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1.2050000000000001</v>
      </c>
      <c r="F26" s="144" t="s">
        <v>172</v>
      </c>
      <c r="G26" s="145" t="s">
        <v>172</v>
      </c>
      <c r="H26" s="153">
        <v>1.2769999999999999</v>
      </c>
      <c r="I26" s="144" t="s">
        <v>172</v>
      </c>
      <c r="J26" s="145" t="s">
        <v>172</v>
      </c>
      <c r="K26" s="153">
        <v>1.1359999999999999</v>
      </c>
      <c r="L26" s="144" t="s">
        <v>172</v>
      </c>
      <c r="M26" s="145" t="s">
        <v>172</v>
      </c>
      <c r="N26" s="153">
        <v>0.54900000000000004</v>
      </c>
      <c r="O26" s="144" t="s">
        <v>172</v>
      </c>
      <c r="P26" s="146" t="s">
        <v>172</v>
      </c>
      <c r="Q26" s="147" t="s">
        <v>48</v>
      </c>
      <c r="R26" s="154" t="s">
        <v>196</v>
      </c>
      <c r="S26" s="140"/>
      <c r="T26" s="155"/>
      <c r="U26"/>
      <c r="V26"/>
    </row>
    <row r="27" spans="1:22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4.5599999999999996</v>
      </c>
      <c r="F27" s="158" t="s">
        <v>172</v>
      </c>
      <c r="G27" s="159" t="s">
        <v>172</v>
      </c>
      <c r="H27" s="160">
        <v>4.87</v>
      </c>
      <c r="I27" s="158" t="s">
        <v>172</v>
      </c>
      <c r="J27" s="159" t="s">
        <v>172</v>
      </c>
      <c r="K27" s="160">
        <v>4.47</v>
      </c>
      <c r="L27" s="158" t="s">
        <v>172</v>
      </c>
      <c r="M27" s="159" t="s">
        <v>172</v>
      </c>
      <c r="N27" s="160">
        <v>1.97</v>
      </c>
      <c r="O27" s="158" t="s">
        <v>172</v>
      </c>
      <c r="P27" s="161" t="s">
        <v>172</v>
      </c>
      <c r="Q27" s="162" t="s">
        <v>51</v>
      </c>
      <c r="R27" s="163" t="s">
        <v>50</v>
      </c>
      <c r="S27" s="164"/>
    </row>
    <row r="28" spans="1:22" s="93" customFormat="1" ht="33" customHeight="1" x14ac:dyDescent="0.25">
      <c r="A28" s="504" t="s">
        <v>199</v>
      </c>
      <c r="B28" s="505"/>
      <c r="C28" s="505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164"/>
    </row>
    <row r="29" spans="1:22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2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2" s="141" customFormat="1" ht="15.75" customHeight="1" x14ac:dyDescent="0.25">
      <c r="A31" s="173" t="s">
        <v>202</v>
      </c>
      <c r="B31" s="174">
        <v>7.3517999999999999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2" s="141" customFormat="1" ht="15.75" x14ac:dyDescent="0.25">
      <c r="A32" s="176" t="s">
        <v>204</v>
      </c>
      <c r="B32" s="174">
        <v>1.9611000000000001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2.4154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5.7682000000000002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3.4550000000000001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R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</hyperlinks>
  <pageMargins left="0.25" right="0.25" top="0.75" bottom="0.75" header="0.3" footer="0.3"/>
  <pageSetup paperSize="9" orientation="landscape" r:id="rId1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42"/>
  <sheetViews>
    <sheetView workbookViewId="0">
      <selection activeCell="A29" sqref="A29:P29"/>
    </sheetView>
  </sheetViews>
  <sheetFormatPr defaultColWidth="9.140625" defaultRowHeight="15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/>
    <col min="18" max="18" width="41.7109375" customWidth="1"/>
    <col min="19" max="19" width="15.28515625" customWidth="1"/>
    <col min="20" max="21" width="9.140625" customWidth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43171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0.62279850936750214</v>
      </c>
      <c r="C6" s="103" t="s">
        <v>172</v>
      </c>
      <c r="D6" s="104" t="s">
        <v>172</v>
      </c>
      <c r="E6" s="102">
        <f>E19/$B$32</f>
        <v>0.6636377558834039</v>
      </c>
      <c r="F6" s="103" t="s">
        <v>172</v>
      </c>
      <c r="G6" s="104" t="s">
        <v>172</v>
      </c>
      <c r="H6" s="102">
        <f>H19/$B$32</f>
        <v>0.7197917198427688</v>
      </c>
      <c r="I6" s="103" t="s">
        <v>172</v>
      </c>
      <c r="J6" s="104" t="s">
        <v>172</v>
      </c>
      <c r="K6" s="102">
        <f>K19/$B$32</f>
        <v>0.67895247332686715</v>
      </c>
      <c r="L6" s="103" t="s">
        <v>172</v>
      </c>
      <c r="M6" s="104" t="s">
        <v>172</v>
      </c>
      <c r="N6" s="102">
        <f>N19/$B$32</f>
        <v>0.36244831282862827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0.67365671550359896</v>
      </c>
      <c r="C7" s="107">
        <f>B7-B$6</f>
        <v>5.0858206136096817E-2</v>
      </c>
      <c r="D7" s="108">
        <f>B7/B$6*100</f>
        <v>108.16607704918033</v>
      </c>
      <c r="E7" s="102">
        <f t="shared" ref="E7:E10" si="0">E20*$B$35/100/$B$32</f>
        <v>0.73033752616264225</v>
      </c>
      <c r="F7" s="107">
        <f>E7-E$6</f>
        <v>6.6699770279238346E-2</v>
      </c>
      <c r="G7" s="108">
        <f>E7/E$6*100</f>
        <v>110.05062923076923</v>
      </c>
      <c r="H7" s="102">
        <f t="shared" ref="H7:H10" si="1">H20*$B$35/100/$B$32</f>
        <v>0.82961695849711559</v>
      </c>
      <c r="I7" s="107">
        <f t="shared" ref="I7:I14" si="2">H7-H$6</f>
        <v>0.10982523865434679</v>
      </c>
      <c r="J7" s="108">
        <f t="shared" ref="J7:J14" si="3">H7/H$6*100</f>
        <v>115.25791914893617</v>
      </c>
      <c r="K7" s="102">
        <f t="shared" ref="K7:K10" si="4">K20*$B$35/100/$B$32</f>
        <v>0.70111698402164468</v>
      </c>
      <c r="L7" s="107">
        <f t="shared" ref="L7:L14" si="5">K7-K$6</f>
        <v>2.2164510694777539E-2</v>
      </c>
      <c r="M7" s="108">
        <f t="shared" ref="M7:M14" si="6">K7/K$6*100</f>
        <v>103.26451578947366</v>
      </c>
      <c r="N7" s="102">
        <f t="shared" ref="N7:N10" si="7">N20*$B$35/100/$B$32</f>
        <v>0.32389034662310479</v>
      </c>
      <c r="O7" s="107">
        <f t="shared" ref="O7:O14" si="8">N7-N$6</f>
        <v>-3.8557966205523486E-2</v>
      </c>
      <c r="P7" s="108">
        <f t="shared" ref="P7:P14" si="9">N7/N$6*100</f>
        <v>89.361802816901417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0.65358959620195001</v>
      </c>
      <c r="C8" s="107">
        <f t="shared" ref="C8:C11" si="11">B8-B$6</f>
        <v>3.0791086834447867E-2</v>
      </c>
      <c r="D8" s="108">
        <f t="shared" ref="D8:D11" si="12">B8/B$6*100</f>
        <v>104.94398852459015</v>
      </c>
      <c r="E8" s="102">
        <f t="shared" si="0"/>
        <v>0.70692588697738512</v>
      </c>
      <c r="F8" s="107">
        <f t="shared" ref="F8:F14" si="13">E8-E$6</f>
        <v>4.3288131093981219E-2</v>
      </c>
      <c r="G8" s="108">
        <f t="shared" ref="G8:G14" si="14">E8/E$6*100</f>
        <v>106.52285538461537</v>
      </c>
      <c r="H8" s="102">
        <f t="shared" si="1"/>
        <v>0.78684230945939049</v>
      </c>
      <c r="I8" s="107">
        <f t="shared" si="2"/>
        <v>6.7050589616621692E-2</v>
      </c>
      <c r="J8" s="108">
        <f t="shared" si="3"/>
        <v>109.31527659574469</v>
      </c>
      <c r="K8" s="102">
        <f t="shared" si="4"/>
        <v>0.69354780744295264</v>
      </c>
      <c r="L8" s="107">
        <f t="shared" si="5"/>
        <v>1.459533411608549E-2</v>
      </c>
      <c r="M8" s="108">
        <f t="shared" si="6"/>
        <v>102.1496842105263</v>
      </c>
      <c r="N8" s="102">
        <f t="shared" si="7"/>
        <v>0.30276706314768487</v>
      </c>
      <c r="O8" s="107">
        <f t="shared" si="8"/>
        <v>-5.9681249680943405E-2</v>
      </c>
      <c r="P8" s="108">
        <f t="shared" si="9"/>
        <v>83.533859154929573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0.66802383991015368</v>
      </c>
      <c r="C9" s="107">
        <f t="shared" si="11"/>
        <v>4.5225330542651543E-2</v>
      </c>
      <c r="D9" s="108">
        <f t="shared" si="12"/>
        <v>107.261631147541</v>
      </c>
      <c r="E9" s="102">
        <f t="shared" si="0"/>
        <v>0.72083204859870331</v>
      </c>
      <c r="F9" s="107">
        <f t="shared" si="13"/>
        <v>5.7194292715299411E-2</v>
      </c>
      <c r="G9" s="108">
        <f t="shared" si="14"/>
        <v>108.6183</v>
      </c>
      <c r="H9" s="102">
        <f t="shared" si="1"/>
        <v>0.77980121496758381</v>
      </c>
      <c r="I9" s="107">
        <f t="shared" si="2"/>
        <v>6.0009495124815015E-2</v>
      </c>
      <c r="J9" s="108">
        <f t="shared" si="3"/>
        <v>108.33706382978725</v>
      </c>
      <c r="K9" s="102">
        <f t="shared" si="4"/>
        <v>0.70146903874623523</v>
      </c>
      <c r="L9" s="107">
        <f t="shared" si="5"/>
        <v>2.2516565419368084E-2</v>
      </c>
      <c r="M9" s="108">
        <f t="shared" si="6"/>
        <v>103.31636842105266</v>
      </c>
      <c r="N9" s="102">
        <f t="shared" si="7"/>
        <v>0.30276706314768487</v>
      </c>
      <c r="O9" s="107">
        <f t="shared" si="8"/>
        <v>-5.9681249680943405E-2</v>
      </c>
      <c r="P9" s="108">
        <f t="shared" si="9"/>
        <v>83.533859154929573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0.6637991832150697</v>
      </c>
      <c r="C10" s="107">
        <f t="shared" si="11"/>
        <v>4.1000673847567559E-2</v>
      </c>
      <c r="D10" s="108">
        <f t="shared" si="12"/>
        <v>106.58329672131148</v>
      </c>
      <c r="E10" s="102">
        <f t="shared" si="0"/>
        <v>0.71379095410689664</v>
      </c>
      <c r="F10" s="107">
        <f t="shared" si="13"/>
        <v>5.0153198223492734E-2</v>
      </c>
      <c r="G10" s="108">
        <f t="shared" si="14"/>
        <v>107.55731538461536</v>
      </c>
      <c r="H10" s="102">
        <f t="shared" si="1"/>
        <v>0.80356490887743115</v>
      </c>
      <c r="I10" s="107">
        <f t="shared" si="2"/>
        <v>8.3773189034662354E-2</v>
      </c>
      <c r="J10" s="108">
        <f t="shared" si="3"/>
        <v>111.63853191489363</v>
      </c>
      <c r="K10" s="102">
        <f t="shared" si="4"/>
        <v>0.7153752003675532</v>
      </c>
      <c r="L10" s="107">
        <f t="shared" si="5"/>
        <v>3.6422727040686054E-2</v>
      </c>
      <c r="M10" s="108">
        <f t="shared" si="6"/>
        <v>105.36454736842104</v>
      </c>
      <c r="N10" s="102">
        <f t="shared" si="7"/>
        <v>0.31068829445096735</v>
      </c>
      <c r="O10" s="107">
        <f t="shared" si="8"/>
        <v>-5.1760018377660921E-2</v>
      </c>
      <c r="P10" s="108">
        <f t="shared" si="9"/>
        <v>85.719338028169005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1.1146210628413904</v>
      </c>
      <c r="C11" s="107">
        <f t="shared" si="11"/>
        <v>0.49182255347388826</v>
      </c>
      <c r="D11" s="108">
        <f t="shared" si="12"/>
        <v>178.96977049180325</v>
      </c>
      <c r="E11" s="102">
        <f>E24*$B$31/100/$B$32</f>
        <v>1.1433484098218387</v>
      </c>
      <c r="F11" s="107">
        <f t="shared" si="13"/>
        <v>0.47971065393843482</v>
      </c>
      <c r="G11" s="108">
        <f t="shared" si="14"/>
        <v>172.28501538461538</v>
      </c>
      <c r="H11" s="102">
        <f>H24*$B$31/100/$B$32</f>
        <v>1.279324518862627</v>
      </c>
      <c r="I11" s="107">
        <f t="shared" si="2"/>
        <v>0.5595327990198582</v>
      </c>
      <c r="J11" s="108">
        <f t="shared" si="3"/>
        <v>177.73537588652485</v>
      </c>
      <c r="K11" s="102">
        <f>K24*$B$31/100/$B$32</f>
        <v>0.98592254836898241</v>
      </c>
      <c r="L11" s="107">
        <f t="shared" si="5"/>
        <v>0.30697007504211526</v>
      </c>
      <c r="M11" s="108">
        <f t="shared" si="6"/>
        <v>145.21230676691727</v>
      </c>
      <c r="N11" s="102">
        <f>N24*$B$31/100/$B$32</f>
        <v>0.49755764970136296</v>
      </c>
      <c r="O11" s="107">
        <f t="shared" si="8"/>
        <v>0.13510933687273469</v>
      </c>
      <c r="P11" s="108">
        <f t="shared" si="9"/>
        <v>137.27685633802818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1.5254431568737556</v>
      </c>
      <c r="F12" s="107">
        <f t="shared" si="13"/>
        <v>0.86180540099035174</v>
      </c>
      <c r="G12" s="108">
        <f t="shared" si="14"/>
        <v>229.86081538461539</v>
      </c>
      <c r="H12" s="102">
        <f t="shared" ref="H12:H13" si="15">H25*$B$33/$B$32</f>
        <v>1.5937095308591556</v>
      </c>
      <c r="I12" s="107">
        <f t="shared" si="2"/>
        <v>0.87391781101638677</v>
      </c>
      <c r="J12" s="108">
        <f t="shared" si="3"/>
        <v>221.41259574468086</v>
      </c>
      <c r="K12" s="102">
        <f t="shared" ref="K12:K13" si="16">K25*$B$33/$B$32</f>
        <v>1.4075285108989737</v>
      </c>
      <c r="L12" s="107">
        <f t="shared" si="5"/>
        <v>0.72857603757210654</v>
      </c>
      <c r="M12" s="108">
        <f t="shared" si="6"/>
        <v>207.30884210526312</v>
      </c>
      <c r="N12" s="102">
        <f t="shared" ref="N12:N13" si="17">N25*$B$33/$B$32</f>
        <v>0.68886977385267245</v>
      </c>
      <c r="O12" s="107">
        <f t="shared" si="8"/>
        <v>0.32642146102404418</v>
      </c>
      <c r="P12" s="108">
        <f t="shared" si="9"/>
        <v>190.06014084507046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1.4956541936801266</v>
      </c>
      <c r="F13" s="107">
        <f t="shared" si="13"/>
        <v>0.83201643779672274</v>
      </c>
      <c r="G13" s="108">
        <f t="shared" si="14"/>
        <v>225.37207692307692</v>
      </c>
      <c r="H13" s="102">
        <f t="shared" si="15"/>
        <v>1.5837798764612792</v>
      </c>
      <c r="I13" s="107">
        <f t="shared" si="2"/>
        <v>0.86398815661851036</v>
      </c>
      <c r="J13" s="108">
        <f t="shared" si="3"/>
        <v>220.03307801418441</v>
      </c>
      <c r="K13" s="102">
        <f t="shared" si="16"/>
        <v>1.4100109244984429</v>
      </c>
      <c r="L13" s="107">
        <f t="shared" si="5"/>
        <v>0.73105845117157575</v>
      </c>
      <c r="M13" s="108">
        <f t="shared" si="6"/>
        <v>207.67446616541352</v>
      </c>
      <c r="N13" s="102">
        <f t="shared" si="17"/>
        <v>0.68514615345346885</v>
      </c>
      <c r="O13" s="107">
        <f t="shared" si="8"/>
        <v>0.32269784062484058</v>
      </c>
      <c r="P13" s="108">
        <f t="shared" si="9"/>
        <v>189.03278873239441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1.3511231813773033</v>
      </c>
      <c r="F14" s="119">
        <f t="shared" si="13"/>
        <v>0.68748542549389935</v>
      </c>
      <c r="G14" s="120">
        <f t="shared" si="14"/>
        <v>203.59347692307691</v>
      </c>
      <c r="H14" s="118">
        <f>H27*$B$34/10/$B$32</f>
        <v>1.478531726989637</v>
      </c>
      <c r="I14" s="119">
        <f t="shared" si="2"/>
        <v>0.75874000714686818</v>
      </c>
      <c r="J14" s="120">
        <f t="shared" si="3"/>
        <v>205.41104964539008</v>
      </c>
      <c r="K14" s="118">
        <f>K27*$B$34/10/$B$32</f>
        <v>1.3214932870488538</v>
      </c>
      <c r="L14" s="119">
        <f t="shared" si="5"/>
        <v>0.64254081372198668</v>
      </c>
      <c r="M14" s="120">
        <f t="shared" si="6"/>
        <v>194.6370827067669</v>
      </c>
      <c r="N14" s="118">
        <f>N27*$B$34/10/$B$32</f>
        <v>0.5866719077033028</v>
      </c>
      <c r="O14" s="119">
        <f t="shared" si="8"/>
        <v>0.22422359487467453</v>
      </c>
      <c r="P14" s="120">
        <f t="shared" si="9"/>
        <v>161.86360563380282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2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2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3"/>
      <c r="Q18" s="130" t="s">
        <v>183</v>
      </c>
      <c r="R18" s="131" t="s">
        <v>184</v>
      </c>
      <c r="S18" s="132"/>
    </row>
    <row r="19" spans="1:22" s="141" customFormat="1" ht="15.75" x14ac:dyDescent="0.25">
      <c r="A19" s="133" t="s">
        <v>185</v>
      </c>
      <c r="B19" s="134">
        <v>1.22</v>
      </c>
      <c r="C19" s="135" t="s">
        <v>172</v>
      </c>
      <c r="D19" s="136" t="s">
        <v>172</v>
      </c>
      <c r="E19" s="134">
        <v>1.3</v>
      </c>
      <c r="F19" s="135" t="s">
        <v>172</v>
      </c>
      <c r="G19" s="136" t="s">
        <v>172</v>
      </c>
      <c r="H19" s="134">
        <v>1.41</v>
      </c>
      <c r="I19" s="135" t="s">
        <v>172</v>
      </c>
      <c r="J19" s="136" t="s">
        <v>172</v>
      </c>
      <c r="K19" s="134">
        <v>1.33</v>
      </c>
      <c r="L19" s="135" t="s">
        <v>172</v>
      </c>
      <c r="M19" s="136" t="s">
        <v>172</v>
      </c>
      <c r="N19" s="134">
        <v>0.71</v>
      </c>
      <c r="O19" s="135" t="s">
        <v>172</v>
      </c>
      <c r="P19" s="137" t="s">
        <v>172</v>
      </c>
      <c r="Q19" s="138" t="s">
        <v>32</v>
      </c>
      <c r="R19" s="139"/>
      <c r="S19" s="140"/>
      <c r="T19"/>
      <c r="U19"/>
      <c r="V19"/>
    </row>
    <row r="20" spans="1:22" s="141" customFormat="1" ht="15.75" x14ac:dyDescent="0.25">
      <c r="A20" s="142" t="s">
        <v>186</v>
      </c>
      <c r="B20" s="143">
        <v>38.270000000000003</v>
      </c>
      <c r="C20" s="144" t="s">
        <v>172</v>
      </c>
      <c r="D20" s="145" t="s">
        <v>172</v>
      </c>
      <c r="E20" s="143">
        <v>41.49</v>
      </c>
      <c r="F20" s="144" t="s">
        <v>172</v>
      </c>
      <c r="G20" s="145" t="s">
        <v>172</v>
      </c>
      <c r="H20" s="143">
        <v>47.13</v>
      </c>
      <c r="I20" s="144" t="s">
        <v>172</v>
      </c>
      <c r="J20" s="145" t="s">
        <v>172</v>
      </c>
      <c r="K20" s="143">
        <v>39.83</v>
      </c>
      <c r="L20" s="144" t="s">
        <v>172</v>
      </c>
      <c r="M20" s="145" t="s">
        <v>172</v>
      </c>
      <c r="N20" s="143">
        <v>18.399999999999999</v>
      </c>
      <c r="O20" s="144" t="s">
        <v>172</v>
      </c>
      <c r="P20" s="146" t="s">
        <v>172</v>
      </c>
      <c r="Q20" s="147" t="s">
        <v>187</v>
      </c>
      <c r="R20" s="148"/>
      <c r="S20" s="149"/>
      <c r="T20"/>
      <c r="U20"/>
      <c r="V20"/>
    </row>
    <row r="21" spans="1:22" s="141" customFormat="1" ht="15.75" x14ac:dyDescent="0.25">
      <c r="A21" s="142" t="s">
        <v>188</v>
      </c>
      <c r="B21" s="143">
        <v>37.130000000000003</v>
      </c>
      <c r="C21" s="144" t="s">
        <v>172</v>
      </c>
      <c r="D21" s="145" t="s">
        <v>172</v>
      </c>
      <c r="E21" s="143">
        <v>40.159999999999997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39.4</v>
      </c>
      <c r="L21" s="144" t="s">
        <v>172</v>
      </c>
      <c r="M21" s="145" t="s">
        <v>172</v>
      </c>
      <c r="N21" s="143">
        <v>17.2</v>
      </c>
      <c r="O21" s="144" t="s">
        <v>172</v>
      </c>
      <c r="P21" s="146" t="s">
        <v>172</v>
      </c>
      <c r="Q21" s="147" t="s">
        <v>189</v>
      </c>
      <c r="R21" s="148"/>
      <c r="S21" s="150"/>
      <c r="U21"/>
      <c r="V21"/>
    </row>
    <row r="22" spans="1:22" s="141" customFormat="1" ht="15.75" x14ac:dyDescent="0.25">
      <c r="A22" s="142" t="s">
        <v>190</v>
      </c>
      <c r="B22" s="143">
        <v>37.950000000000003</v>
      </c>
      <c r="C22" s="144" t="s">
        <v>172</v>
      </c>
      <c r="D22" s="145" t="s">
        <v>172</v>
      </c>
      <c r="E22" s="143">
        <v>40.950000000000003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39.85</v>
      </c>
      <c r="L22" s="144" t="s">
        <v>172</v>
      </c>
      <c r="M22" s="145" t="s">
        <v>172</v>
      </c>
      <c r="N22" s="143">
        <f>N21</f>
        <v>17.2</v>
      </c>
      <c r="O22" s="144" t="s">
        <v>172</v>
      </c>
      <c r="P22" s="146" t="s">
        <v>172</v>
      </c>
      <c r="Q22" s="147" t="s">
        <v>191</v>
      </c>
      <c r="R22" s="148"/>
      <c r="S22" s="150"/>
      <c r="U22"/>
      <c r="V22"/>
    </row>
    <row r="23" spans="1:22" s="141" customFormat="1" ht="15.75" x14ac:dyDescent="0.25">
      <c r="A23" s="142" t="s">
        <v>192</v>
      </c>
      <c r="B23" s="151">
        <v>37.71</v>
      </c>
      <c r="C23" s="144" t="s">
        <v>172</v>
      </c>
      <c r="D23" s="145" t="s">
        <v>172</v>
      </c>
      <c r="E23" s="143">
        <v>40.549999999999997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40.64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6" t="s">
        <v>172</v>
      </c>
      <c r="Q23" s="147" t="s">
        <v>193</v>
      </c>
      <c r="R23" s="148"/>
      <c r="S23" s="140"/>
      <c r="U23"/>
      <c r="V23"/>
    </row>
    <row r="24" spans="1:22" s="141" customFormat="1" ht="15.75" x14ac:dyDescent="0.25">
      <c r="A24" s="142" t="s">
        <v>194</v>
      </c>
      <c r="B24" s="143">
        <v>29.1</v>
      </c>
      <c r="C24" s="144" t="s">
        <v>172</v>
      </c>
      <c r="D24" s="145" t="s">
        <v>172</v>
      </c>
      <c r="E24" s="143">
        <v>29.85</v>
      </c>
      <c r="F24" s="144" t="s">
        <v>172</v>
      </c>
      <c r="G24" s="145" t="s">
        <v>172</v>
      </c>
      <c r="H24" s="143">
        <v>33.4</v>
      </c>
      <c r="I24" s="144" t="s">
        <v>172</v>
      </c>
      <c r="J24" s="145" t="s">
        <v>172</v>
      </c>
      <c r="K24" s="143">
        <v>25.74</v>
      </c>
      <c r="L24" s="144" t="s">
        <v>172</v>
      </c>
      <c r="M24" s="145" t="s">
        <v>172</v>
      </c>
      <c r="N24" s="143">
        <v>12.99</v>
      </c>
      <c r="O24" s="144" t="s">
        <v>172</v>
      </c>
      <c r="P24" s="146" t="s">
        <v>172</v>
      </c>
      <c r="Q24" s="147" t="s">
        <v>41</v>
      </c>
      <c r="R24" s="148"/>
      <c r="S24" s="140"/>
      <c r="U24"/>
      <c r="V24"/>
    </row>
    <row r="25" spans="1:22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1.2290000000000001</v>
      </c>
      <c r="F25" s="144" t="s">
        <v>172</v>
      </c>
      <c r="G25" s="145" t="s">
        <v>172</v>
      </c>
      <c r="H25" s="153">
        <v>1.284</v>
      </c>
      <c r="I25" s="144" t="s">
        <v>172</v>
      </c>
      <c r="J25" s="145" t="s">
        <v>172</v>
      </c>
      <c r="K25" s="153">
        <v>1.1339999999999999</v>
      </c>
      <c r="L25" s="144" t="s">
        <v>172</v>
      </c>
      <c r="M25" s="145" t="s">
        <v>172</v>
      </c>
      <c r="N25" s="153">
        <v>0.55500000000000005</v>
      </c>
      <c r="O25" s="144" t="s">
        <v>172</v>
      </c>
      <c r="P25" s="146" t="s">
        <v>172</v>
      </c>
      <c r="Q25" s="147" t="s">
        <v>45</v>
      </c>
      <c r="R25" s="154" t="s">
        <v>196</v>
      </c>
      <c r="S25" s="140"/>
      <c r="T25" s="155"/>
      <c r="U25"/>
      <c r="V25"/>
    </row>
    <row r="26" spans="1:22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1.2050000000000001</v>
      </c>
      <c r="F26" s="144" t="s">
        <v>172</v>
      </c>
      <c r="G26" s="145" t="s">
        <v>172</v>
      </c>
      <c r="H26" s="153">
        <v>1.276</v>
      </c>
      <c r="I26" s="144" t="s">
        <v>172</v>
      </c>
      <c r="J26" s="145" t="s">
        <v>172</v>
      </c>
      <c r="K26" s="153">
        <v>1.1359999999999999</v>
      </c>
      <c r="L26" s="144" t="s">
        <v>172</v>
      </c>
      <c r="M26" s="145" t="s">
        <v>172</v>
      </c>
      <c r="N26" s="153">
        <v>0.55200000000000005</v>
      </c>
      <c r="O26" s="144" t="s">
        <v>172</v>
      </c>
      <c r="P26" s="146" t="s">
        <v>172</v>
      </c>
      <c r="Q26" s="147" t="s">
        <v>48</v>
      </c>
      <c r="R26" s="154" t="s">
        <v>196</v>
      </c>
      <c r="S26" s="140"/>
      <c r="T26" s="155"/>
      <c r="U26"/>
      <c r="V26"/>
    </row>
    <row r="27" spans="1:22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4.5599999999999996</v>
      </c>
      <c r="F27" s="158" t="s">
        <v>172</v>
      </c>
      <c r="G27" s="159" t="s">
        <v>172</v>
      </c>
      <c r="H27" s="160">
        <v>4.99</v>
      </c>
      <c r="I27" s="158" t="s">
        <v>172</v>
      </c>
      <c r="J27" s="159" t="s">
        <v>172</v>
      </c>
      <c r="K27" s="160">
        <v>4.46</v>
      </c>
      <c r="L27" s="158" t="s">
        <v>172</v>
      </c>
      <c r="M27" s="159" t="s">
        <v>172</v>
      </c>
      <c r="N27" s="160">
        <v>1.98</v>
      </c>
      <c r="O27" s="158" t="s">
        <v>172</v>
      </c>
      <c r="P27" s="161" t="s">
        <v>172</v>
      </c>
      <c r="Q27" s="162" t="s">
        <v>51</v>
      </c>
      <c r="R27" s="163" t="s">
        <v>50</v>
      </c>
      <c r="S27" s="164"/>
    </row>
    <row r="28" spans="1:22" s="93" customFormat="1" ht="33" customHeight="1" x14ac:dyDescent="0.25">
      <c r="A28" s="504" t="s">
        <v>199</v>
      </c>
      <c r="B28" s="505"/>
      <c r="C28" s="505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164"/>
    </row>
    <row r="29" spans="1:22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2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2" s="141" customFormat="1" ht="15.75" customHeight="1" x14ac:dyDescent="0.25">
      <c r="A31" s="173" t="s">
        <v>202</v>
      </c>
      <c r="B31" s="174">
        <v>7.5031999999999996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2" s="141" customFormat="1" ht="15.75" x14ac:dyDescent="0.25">
      <c r="A32" s="176" t="s">
        <v>204</v>
      </c>
      <c r="B32" s="174">
        <v>1.9589000000000001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2.4314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5.8041999999999998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3.4481999999999999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R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</hyperlinks>
  <pageMargins left="0.25" right="0.25" top="0.75" bottom="0.75" header="0.3" footer="0.3"/>
  <pageSetup paperSize="9" orientation="landscape" r:id="rId1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42"/>
  <sheetViews>
    <sheetView workbookViewId="0">
      <selection activeCell="O30" sqref="O30"/>
    </sheetView>
  </sheetViews>
  <sheetFormatPr defaultColWidth="9.140625" defaultRowHeight="15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/>
    <col min="18" max="18" width="41.7109375" customWidth="1"/>
    <col min="19" max="19" width="29" customWidth="1"/>
    <col min="20" max="21" width="9.140625" customWidth="1"/>
  </cols>
  <sheetData>
    <row r="1" spans="1:36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36" s="93" customFormat="1" ht="16.5" thickBot="1" x14ac:dyDescent="0.25">
      <c r="A2" s="492" t="s">
        <v>163</v>
      </c>
      <c r="B2" s="492"/>
      <c r="C2" s="492"/>
      <c r="D2" s="493">
        <v>43178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36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36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</row>
    <row r="5" spans="1:36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36" s="96" customFormat="1" ht="15.75" x14ac:dyDescent="0.25">
      <c r="A6" s="101" t="s">
        <v>171</v>
      </c>
      <c r="B6" s="102">
        <f>B19/$B$32</f>
        <v>0.62678353037097434</v>
      </c>
      <c r="C6" s="103" t="s">
        <v>172</v>
      </c>
      <c r="D6" s="104" t="s">
        <v>172</v>
      </c>
      <c r="E6" s="102">
        <f>E19/$B$32</f>
        <v>0.66754993885038738</v>
      </c>
      <c r="F6" s="103" t="s">
        <v>172</v>
      </c>
      <c r="G6" s="104" t="s">
        <v>172</v>
      </c>
      <c r="H6" s="102">
        <f>H19/$B$32</f>
        <v>0.72360375050958015</v>
      </c>
      <c r="I6" s="103" t="s">
        <v>172</v>
      </c>
      <c r="J6" s="104" t="s">
        <v>172</v>
      </c>
      <c r="K6" s="102">
        <f>K19/$B$32</f>
        <v>0.68283734203016722</v>
      </c>
      <c r="L6" s="103" t="s">
        <v>172</v>
      </c>
      <c r="M6" s="104" t="s">
        <v>172</v>
      </c>
      <c r="N6" s="102">
        <f>N19/$B$32</f>
        <v>0.37199347737464328</v>
      </c>
      <c r="O6" s="103" t="s">
        <v>172</v>
      </c>
      <c r="P6" s="104" t="s">
        <v>172</v>
      </c>
      <c r="Q6" s="105" t="s">
        <v>173</v>
      </c>
      <c r="R6" s="95"/>
    </row>
    <row r="7" spans="1:36" s="96" customFormat="1" ht="15.75" x14ac:dyDescent="0.25">
      <c r="A7" s="106" t="s">
        <v>174</v>
      </c>
      <c r="B7" s="102">
        <f>B20*$B$35/100/$B$32</f>
        <v>0.66704063901345301</v>
      </c>
      <c r="C7" s="107">
        <f>B7-B$6</f>
        <v>4.0257108642478667E-2</v>
      </c>
      <c r="D7" s="108">
        <f>B7/B$6*100</f>
        <v>106.42280894308944</v>
      </c>
      <c r="E7" s="102">
        <f t="shared" ref="E7:E10" si="0">E20*$B$35/100/$B$32</f>
        <v>0.72217802690582977</v>
      </c>
      <c r="F7" s="107">
        <f>E7-E$6</f>
        <v>5.4628088055442392E-2</v>
      </c>
      <c r="G7" s="108">
        <f>E7/E$6*100</f>
        <v>108.18337099236641</v>
      </c>
      <c r="H7" s="102">
        <f t="shared" ref="H7:H10" si="1">H20*$B$35/100/$B$32</f>
        <v>0.81471143497757859</v>
      </c>
      <c r="I7" s="107">
        <f t="shared" ref="I7:I14" si="2">H7-H$6</f>
        <v>9.110768446799844E-2</v>
      </c>
      <c r="J7" s="108">
        <f t="shared" ref="J7:J14" si="3">H7/H$6*100</f>
        <v>112.59082535211269</v>
      </c>
      <c r="K7" s="102">
        <f t="shared" ref="K7:K10" si="4">K20*$B$35/100/$B$32</f>
        <v>0.69260908071748883</v>
      </c>
      <c r="L7" s="107">
        <f t="shared" ref="L7:L14" si="5">K7-K$6</f>
        <v>9.7717386873216183E-3</v>
      </c>
      <c r="M7" s="108">
        <f t="shared" ref="M7:M14" si="6">K7/K$6*100</f>
        <v>101.43104925373135</v>
      </c>
      <c r="N7" s="102">
        <f t="shared" ref="N7:N10" si="7">N20*$B$35/100/$B$32</f>
        <v>0.3269977578475336</v>
      </c>
      <c r="O7" s="107">
        <f t="shared" ref="O7:O14" si="8">N7-N$6</f>
        <v>-4.4995719527109679E-2</v>
      </c>
      <c r="P7" s="108">
        <f t="shared" ref="P7:P14" si="9">N7/N$6*100</f>
        <v>87.904164383561636</v>
      </c>
      <c r="Q7" s="109" t="s">
        <v>175</v>
      </c>
      <c r="R7" s="95"/>
    </row>
    <row r="8" spans="1:36" s="96" customFormat="1" ht="15.75" x14ac:dyDescent="0.25">
      <c r="A8" s="110" t="s">
        <v>176</v>
      </c>
      <c r="B8" s="102">
        <f t="shared" ref="B8:B10" si="10">B21*$B$35/100/$B$32</f>
        <v>0.64599450672645753</v>
      </c>
      <c r="C8" s="107">
        <f t="shared" ref="C8:C11" si="11">B8-B$6</f>
        <v>1.9210976355483189E-2</v>
      </c>
      <c r="D8" s="108">
        <f t="shared" ref="D8:D11" si="12">B8/B$6*100</f>
        <v>103.06500975609758</v>
      </c>
      <c r="E8" s="102">
        <f t="shared" si="0"/>
        <v>0.6981750000000001</v>
      </c>
      <c r="F8" s="107">
        <f t="shared" ref="F8:F14" si="13">E8-E$6</f>
        <v>3.062506114961272E-2</v>
      </c>
      <c r="G8" s="108">
        <f t="shared" ref="G8:G14" si="14">E8/E$6*100</f>
        <v>104.58768091603052</v>
      </c>
      <c r="H8" s="102">
        <f t="shared" si="1"/>
        <v>0.77748934977578477</v>
      </c>
      <c r="I8" s="107">
        <f t="shared" si="2"/>
        <v>5.388559926620462E-2</v>
      </c>
      <c r="J8" s="108">
        <f t="shared" si="3"/>
        <v>107.44683802816901</v>
      </c>
      <c r="K8" s="102">
        <f t="shared" si="4"/>
        <v>0.67469377802690578</v>
      </c>
      <c r="L8" s="107">
        <f t="shared" si="5"/>
        <v>-8.1435640032614387E-3</v>
      </c>
      <c r="M8" s="108">
        <f t="shared" si="6"/>
        <v>98.807393283582073</v>
      </c>
      <c r="N8" s="102">
        <f t="shared" si="7"/>
        <v>0.33743385650224217</v>
      </c>
      <c r="O8" s="107">
        <f t="shared" si="8"/>
        <v>-3.4559620872401109E-2</v>
      </c>
      <c r="P8" s="108">
        <f t="shared" si="9"/>
        <v>90.709616438356178</v>
      </c>
      <c r="Q8" s="109" t="s">
        <v>175</v>
      </c>
    </row>
    <row r="9" spans="1:36" s="96" customFormat="1" ht="15.75" x14ac:dyDescent="0.25">
      <c r="A9" s="110" t="s">
        <v>177</v>
      </c>
      <c r="B9" s="102">
        <f t="shared" si="10"/>
        <v>0.65556093049327357</v>
      </c>
      <c r="C9" s="107">
        <f t="shared" si="11"/>
        <v>2.8777400122299235E-2</v>
      </c>
      <c r="D9" s="108">
        <f t="shared" si="12"/>
        <v>104.59128211382114</v>
      </c>
      <c r="E9" s="102">
        <f t="shared" si="0"/>
        <v>0.70930683856502252</v>
      </c>
      <c r="F9" s="107">
        <f t="shared" si="13"/>
        <v>4.1756899714635143E-2</v>
      </c>
      <c r="G9" s="108">
        <f t="shared" si="14"/>
        <v>106.25524732824428</v>
      </c>
      <c r="H9" s="102">
        <f t="shared" si="1"/>
        <v>0.77053195067264557</v>
      </c>
      <c r="I9" s="107">
        <f t="shared" si="2"/>
        <v>4.6928200163065426E-2</v>
      </c>
      <c r="J9" s="108">
        <f t="shared" si="3"/>
        <v>106.48534507042251</v>
      </c>
      <c r="K9" s="102">
        <f t="shared" si="4"/>
        <v>0.69139153587443947</v>
      </c>
      <c r="L9" s="107">
        <f t="shared" si="5"/>
        <v>8.5541938442722509E-3</v>
      </c>
      <c r="M9" s="108">
        <f t="shared" si="6"/>
        <v>101.25274253731342</v>
      </c>
      <c r="N9" s="102">
        <f t="shared" si="7"/>
        <v>0.33743385650224217</v>
      </c>
      <c r="O9" s="107">
        <f t="shared" si="8"/>
        <v>-3.4559620872401109E-2</v>
      </c>
      <c r="P9" s="108">
        <f t="shared" si="9"/>
        <v>90.709616438356178</v>
      </c>
      <c r="Q9" s="109" t="s">
        <v>175</v>
      </c>
    </row>
    <row r="10" spans="1:36" s="96" customFormat="1" ht="18.75" x14ac:dyDescent="0.25">
      <c r="A10" s="110" t="s">
        <v>178</v>
      </c>
      <c r="B10" s="102">
        <f t="shared" si="10"/>
        <v>0.6539955156950672</v>
      </c>
      <c r="C10" s="107">
        <f t="shared" si="11"/>
        <v>2.7211985324092858E-2</v>
      </c>
      <c r="D10" s="108">
        <f t="shared" si="12"/>
        <v>104.34152845528455</v>
      </c>
      <c r="E10" s="102">
        <f t="shared" si="0"/>
        <v>0.70443665919282517</v>
      </c>
      <c r="F10" s="107">
        <f t="shared" si="13"/>
        <v>3.6886720342437784E-2</v>
      </c>
      <c r="G10" s="108">
        <f t="shared" si="14"/>
        <v>105.52568702290075</v>
      </c>
      <c r="H10" s="102">
        <f t="shared" si="1"/>
        <v>0.7940131726457399</v>
      </c>
      <c r="I10" s="107">
        <f t="shared" si="2"/>
        <v>7.0409422136159749E-2</v>
      </c>
      <c r="J10" s="108">
        <f t="shared" si="3"/>
        <v>109.7303838028169</v>
      </c>
      <c r="K10" s="102">
        <f t="shared" si="4"/>
        <v>0.70617600896860988</v>
      </c>
      <c r="L10" s="107">
        <f t="shared" si="5"/>
        <v>2.3338666938442665E-2</v>
      </c>
      <c r="M10" s="108">
        <f t="shared" si="6"/>
        <v>103.41789552238805</v>
      </c>
      <c r="N10" s="102">
        <f t="shared" si="7"/>
        <v>0.30786491031390134</v>
      </c>
      <c r="O10" s="107">
        <f t="shared" si="8"/>
        <v>-6.4128567060741937E-2</v>
      </c>
      <c r="P10" s="108">
        <f t="shared" si="9"/>
        <v>82.760835616438357</v>
      </c>
      <c r="Q10" s="109" t="s">
        <v>175</v>
      </c>
      <c r="S10" s="185"/>
      <c r="T10" s="185"/>
      <c r="U10" s="185"/>
      <c r="V10" s="185"/>
      <c r="W10" s="185"/>
      <c r="X10" s="185"/>
      <c r="Y10" s="185"/>
      <c r="Z10" s="185"/>
      <c r="AA10" s="185"/>
      <c r="AB10" s="185"/>
    </row>
    <row r="11" spans="1:36" s="96" customFormat="1" ht="15.75" x14ac:dyDescent="0.25">
      <c r="A11" s="110" t="s">
        <v>24</v>
      </c>
      <c r="B11" s="102">
        <f>B24*$B$31/100/$B$32</f>
        <v>1.099300422951488</v>
      </c>
      <c r="C11" s="107">
        <f t="shared" si="11"/>
        <v>0.47251689258051366</v>
      </c>
      <c r="D11" s="108">
        <f t="shared" si="12"/>
        <v>175.38757317073171</v>
      </c>
      <c r="E11" s="102">
        <f>E24*$B$31/100/$B$32</f>
        <v>1.1277797085201793</v>
      </c>
      <c r="F11" s="107">
        <f t="shared" si="13"/>
        <v>0.4602297696697919</v>
      </c>
      <c r="G11" s="108">
        <f t="shared" si="14"/>
        <v>168.94312213740454</v>
      </c>
      <c r="H11" s="102">
        <f>H24*$B$31/100/$B$32</f>
        <v>1.2435954698328577</v>
      </c>
      <c r="I11" s="107">
        <f t="shared" si="2"/>
        <v>0.51999171932327759</v>
      </c>
      <c r="J11" s="108">
        <f t="shared" si="3"/>
        <v>171.86139084507042</v>
      </c>
      <c r="K11" s="102">
        <f>K24*$B$31/100/$B$32</f>
        <v>0.97171322360375045</v>
      </c>
      <c r="L11" s="107">
        <f t="shared" si="5"/>
        <v>0.28887588157358324</v>
      </c>
      <c r="M11" s="108">
        <f t="shared" si="6"/>
        <v>142.30522611940296</v>
      </c>
      <c r="N11" s="102">
        <f>N24*$B$31/100/$B$32</f>
        <v>0.48566674989808395</v>
      </c>
      <c r="O11" s="107">
        <f t="shared" si="8"/>
        <v>0.11367327252344067</v>
      </c>
      <c r="P11" s="108">
        <f t="shared" si="9"/>
        <v>130.55786712328768</v>
      </c>
      <c r="Q11" s="109" t="s">
        <v>179</v>
      </c>
    </row>
    <row r="12" spans="1:36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1.5026814105177335</v>
      </c>
      <c r="F12" s="107">
        <f t="shared" si="13"/>
        <v>0.83513147166734614</v>
      </c>
      <c r="G12" s="108">
        <f t="shared" si="14"/>
        <v>225.10396946564885</v>
      </c>
      <c r="H12" s="102">
        <f t="shared" ref="H12:H13" si="15">H25*$B$33/$B$32</f>
        <v>1.5704252445984508</v>
      </c>
      <c r="I12" s="107">
        <f t="shared" si="2"/>
        <v>0.84682149408887064</v>
      </c>
      <c r="J12" s="108">
        <f t="shared" si="3"/>
        <v>217.02834507042249</v>
      </c>
      <c r="K12" s="102">
        <f t="shared" ref="K12:K13" si="16">K25*$B$33/$B$32</f>
        <v>1.4090717488789237</v>
      </c>
      <c r="L12" s="107">
        <f t="shared" si="5"/>
        <v>0.72623440684875651</v>
      </c>
      <c r="M12" s="108">
        <f t="shared" si="6"/>
        <v>206.35540298507459</v>
      </c>
      <c r="N12" s="102">
        <f t="shared" ref="N12:N13" si="17">N25*$B$33/$B$32</f>
        <v>0.68359687117814927</v>
      </c>
      <c r="O12" s="107">
        <f t="shared" si="8"/>
        <v>0.31160339380350599</v>
      </c>
      <c r="P12" s="108">
        <f t="shared" si="9"/>
        <v>183.76582191780824</v>
      </c>
      <c r="Q12" s="109" t="s">
        <v>180</v>
      </c>
    </row>
    <row r="13" spans="1:36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1.4780472890338361</v>
      </c>
      <c r="F13" s="107">
        <f t="shared" si="13"/>
        <v>0.81049735018344871</v>
      </c>
      <c r="G13" s="108">
        <f t="shared" si="14"/>
        <v>221.41374045801524</v>
      </c>
      <c r="H13" s="102">
        <f t="shared" si="15"/>
        <v>1.5630350081532816</v>
      </c>
      <c r="I13" s="107">
        <f t="shared" si="2"/>
        <v>0.83943125764370141</v>
      </c>
      <c r="J13" s="108">
        <f t="shared" si="3"/>
        <v>216.00703521126755</v>
      </c>
      <c r="K13" s="102">
        <f t="shared" si="16"/>
        <v>1.3930595699143906</v>
      </c>
      <c r="L13" s="107">
        <f t="shared" si="5"/>
        <v>0.7102222278842234</v>
      </c>
      <c r="M13" s="108">
        <f t="shared" si="6"/>
        <v>204.01045522388057</v>
      </c>
      <c r="N13" s="102">
        <f t="shared" si="17"/>
        <v>0.67620663473298015</v>
      </c>
      <c r="O13" s="107">
        <f t="shared" si="8"/>
        <v>0.30421315735833687</v>
      </c>
      <c r="P13" s="108">
        <f t="shared" si="9"/>
        <v>181.77916438356166</v>
      </c>
      <c r="Q13" s="109" t="s">
        <v>180</v>
      </c>
    </row>
    <row r="14" spans="1:36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1.3206903791275988</v>
      </c>
      <c r="F14" s="119">
        <f t="shared" si="13"/>
        <v>0.65314044027721141</v>
      </c>
      <c r="G14" s="120">
        <f t="shared" si="14"/>
        <v>197.84143511450378</v>
      </c>
      <c r="H14" s="118">
        <f>H27*$B$34/10/$B$32</f>
        <v>1.4287999898083981</v>
      </c>
      <c r="I14" s="119">
        <f t="shared" si="2"/>
        <v>0.70519623929881792</v>
      </c>
      <c r="J14" s="120">
        <f t="shared" si="3"/>
        <v>197.45613380281694</v>
      </c>
      <c r="K14" s="118">
        <f>K27*$B$34/10/$B$32</f>
        <v>1.2914715654300857</v>
      </c>
      <c r="L14" s="119">
        <f t="shared" si="5"/>
        <v>0.60863422339991846</v>
      </c>
      <c r="M14" s="120">
        <f t="shared" si="6"/>
        <v>189.13311940298507</v>
      </c>
      <c r="N14" s="118">
        <f>N27*$B$34/10/$B$32</f>
        <v>0.57853251121076232</v>
      </c>
      <c r="O14" s="119">
        <f t="shared" si="8"/>
        <v>0.20653903383611905</v>
      </c>
      <c r="P14" s="120">
        <f t="shared" si="9"/>
        <v>155.5222191780822</v>
      </c>
      <c r="Q14" s="121" t="s">
        <v>180</v>
      </c>
    </row>
    <row r="15" spans="1:36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36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2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2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3"/>
      <c r="Q18" s="130" t="s">
        <v>183</v>
      </c>
      <c r="R18" s="131" t="s">
        <v>184</v>
      </c>
      <c r="S18" s="132"/>
    </row>
    <row r="19" spans="1:22" s="141" customFormat="1" ht="15.75" x14ac:dyDescent="0.25">
      <c r="A19" s="133" t="s">
        <v>185</v>
      </c>
      <c r="B19" s="134">
        <v>1.23</v>
      </c>
      <c r="C19" s="135" t="s">
        <v>172</v>
      </c>
      <c r="D19" s="136" t="s">
        <v>172</v>
      </c>
      <c r="E19" s="134">
        <v>1.31</v>
      </c>
      <c r="F19" s="135" t="s">
        <v>172</v>
      </c>
      <c r="G19" s="136" t="s">
        <v>172</v>
      </c>
      <c r="H19" s="134">
        <v>1.42</v>
      </c>
      <c r="I19" s="135" t="s">
        <v>172</v>
      </c>
      <c r="J19" s="136" t="s">
        <v>172</v>
      </c>
      <c r="K19" s="134">
        <v>1.34</v>
      </c>
      <c r="L19" s="135" t="s">
        <v>172</v>
      </c>
      <c r="M19" s="136" t="s">
        <v>172</v>
      </c>
      <c r="N19" s="134">
        <v>0.73</v>
      </c>
      <c r="O19" s="135" t="s">
        <v>172</v>
      </c>
      <c r="P19" s="137" t="s">
        <v>172</v>
      </c>
      <c r="Q19" s="138" t="s">
        <v>32</v>
      </c>
      <c r="R19" s="139"/>
      <c r="S19" s="140"/>
      <c r="T19"/>
      <c r="U19"/>
      <c r="V19"/>
    </row>
    <row r="20" spans="1:22" s="141" customFormat="1" ht="15.75" x14ac:dyDescent="0.25">
      <c r="A20" s="142" t="s">
        <v>186</v>
      </c>
      <c r="B20" s="143">
        <v>38.35</v>
      </c>
      <c r="C20" s="144" t="s">
        <v>172</v>
      </c>
      <c r="D20" s="145" t="s">
        <v>172</v>
      </c>
      <c r="E20" s="143">
        <v>41.52</v>
      </c>
      <c r="F20" s="144" t="s">
        <v>172</v>
      </c>
      <c r="G20" s="145" t="s">
        <v>172</v>
      </c>
      <c r="H20" s="143">
        <v>46.84</v>
      </c>
      <c r="I20" s="144" t="s">
        <v>172</v>
      </c>
      <c r="J20" s="145" t="s">
        <v>172</v>
      </c>
      <c r="K20" s="143">
        <v>39.82</v>
      </c>
      <c r="L20" s="144" t="s">
        <v>172</v>
      </c>
      <c r="M20" s="145" t="s">
        <v>172</v>
      </c>
      <c r="N20" s="143">
        <v>18.8</v>
      </c>
      <c r="O20" s="144" t="s">
        <v>172</v>
      </c>
      <c r="P20" s="146" t="s">
        <v>172</v>
      </c>
      <c r="Q20" s="147" t="s">
        <v>187</v>
      </c>
      <c r="R20" s="148"/>
      <c r="S20" s="149"/>
      <c r="T20"/>
      <c r="U20"/>
      <c r="V20"/>
    </row>
    <row r="21" spans="1:22" s="141" customFormat="1" ht="15.75" x14ac:dyDescent="0.25">
      <c r="A21" s="142" t="s">
        <v>188</v>
      </c>
      <c r="B21" s="143">
        <v>37.14</v>
      </c>
      <c r="C21" s="144" t="s">
        <v>172</v>
      </c>
      <c r="D21" s="145" t="s">
        <v>172</v>
      </c>
      <c r="E21" s="143">
        <v>40.14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38.79</v>
      </c>
      <c r="L21" s="144" t="s">
        <v>172</v>
      </c>
      <c r="M21" s="145" t="s">
        <v>172</v>
      </c>
      <c r="N21" s="143">
        <v>19.399999999999999</v>
      </c>
      <c r="O21" s="144" t="s">
        <v>172</v>
      </c>
      <c r="P21" s="146" t="s">
        <v>172</v>
      </c>
      <c r="Q21" s="147" t="s">
        <v>189</v>
      </c>
      <c r="R21" s="148"/>
      <c r="S21" s="150"/>
      <c r="U21"/>
      <c r="V21"/>
    </row>
    <row r="22" spans="1:22" s="141" customFormat="1" ht="15.75" x14ac:dyDescent="0.25">
      <c r="A22" s="142" t="s">
        <v>190</v>
      </c>
      <c r="B22" s="143">
        <v>37.69</v>
      </c>
      <c r="C22" s="144" t="s">
        <v>172</v>
      </c>
      <c r="D22" s="145" t="s">
        <v>172</v>
      </c>
      <c r="E22" s="143">
        <v>40.78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39.75</v>
      </c>
      <c r="L22" s="144" t="s">
        <v>172</v>
      </c>
      <c r="M22" s="145" t="s">
        <v>172</v>
      </c>
      <c r="N22" s="143">
        <f>N21</f>
        <v>19.399999999999999</v>
      </c>
      <c r="O22" s="144" t="s">
        <v>172</v>
      </c>
      <c r="P22" s="146" t="s">
        <v>172</v>
      </c>
      <c r="Q22" s="147" t="s">
        <v>191</v>
      </c>
      <c r="R22" s="148"/>
      <c r="S22" s="150"/>
      <c r="U22"/>
      <c r="V22"/>
    </row>
    <row r="23" spans="1:22" s="141" customFormat="1" ht="15.75" x14ac:dyDescent="0.25">
      <c r="A23" s="142" t="s">
        <v>192</v>
      </c>
      <c r="B23" s="151">
        <v>37.6</v>
      </c>
      <c r="C23" s="144" t="s">
        <v>172</v>
      </c>
      <c r="D23" s="145" t="s">
        <v>172</v>
      </c>
      <c r="E23" s="143">
        <v>40.5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40.6</v>
      </c>
      <c r="L23" s="144" t="s">
        <v>172</v>
      </c>
      <c r="M23" s="145" t="s">
        <v>172</v>
      </c>
      <c r="N23" s="143">
        <v>17.7</v>
      </c>
      <c r="O23" s="144" t="s">
        <v>172</v>
      </c>
      <c r="P23" s="146" t="s">
        <v>172</v>
      </c>
      <c r="Q23" s="147" t="s">
        <v>193</v>
      </c>
      <c r="R23" s="148"/>
      <c r="S23" s="140"/>
      <c r="U23"/>
      <c r="V23"/>
    </row>
    <row r="24" spans="1:22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32.75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12.79</v>
      </c>
      <c r="O24" s="144" t="s">
        <v>172</v>
      </c>
      <c r="P24" s="146" t="s">
        <v>172</v>
      </c>
      <c r="Q24" s="147" t="s">
        <v>41</v>
      </c>
      <c r="R24" s="148"/>
      <c r="S24" s="55" t="s">
        <v>209</v>
      </c>
      <c r="U24"/>
      <c r="V24"/>
    </row>
    <row r="25" spans="1:22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1.2749999999999999</v>
      </c>
      <c r="I25" s="144" t="s">
        <v>172</v>
      </c>
      <c r="J25" s="145" t="s">
        <v>172</v>
      </c>
      <c r="K25" s="153">
        <v>1.1439999999999999</v>
      </c>
      <c r="L25" s="144" t="s">
        <v>172</v>
      </c>
      <c r="M25" s="145" t="s">
        <v>172</v>
      </c>
      <c r="N25" s="153">
        <v>0.55500000000000005</v>
      </c>
      <c r="O25" s="144" t="s">
        <v>172</v>
      </c>
      <c r="P25" s="146" t="s">
        <v>172</v>
      </c>
      <c r="Q25" s="147" t="s">
        <v>45</v>
      </c>
      <c r="R25" s="154" t="s">
        <v>196</v>
      </c>
      <c r="S25" s="55" t="s">
        <v>209</v>
      </c>
      <c r="T25" s="155"/>
      <c r="U25"/>
      <c r="V25"/>
    </row>
    <row r="26" spans="1:22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1.2689999999999999</v>
      </c>
      <c r="I26" s="144" t="s">
        <v>172</v>
      </c>
      <c r="J26" s="145" t="s">
        <v>172</v>
      </c>
      <c r="K26" s="153">
        <v>1.131</v>
      </c>
      <c r="L26" s="144" t="s">
        <v>172</v>
      </c>
      <c r="M26" s="145" t="s">
        <v>172</v>
      </c>
      <c r="N26" s="153">
        <v>0.54900000000000004</v>
      </c>
      <c r="O26" s="144" t="s">
        <v>172</v>
      </c>
      <c r="P26" s="146" t="s">
        <v>172</v>
      </c>
      <c r="Q26" s="147" t="s">
        <v>48</v>
      </c>
      <c r="R26" s="154" t="s">
        <v>196</v>
      </c>
      <c r="S26" s="55" t="s">
        <v>209</v>
      </c>
      <c r="T26" s="155"/>
      <c r="U26"/>
      <c r="V26"/>
    </row>
    <row r="27" spans="1:22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4.5199999999999996</v>
      </c>
      <c r="F27" s="158" t="s">
        <v>172</v>
      </c>
      <c r="G27" s="159" t="s">
        <v>172</v>
      </c>
      <c r="H27" s="160">
        <v>4.8899999999999997</v>
      </c>
      <c r="I27" s="158" t="s">
        <v>172</v>
      </c>
      <c r="J27" s="159" t="s">
        <v>172</v>
      </c>
      <c r="K27" s="160">
        <v>4.42</v>
      </c>
      <c r="L27" s="158" t="s">
        <v>172</v>
      </c>
      <c r="M27" s="159" t="s">
        <v>172</v>
      </c>
      <c r="N27" s="160">
        <v>1.98</v>
      </c>
      <c r="O27" s="158" t="s">
        <v>172</v>
      </c>
      <c r="P27" s="161" t="s">
        <v>172</v>
      </c>
      <c r="Q27" s="162" t="s">
        <v>51</v>
      </c>
      <c r="R27" s="163" t="s">
        <v>50</v>
      </c>
      <c r="S27" s="55" t="s">
        <v>209</v>
      </c>
    </row>
    <row r="28" spans="1:22" s="93" customFormat="1" ht="33" customHeight="1" x14ac:dyDescent="0.25">
      <c r="A28" s="504" t="s">
        <v>199</v>
      </c>
      <c r="B28" s="505"/>
      <c r="C28" s="505"/>
      <c r="D28" s="505"/>
      <c r="E28" s="505"/>
      <c r="F28" s="505"/>
      <c r="G28" s="505"/>
      <c r="H28" s="505"/>
      <c r="I28" s="505"/>
      <c r="J28" s="505"/>
      <c r="K28" s="505"/>
      <c r="L28" s="505"/>
      <c r="M28" s="505"/>
      <c r="N28" s="505"/>
      <c r="O28" s="505"/>
      <c r="P28" s="505"/>
      <c r="Q28" s="505"/>
      <c r="R28" s="505"/>
      <c r="S28" s="164"/>
    </row>
    <row r="29" spans="1:22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2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2" s="141" customFormat="1" ht="15.75" customHeight="1" x14ac:dyDescent="0.25">
      <c r="A31" s="173" t="s">
        <v>202</v>
      </c>
      <c r="B31" s="174">
        <v>7.4516999999999998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2" s="141" customFormat="1" ht="15.75" x14ac:dyDescent="0.25">
      <c r="A32" s="176" t="s">
        <v>204</v>
      </c>
      <c r="B32" s="174">
        <v>1.9623999999999999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2.4171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5.7339000000000002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3.4133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R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</hyperlinks>
  <pageMargins left="0.25" right="0.25" top="0.75" bottom="0.75" header="0.3" footer="0.3"/>
  <pageSetup paperSize="9" orientation="landscape" r:id="rId19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1.7109375" customWidth="1" outlineLevel="1"/>
    <col min="19" max="19" width="28.42578125" customWidth="1" outlineLevel="1"/>
    <col min="20" max="20" width="29.7109375" customWidth="1" outlineLevel="1"/>
    <col min="21" max="21" width="28.28515625" customWidth="1" outlineLevel="1"/>
    <col min="22" max="22" width="32" customWidth="1" outlineLevel="1"/>
    <col min="23" max="23" width="43.57031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43185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0.63632165033098986</v>
      </c>
      <c r="C6" s="103" t="s">
        <v>172</v>
      </c>
      <c r="D6" s="104" t="s">
        <v>172</v>
      </c>
      <c r="E6" s="102">
        <f>E19/$B$32</f>
        <v>0.67737466002976343</v>
      </c>
      <c r="F6" s="103" t="s">
        <v>172</v>
      </c>
      <c r="G6" s="104" t="s">
        <v>172</v>
      </c>
      <c r="H6" s="102">
        <f>H19/$B$32</f>
        <v>0.78513881048904399</v>
      </c>
      <c r="I6" s="103" t="s">
        <v>172</v>
      </c>
      <c r="J6" s="104" t="s">
        <v>172</v>
      </c>
      <c r="K6" s="102">
        <f>K19/$B$32</f>
        <v>0.69276953866680357</v>
      </c>
      <c r="L6" s="103" t="s">
        <v>172</v>
      </c>
      <c r="M6" s="104" t="s">
        <v>172</v>
      </c>
      <c r="N6" s="102">
        <f>N19/$B$32</f>
        <v>0.37460871350130853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0.67143694770872897</v>
      </c>
      <c r="C7" s="107">
        <f>B7-B$6</f>
        <v>3.5115297377739108E-2</v>
      </c>
      <c r="D7" s="108">
        <f>B7/B$6*100</f>
        <v>105.51848225806452</v>
      </c>
      <c r="E7" s="102">
        <f t="shared" ref="E7:E10" si="0">E20*$B$35/100/$B$32</f>
        <v>0.72870347924257195</v>
      </c>
      <c r="F7" s="107">
        <f>E7-E$6</f>
        <v>5.1328819212808519E-2</v>
      </c>
      <c r="G7" s="108">
        <f>E7/E$6*100</f>
        <v>107.57761136363635</v>
      </c>
      <c r="H7" s="102">
        <f t="shared" ref="H7:H10" si="1">H20*$B$35/100/$B$32</f>
        <v>0.82432282547339253</v>
      </c>
      <c r="I7" s="107">
        <f t="shared" ref="I7:I14" si="2">H7-H$6</f>
        <v>3.9184014984348536E-2</v>
      </c>
      <c r="J7" s="108">
        <f t="shared" ref="J7:J14" si="3">H7/H$6*100</f>
        <v>104.99071176470589</v>
      </c>
      <c r="K7" s="102">
        <f t="shared" ref="K7:K10" si="4">K20*$B$35/100/$B$32</f>
        <v>0.69875676091753469</v>
      </c>
      <c r="L7" s="107">
        <f t="shared" ref="L7:L14" si="5">K7-K$6</f>
        <v>5.9872222507311168E-3</v>
      </c>
      <c r="M7" s="108">
        <f t="shared" ref="M7:M14" si="6">K7/K$6*100</f>
        <v>100.86424444444442</v>
      </c>
      <c r="N7" s="102">
        <f t="shared" ref="N7:N10" si="7">N20*$B$35/100/$B$32</f>
        <v>0.3336169497613794</v>
      </c>
      <c r="O7" s="107">
        <f t="shared" ref="O7:O14" si="8">N7-N$6</f>
        <v>-4.0991763739929132E-2</v>
      </c>
      <c r="P7" s="108">
        <f t="shared" ref="P7:P14" si="9">N7/N$6*100</f>
        <v>89.057445205479468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0.65304861189510954</v>
      </c>
      <c r="C8" s="107">
        <f t="shared" ref="C8:C11" si="11">B8-B$6</f>
        <v>1.672696156411968E-2</v>
      </c>
      <c r="D8" s="108">
        <f t="shared" ref="D8:D11" si="12">B8/B$6*100</f>
        <v>102.62869596774193</v>
      </c>
      <c r="E8" s="102">
        <f t="shared" si="0"/>
        <v>0.70576184122748487</v>
      </c>
      <c r="F8" s="107">
        <f t="shared" ref="F8:F14" si="13">E8-E$6</f>
        <v>2.8387181197721434E-2</v>
      </c>
      <c r="G8" s="108">
        <f t="shared" ref="G8:G14" si="14">E8/E$6*100</f>
        <v>104.19076515151514</v>
      </c>
      <c r="H8" s="102">
        <f t="shared" si="1"/>
        <v>0.78281772463693744</v>
      </c>
      <c r="I8" s="107">
        <f t="shared" si="2"/>
        <v>-2.3210858521065525E-3</v>
      </c>
      <c r="J8" s="108">
        <f t="shared" si="3"/>
        <v>99.70437254901961</v>
      </c>
      <c r="K8" s="102">
        <f t="shared" si="4"/>
        <v>0.68737350541386566</v>
      </c>
      <c r="L8" s="107">
        <f t="shared" si="5"/>
        <v>-5.3960332529379151E-3</v>
      </c>
      <c r="M8" s="108">
        <f t="shared" si="6"/>
        <v>99.221092592592584</v>
      </c>
      <c r="N8" s="102">
        <f t="shared" si="7"/>
        <v>0.33186567968389186</v>
      </c>
      <c r="O8" s="107">
        <f t="shared" si="8"/>
        <v>-4.2743033817416676E-2</v>
      </c>
      <c r="P8" s="108">
        <f t="shared" si="9"/>
        <v>88.589952054794537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0.66285572432903983</v>
      </c>
      <c r="C9" s="107">
        <f t="shared" si="11"/>
        <v>2.6534073998049967E-2</v>
      </c>
      <c r="D9" s="108">
        <f t="shared" si="12"/>
        <v>104.16991532258064</v>
      </c>
      <c r="E9" s="102">
        <f t="shared" si="0"/>
        <v>0.71784560476214909</v>
      </c>
      <c r="F9" s="107">
        <f t="shared" si="13"/>
        <v>4.0470944732385661E-2</v>
      </c>
      <c r="G9" s="108">
        <f t="shared" si="14"/>
        <v>105.97467651515151</v>
      </c>
      <c r="H9" s="102">
        <f t="shared" si="1"/>
        <v>0.77581264432698704</v>
      </c>
      <c r="I9" s="107">
        <f t="shared" si="2"/>
        <v>-9.326166162056948E-3</v>
      </c>
      <c r="J9" s="108">
        <f t="shared" si="3"/>
        <v>98.812163398692789</v>
      </c>
      <c r="K9" s="102">
        <f t="shared" si="4"/>
        <v>0.69648010981680097</v>
      </c>
      <c r="L9" s="107">
        <f t="shared" si="5"/>
        <v>3.7105711499973992E-3</v>
      </c>
      <c r="M9" s="108">
        <f t="shared" si="6"/>
        <v>100.53561407407408</v>
      </c>
      <c r="N9" s="102">
        <f t="shared" si="7"/>
        <v>0.33186567968389186</v>
      </c>
      <c r="O9" s="107">
        <f t="shared" si="8"/>
        <v>-4.2743033817416676E-2</v>
      </c>
      <c r="P9" s="108">
        <f t="shared" si="9"/>
        <v>88.589952054794537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0.6604039462205572</v>
      </c>
      <c r="C10" s="107">
        <f t="shared" si="11"/>
        <v>2.408229588956734E-2</v>
      </c>
      <c r="D10" s="108">
        <f t="shared" si="12"/>
        <v>103.78461048387095</v>
      </c>
      <c r="E10" s="102">
        <f t="shared" si="0"/>
        <v>0.71014001642120383</v>
      </c>
      <c r="F10" s="107">
        <f t="shared" si="13"/>
        <v>3.2765356391440403E-2</v>
      </c>
      <c r="G10" s="108">
        <f t="shared" si="14"/>
        <v>104.83710984848484</v>
      </c>
      <c r="H10" s="102">
        <f t="shared" si="1"/>
        <v>0.7994547903730691</v>
      </c>
      <c r="I10" s="107">
        <f t="shared" si="2"/>
        <v>1.431597988402511E-2</v>
      </c>
      <c r="J10" s="108">
        <f t="shared" si="3"/>
        <v>101.82336928104574</v>
      </c>
      <c r="K10" s="102">
        <f t="shared" si="4"/>
        <v>0.71171615949094258</v>
      </c>
      <c r="L10" s="107">
        <f t="shared" si="5"/>
        <v>1.8946620824139004E-2</v>
      </c>
      <c r="M10" s="108">
        <f t="shared" si="6"/>
        <v>102.73490962962961</v>
      </c>
      <c r="N10" s="102">
        <f t="shared" si="7"/>
        <v>0.30909916867655352</v>
      </c>
      <c r="O10" s="107">
        <f t="shared" si="8"/>
        <v>-6.5509544824755017E-2</v>
      </c>
      <c r="P10" s="108">
        <f t="shared" si="9"/>
        <v>82.512541095890384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1.1022303587006721</v>
      </c>
      <c r="C11" s="107">
        <f t="shared" si="11"/>
        <v>0.46590870836968223</v>
      </c>
      <c r="D11" s="108">
        <f t="shared" si="12"/>
        <v>173.21905645161289</v>
      </c>
      <c r="E11" s="102">
        <f>E24*$B$31/100/$B$32</f>
        <v>1.1307855493405861</v>
      </c>
      <c r="F11" s="107">
        <f t="shared" si="13"/>
        <v>0.45341088931082263</v>
      </c>
      <c r="G11" s="108">
        <f t="shared" si="14"/>
        <v>166.9365</v>
      </c>
      <c r="H11" s="102">
        <f>H24*$B$31/100/$B$32</f>
        <v>1.2526210294042182</v>
      </c>
      <c r="I11" s="107">
        <f t="shared" si="2"/>
        <v>0.46748221891517416</v>
      </c>
      <c r="J11" s="108">
        <f t="shared" si="3"/>
        <v>159.54134640522875</v>
      </c>
      <c r="K11" s="102">
        <f>K24*$B$31/100/$B$32</f>
        <v>0.97430310463385839</v>
      </c>
      <c r="L11" s="107">
        <f t="shared" si="5"/>
        <v>0.28153356596705481</v>
      </c>
      <c r="M11" s="108">
        <f t="shared" si="6"/>
        <v>140.63884888888887</v>
      </c>
      <c r="N11" s="102">
        <f>N24*$B$31/100/$B$32</f>
        <v>0.4644977677425976</v>
      </c>
      <c r="O11" s="107">
        <f t="shared" si="8"/>
        <v>8.9889054241289068E-2</v>
      </c>
      <c r="P11" s="108">
        <f t="shared" si="9"/>
        <v>123.99545205479453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1.4636032226612614</v>
      </c>
      <c r="F12" s="107">
        <f t="shared" si="13"/>
        <v>0.78622856263149798</v>
      </c>
      <c r="G12" s="108">
        <f t="shared" si="14"/>
        <v>216.06996969696974</v>
      </c>
      <c r="H12" s="102">
        <f t="shared" ref="H12:H13" si="15">H25*$B$33/$B$32</f>
        <v>1.5351187971468161</v>
      </c>
      <c r="I12" s="107">
        <f t="shared" si="2"/>
        <v>0.7499799866577721</v>
      </c>
      <c r="J12" s="108">
        <f t="shared" si="3"/>
        <v>195.52196078431376</v>
      </c>
      <c r="K12" s="102">
        <f t="shared" ref="K12:K13" si="16">K25*$B$33/$B$32</f>
        <v>1.3698931595422588</v>
      </c>
      <c r="L12" s="107">
        <f t="shared" si="5"/>
        <v>0.67712362087545519</v>
      </c>
      <c r="M12" s="108">
        <f t="shared" si="6"/>
        <v>197.7415407407407</v>
      </c>
      <c r="N12" s="102">
        <f t="shared" ref="N12:N13" si="17">N25*$B$33/$B$32</f>
        <v>0.61034843741981837</v>
      </c>
      <c r="O12" s="107">
        <f t="shared" si="8"/>
        <v>0.23573972391850984</v>
      </c>
      <c r="P12" s="108">
        <f t="shared" si="9"/>
        <v>162.92958904109591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1.4783995484168932</v>
      </c>
      <c r="F13" s="107">
        <f t="shared" si="13"/>
        <v>0.80102488838712982</v>
      </c>
      <c r="G13" s="108">
        <f t="shared" si="14"/>
        <v>218.25433333333334</v>
      </c>
      <c r="H13" s="102">
        <f t="shared" si="15"/>
        <v>1.563478421511777</v>
      </c>
      <c r="I13" s="107">
        <f t="shared" si="2"/>
        <v>0.77833961102273297</v>
      </c>
      <c r="J13" s="108">
        <f t="shared" si="3"/>
        <v>199.1340130718954</v>
      </c>
      <c r="K13" s="102">
        <f t="shared" si="16"/>
        <v>1.3933206753220093</v>
      </c>
      <c r="L13" s="107">
        <f t="shared" si="5"/>
        <v>0.70055113665520574</v>
      </c>
      <c r="M13" s="108">
        <f t="shared" si="6"/>
        <v>201.12325925925921</v>
      </c>
      <c r="N13" s="102">
        <f t="shared" si="17"/>
        <v>0.67939795761276756</v>
      </c>
      <c r="O13" s="107">
        <f t="shared" si="8"/>
        <v>0.30478924411145902</v>
      </c>
      <c r="P13" s="108">
        <f t="shared" si="9"/>
        <v>181.36202739726031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1.3462652024426538</v>
      </c>
      <c r="F14" s="119">
        <f t="shared" si="13"/>
        <v>0.66889054241289037</v>
      </c>
      <c r="G14" s="120">
        <f t="shared" si="14"/>
        <v>198.74749999999997</v>
      </c>
      <c r="H14" s="118">
        <f>H27*$B$34/10/$B$32</f>
        <v>1.4453409965618105</v>
      </c>
      <c r="I14" s="119">
        <f t="shared" si="2"/>
        <v>0.66020218607276648</v>
      </c>
      <c r="J14" s="120">
        <f t="shared" si="3"/>
        <v>184.0873202614379</v>
      </c>
      <c r="K14" s="118">
        <f>K27*$B$34/10/$B$32</f>
        <v>1.314211269051162</v>
      </c>
      <c r="L14" s="119">
        <f t="shared" si="5"/>
        <v>0.62144173038435846</v>
      </c>
      <c r="M14" s="120">
        <f t="shared" si="6"/>
        <v>189.70396296296289</v>
      </c>
      <c r="N14" s="118">
        <f>N27*$B$34/10/$B$32</f>
        <v>0.57988479499153278</v>
      </c>
      <c r="O14" s="119">
        <f t="shared" si="8"/>
        <v>0.20527608149022425</v>
      </c>
      <c r="P14" s="120">
        <f t="shared" si="9"/>
        <v>154.79746575342466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1.24</v>
      </c>
      <c r="C19" s="135" t="s">
        <v>172</v>
      </c>
      <c r="D19" s="136" t="s">
        <v>172</v>
      </c>
      <c r="E19" s="134">
        <v>1.32</v>
      </c>
      <c r="F19" s="135" t="s">
        <v>172</v>
      </c>
      <c r="G19" s="136" t="s">
        <v>172</v>
      </c>
      <c r="H19" s="134">
        <v>1.53</v>
      </c>
      <c r="I19" s="135" t="s">
        <v>172</v>
      </c>
      <c r="J19" s="136" t="s">
        <v>172</v>
      </c>
      <c r="K19" s="134">
        <v>1.35</v>
      </c>
      <c r="L19" s="135" t="s">
        <v>172</v>
      </c>
      <c r="M19" s="136" t="s">
        <v>172</v>
      </c>
      <c r="N19" s="134">
        <v>0.73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38.340000000000003</v>
      </c>
      <c r="C20" s="144" t="s">
        <v>172</v>
      </c>
      <c r="D20" s="145" t="s">
        <v>172</v>
      </c>
      <c r="E20" s="143">
        <v>41.61</v>
      </c>
      <c r="F20" s="144" t="s">
        <v>172</v>
      </c>
      <c r="G20" s="145" t="s">
        <v>172</v>
      </c>
      <c r="H20" s="143">
        <v>47.07</v>
      </c>
      <c r="I20" s="144" t="s">
        <v>172</v>
      </c>
      <c r="J20" s="145" t="s">
        <v>172</v>
      </c>
      <c r="K20" s="143">
        <v>39.9</v>
      </c>
      <c r="L20" s="144" t="s">
        <v>172</v>
      </c>
      <c r="M20" s="145" t="s">
        <v>172</v>
      </c>
      <c r="N20" s="143">
        <v>19.05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37.29</v>
      </c>
      <c r="C21" s="144" t="s">
        <v>172</v>
      </c>
      <c r="D21" s="145" t="s">
        <v>172</v>
      </c>
      <c r="E21" s="143">
        <v>40.299999999999997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39.25</v>
      </c>
      <c r="L21" s="144" t="s">
        <v>172</v>
      </c>
      <c r="M21" s="145" t="s">
        <v>172</v>
      </c>
      <c r="N21" s="143">
        <v>18.95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37.85</v>
      </c>
      <c r="C22" s="144" t="s">
        <v>172</v>
      </c>
      <c r="D22" s="145" t="s">
        <v>172</v>
      </c>
      <c r="E22" s="143">
        <v>40.99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39.770000000000003</v>
      </c>
      <c r="L22" s="144" t="s">
        <v>172</v>
      </c>
      <c r="M22" s="145" t="s">
        <v>172</v>
      </c>
      <c r="N22" s="143">
        <f>N21</f>
        <v>18.95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37.71</v>
      </c>
      <c r="C23" s="144" t="s">
        <v>172</v>
      </c>
      <c r="D23" s="145" t="s">
        <v>172</v>
      </c>
      <c r="E23" s="143">
        <v>40.549999999999997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40.64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32.9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12.2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1.1870000000000001</v>
      </c>
      <c r="F25" s="144" t="s">
        <v>172</v>
      </c>
      <c r="G25" s="145" t="s">
        <v>172</v>
      </c>
      <c r="H25" s="153">
        <v>1.2450000000000001</v>
      </c>
      <c r="I25" s="144" t="s">
        <v>172</v>
      </c>
      <c r="J25" s="145" t="s">
        <v>172</v>
      </c>
      <c r="K25" s="153">
        <v>1.111</v>
      </c>
      <c r="L25" s="144" t="s">
        <v>172</v>
      </c>
      <c r="M25" s="145" t="s">
        <v>172</v>
      </c>
      <c r="N25" s="153">
        <v>0.495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1.1990000000000001</v>
      </c>
      <c r="F26" s="144" t="s">
        <v>172</v>
      </c>
      <c r="G26" s="145" t="s">
        <v>172</v>
      </c>
      <c r="H26" s="153">
        <v>1.268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0.55100000000000005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4.62</v>
      </c>
      <c r="F27" s="158" t="s">
        <v>172</v>
      </c>
      <c r="G27" s="159" t="s">
        <v>172</v>
      </c>
      <c r="H27" s="160">
        <v>4.96</v>
      </c>
      <c r="I27" s="158" t="s">
        <v>172</v>
      </c>
      <c r="J27" s="159" t="s">
        <v>172</v>
      </c>
      <c r="K27" s="160">
        <v>4.51</v>
      </c>
      <c r="L27" s="158" t="s">
        <v>172</v>
      </c>
      <c r="M27" s="159" t="s">
        <v>172</v>
      </c>
      <c r="N27" s="160">
        <v>1.99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7.4194000000000004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1.9487000000000001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2.4028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5.6784999999999997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3.4127000000000001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43192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0.63586482744474648</v>
      </c>
      <c r="C6" s="103" t="s">
        <v>172</v>
      </c>
      <c r="D6" s="104" t="s">
        <v>172</v>
      </c>
      <c r="E6" s="102">
        <f>E19/$B$32</f>
        <v>0.67688836469924629</v>
      </c>
      <c r="F6" s="103" t="s">
        <v>172</v>
      </c>
      <c r="G6" s="104" t="s">
        <v>172</v>
      </c>
      <c r="H6" s="102">
        <f>H19/$B$32</f>
        <v>0.78457514999230815</v>
      </c>
      <c r="I6" s="103" t="s">
        <v>172</v>
      </c>
      <c r="J6" s="104" t="s">
        <v>172</v>
      </c>
      <c r="K6" s="102">
        <f>K19/$B$32</f>
        <v>0.69227219116968364</v>
      </c>
      <c r="L6" s="103" t="s">
        <v>172</v>
      </c>
      <c r="M6" s="104" t="s">
        <v>172</v>
      </c>
      <c r="N6" s="102">
        <f>N19/$B$32</f>
        <v>0.3743397774473104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0.66908468796471976</v>
      </c>
      <c r="C7" s="107">
        <f>B7-B$6</f>
        <v>3.3219860519973277E-2</v>
      </c>
      <c r="D7" s="108">
        <f>B7/B$6*100</f>
        <v>105.22435887096773</v>
      </c>
      <c r="E7" s="102">
        <f t="shared" ref="E7:E10" si="0">E20*$B$35/100/$B$32</f>
        <v>0.72578678016511977</v>
      </c>
      <c r="F7" s="107">
        <f>E7-E$6</f>
        <v>4.8898415465873479E-2</v>
      </c>
      <c r="G7" s="108">
        <f>E7/E$6*100</f>
        <v>107.22399999999999</v>
      </c>
      <c r="H7" s="102">
        <f t="shared" ref="H7:H10" si="1">H20*$B$35/100/$B$32</f>
        <v>0.82331437874980762</v>
      </c>
      <c r="I7" s="107">
        <f t="shared" ref="I7:I14" si="2">H7-H$6</f>
        <v>3.8739228757499466E-2</v>
      </c>
      <c r="J7" s="108">
        <f t="shared" ref="J7:J14" si="3">H7/H$6*100</f>
        <v>104.93760588235293</v>
      </c>
      <c r="K7" s="102">
        <f t="shared" ref="K7:K10" si="4">K20*$B$35/100/$B$32</f>
        <v>0.69787190400492283</v>
      </c>
      <c r="L7" s="107">
        <f t="shared" ref="L7:L14" si="5">K7-K$6</f>
        <v>5.5997128352391901E-3</v>
      </c>
      <c r="M7" s="108">
        <f t="shared" ref="M7:M14" si="6">K7/K$6*100</f>
        <v>100.80888888888889</v>
      </c>
      <c r="N7" s="102">
        <f t="shared" ref="N7:N10" si="7">N20*$B$35/100/$B$32</f>
        <v>0.32032320393825953</v>
      </c>
      <c r="O7" s="107">
        <f t="shared" ref="O7:O14" si="8">N7-N$6</f>
        <v>-5.4016573509050869E-2</v>
      </c>
      <c r="P7" s="108">
        <f t="shared" ref="P7:P14" si="9">N7/N$6*100</f>
        <v>85.570175342465731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0.65059108250858932</v>
      </c>
      <c r="C8" s="107">
        <f t="shared" ref="C8:C11" si="11">B8-B$6</f>
        <v>1.4726255063842841E-2</v>
      </c>
      <c r="D8" s="108">
        <f t="shared" ref="D8:D11" si="12">B8/B$6*100</f>
        <v>102.31594112903227</v>
      </c>
      <c r="E8" s="102">
        <f t="shared" si="0"/>
        <v>0.7029314753089585</v>
      </c>
      <c r="F8" s="107">
        <f t="shared" ref="F8:F14" si="13">E8-E$6</f>
        <v>2.6043110609712206E-2</v>
      </c>
      <c r="G8" s="108">
        <f t="shared" ref="G8:G14" si="14">E8/E$6*100</f>
        <v>103.84747499999997</v>
      </c>
      <c r="H8" s="102">
        <f t="shared" si="1"/>
        <v>0.77987185272550119</v>
      </c>
      <c r="I8" s="107">
        <f t="shared" si="2"/>
        <v>-4.7032972668069606E-3</v>
      </c>
      <c r="J8" s="108">
        <f t="shared" si="3"/>
        <v>99.400529411764694</v>
      </c>
      <c r="K8" s="102">
        <f t="shared" si="4"/>
        <v>0.682867658068817</v>
      </c>
      <c r="L8" s="107">
        <f t="shared" si="5"/>
        <v>-9.4045331008666411E-3</v>
      </c>
      <c r="M8" s="108">
        <f t="shared" si="6"/>
        <v>98.641497777777772</v>
      </c>
      <c r="N8" s="102">
        <f t="shared" si="7"/>
        <v>0.33061681452233221</v>
      </c>
      <c r="O8" s="107">
        <f t="shared" si="8"/>
        <v>-4.3722962924978181E-2</v>
      </c>
      <c r="P8" s="108">
        <f t="shared" si="9"/>
        <v>88.319979452054795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0.66193150094866926</v>
      </c>
      <c r="C9" s="107">
        <f t="shared" si="11"/>
        <v>2.6066673503922777E-2</v>
      </c>
      <c r="D9" s="108">
        <f t="shared" si="12"/>
        <v>104.09940483870966</v>
      </c>
      <c r="E9" s="102">
        <f t="shared" si="0"/>
        <v>0.71427189374903843</v>
      </c>
      <c r="F9" s="107">
        <f t="shared" si="13"/>
        <v>3.7383529049792141E-2</v>
      </c>
      <c r="G9" s="108">
        <f t="shared" si="14"/>
        <v>105.52284999999996</v>
      </c>
      <c r="H9" s="102">
        <f t="shared" si="1"/>
        <v>0.77289313368545198</v>
      </c>
      <c r="I9" s="107">
        <f t="shared" si="2"/>
        <v>-1.1682016306856169E-2</v>
      </c>
      <c r="J9" s="108">
        <f t="shared" si="3"/>
        <v>98.511039215686253</v>
      </c>
      <c r="K9" s="102">
        <f t="shared" si="4"/>
        <v>0.69281233270088716</v>
      </c>
      <c r="L9" s="107">
        <f t="shared" si="5"/>
        <v>5.401415312035196E-4</v>
      </c>
      <c r="M9" s="108">
        <f t="shared" si="6"/>
        <v>100.07802444444445</v>
      </c>
      <c r="N9" s="102">
        <f t="shared" si="7"/>
        <v>0.33061681452233221</v>
      </c>
      <c r="O9" s="107">
        <f t="shared" si="8"/>
        <v>-4.3722962924978181E-2</v>
      </c>
      <c r="P9" s="108">
        <f t="shared" si="9"/>
        <v>88.319979452054795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0.68094851033280335</v>
      </c>
      <c r="C10" s="107">
        <f t="shared" si="11"/>
        <v>4.5083682888056864E-2</v>
      </c>
      <c r="D10" s="108">
        <f t="shared" si="12"/>
        <v>107.09013629032256</v>
      </c>
      <c r="E10" s="102">
        <f t="shared" si="0"/>
        <v>0.71270168196502748</v>
      </c>
      <c r="F10" s="107">
        <f t="shared" si="13"/>
        <v>3.5813317265781186E-2</v>
      </c>
      <c r="G10" s="108">
        <f t="shared" si="14"/>
        <v>105.29087499999999</v>
      </c>
      <c r="H10" s="102">
        <f t="shared" si="1"/>
        <v>0.79644631044561809</v>
      </c>
      <c r="I10" s="107">
        <f t="shared" si="2"/>
        <v>1.1871160453309937E-2</v>
      </c>
      <c r="J10" s="108">
        <f t="shared" si="3"/>
        <v>101.51306862745095</v>
      </c>
      <c r="K10" s="102">
        <f t="shared" si="4"/>
        <v>0.71915699707707303</v>
      </c>
      <c r="L10" s="107">
        <f t="shared" si="5"/>
        <v>2.6884805907389397E-2</v>
      </c>
      <c r="M10" s="108">
        <f t="shared" si="6"/>
        <v>103.88356</v>
      </c>
      <c r="N10" s="102">
        <f t="shared" si="7"/>
        <v>0.30793597764217218</v>
      </c>
      <c r="O10" s="107">
        <f t="shared" si="8"/>
        <v>-6.6403799805138219E-2</v>
      </c>
      <c r="P10" s="108">
        <f t="shared" si="9"/>
        <v>82.261089041095886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1.1020180247166813</v>
      </c>
      <c r="C11" s="107">
        <f t="shared" si="11"/>
        <v>0.46615319727193483</v>
      </c>
      <c r="D11" s="108">
        <f t="shared" si="12"/>
        <v>173.31010887096772</v>
      </c>
      <c r="E11" s="102">
        <f>E24*$B$31/100/$B$32</f>
        <v>1.130567714476181</v>
      </c>
      <c r="F11" s="107">
        <f t="shared" si="13"/>
        <v>0.45367934977693469</v>
      </c>
      <c r="G11" s="108">
        <f t="shared" si="14"/>
        <v>167.02424999999999</v>
      </c>
      <c r="H11" s="102">
        <f>H24*$B$31/100/$B$32</f>
        <v>1.2561863494179788</v>
      </c>
      <c r="I11" s="107">
        <f t="shared" si="2"/>
        <v>0.47161119942567065</v>
      </c>
      <c r="J11" s="108">
        <f t="shared" si="3"/>
        <v>160.11039215686276</v>
      </c>
      <c r="K11" s="102">
        <f>K24*$B$31/100/$B$32</f>
        <v>0.97411541459412343</v>
      </c>
      <c r="L11" s="107">
        <f t="shared" si="5"/>
        <v>0.28184322342443979</v>
      </c>
      <c r="M11" s="108">
        <f t="shared" si="6"/>
        <v>140.71277555555554</v>
      </c>
      <c r="N11" s="102">
        <f>N24*$B$31/100/$B$32</f>
        <v>0.45679503615199224</v>
      </c>
      <c r="O11" s="107">
        <f t="shared" si="8"/>
        <v>8.2455258704681844E-2</v>
      </c>
      <c r="P11" s="108">
        <f t="shared" si="9"/>
        <v>122.0268493150685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1.5034634121327111</v>
      </c>
      <c r="F12" s="107">
        <f t="shared" si="13"/>
        <v>0.82657504743346477</v>
      </c>
      <c r="G12" s="108">
        <f t="shared" si="14"/>
        <v>222.11393939393935</v>
      </c>
      <c r="H12" s="102">
        <f t="shared" ref="H12:H13" si="15">H25*$B$33/$B$32</f>
        <v>1.5774042356802216</v>
      </c>
      <c r="I12" s="107">
        <f t="shared" si="2"/>
        <v>0.79282908568791344</v>
      </c>
      <c r="J12" s="108">
        <f t="shared" si="3"/>
        <v>201.05202614379084</v>
      </c>
      <c r="K12" s="102">
        <f t="shared" ref="K12:K13" si="16">K25*$B$33/$B$32</f>
        <v>1.4048756474026973</v>
      </c>
      <c r="L12" s="107">
        <f t="shared" si="5"/>
        <v>0.71260345623301369</v>
      </c>
      <c r="M12" s="108">
        <f t="shared" si="6"/>
        <v>202.93688888888889</v>
      </c>
      <c r="N12" s="102">
        <f t="shared" ref="N12:N13" si="17">N25*$B$33/$B$32</f>
        <v>0.65314394133634179</v>
      </c>
      <c r="O12" s="107">
        <f t="shared" si="8"/>
        <v>0.2788041638890314</v>
      </c>
      <c r="P12" s="108">
        <f t="shared" si="9"/>
        <v>174.47890410958905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1.4788164709502076</v>
      </c>
      <c r="F13" s="107">
        <f t="shared" si="13"/>
        <v>0.80192810625096134</v>
      </c>
      <c r="G13" s="108">
        <f t="shared" si="14"/>
        <v>218.47272727272724</v>
      </c>
      <c r="H13" s="102">
        <f t="shared" si="15"/>
        <v>1.56508076508897</v>
      </c>
      <c r="I13" s="107">
        <f t="shared" si="2"/>
        <v>0.78050561509666183</v>
      </c>
      <c r="J13" s="108">
        <f t="shared" si="3"/>
        <v>199.48130718954249</v>
      </c>
      <c r="K13" s="102">
        <f t="shared" si="16"/>
        <v>1.3925521768114455</v>
      </c>
      <c r="L13" s="107">
        <f t="shared" si="5"/>
        <v>0.70027998564176186</v>
      </c>
      <c r="M13" s="108">
        <f t="shared" si="6"/>
        <v>201.15674074074073</v>
      </c>
      <c r="N13" s="102">
        <f t="shared" si="17"/>
        <v>0.67779088251884523</v>
      </c>
      <c r="O13" s="107">
        <f t="shared" si="8"/>
        <v>0.30345110507153483</v>
      </c>
      <c r="P13" s="108">
        <f t="shared" si="9"/>
        <v>181.06301369863013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1.3696097636018665</v>
      </c>
      <c r="F14" s="119">
        <f t="shared" si="13"/>
        <v>0.69272139890262019</v>
      </c>
      <c r="G14" s="120">
        <f t="shared" si="14"/>
        <v>202.33909090909088</v>
      </c>
      <c r="H14" s="118">
        <f>H27*$B$34/10/$B$32</f>
        <v>1.4691113276242243</v>
      </c>
      <c r="I14" s="119">
        <f t="shared" si="2"/>
        <v>0.6845361776319161</v>
      </c>
      <c r="J14" s="120">
        <f t="shared" si="3"/>
        <v>187.24928104575162</v>
      </c>
      <c r="K14" s="118">
        <f>K27*$B$34/10/$B$32</f>
        <v>1.3344915645351518</v>
      </c>
      <c r="L14" s="119">
        <f t="shared" si="5"/>
        <v>0.64221937336546819</v>
      </c>
      <c r="M14" s="120">
        <f t="shared" si="6"/>
        <v>192.76977777777773</v>
      </c>
      <c r="N14" s="118">
        <f>N27*$B$34/10/$B$32</f>
        <v>0.58822983436746834</v>
      </c>
      <c r="O14" s="119">
        <f t="shared" si="8"/>
        <v>0.21389005692015794</v>
      </c>
      <c r="P14" s="120">
        <f t="shared" si="9"/>
        <v>157.13794520547947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1.24</v>
      </c>
      <c r="C19" s="135" t="s">
        <v>172</v>
      </c>
      <c r="D19" s="136" t="s">
        <v>172</v>
      </c>
      <c r="E19" s="134">
        <v>1.32</v>
      </c>
      <c r="F19" s="135" t="s">
        <v>172</v>
      </c>
      <c r="G19" s="136" t="s">
        <v>172</v>
      </c>
      <c r="H19" s="134">
        <v>1.53</v>
      </c>
      <c r="I19" s="135" t="s">
        <v>172</v>
      </c>
      <c r="J19" s="136" t="s">
        <v>172</v>
      </c>
      <c r="K19" s="134">
        <v>1.35</v>
      </c>
      <c r="L19" s="135" t="s">
        <v>172</v>
      </c>
      <c r="M19" s="136" t="s">
        <v>172</v>
      </c>
      <c r="N19" s="134">
        <v>0.73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38.35</v>
      </c>
      <c r="C20" s="144" t="s">
        <v>172</v>
      </c>
      <c r="D20" s="145" t="s">
        <v>172</v>
      </c>
      <c r="E20" s="143">
        <v>41.6</v>
      </c>
      <c r="F20" s="144" t="s">
        <v>172</v>
      </c>
      <c r="G20" s="145" t="s">
        <v>172</v>
      </c>
      <c r="H20" s="143">
        <v>47.19</v>
      </c>
      <c r="I20" s="144" t="s">
        <v>172</v>
      </c>
      <c r="J20" s="145" t="s">
        <v>172</v>
      </c>
      <c r="K20" s="143">
        <v>40</v>
      </c>
      <c r="L20" s="144" t="s">
        <v>172</v>
      </c>
      <c r="M20" s="145" t="s">
        <v>172</v>
      </c>
      <c r="N20" s="143">
        <v>18.36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37.29</v>
      </c>
      <c r="C21" s="144" t="s">
        <v>172</v>
      </c>
      <c r="D21" s="145" t="s">
        <v>172</v>
      </c>
      <c r="E21" s="143">
        <v>40.29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39.14</v>
      </c>
      <c r="L21" s="144" t="s">
        <v>172</v>
      </c>
      <c r="M21" s="145" t="s">
        <v>172</v>
      </c>
      <c r="N21" s="143">
        <v>18.95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37.94</v>
      </c>
      <c r="C22" s="144" t="s">
        <v>172</v>
      </c>
      <c r="D22" s="145" t="s">
        <v>172</v>
      </c>
      <c r="E22" s="143">
        <v>40.94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39.71</v>
      </c>
      <c r="L22" s="144" t="s">
        <v>172</v>
      </c>
      <c r="M22" s="145" t="s">
        <v>172</v>
      </c>
      <c r="N22" s="143">
        <f>N21</f>
        <v>18.95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39.03</v>
      </c>
      <c r="C23" s="144" t="s">
        <v>172</v>
      </c>
      <c r="D23" s="145" t="s">
        <v>172</v>
      </c>
      <c r="E23" s="143">
        <v>40.85</v>
      </c>
      <c r="F23" s="144" t="s">
        <v>172</v>
      </c>
      <c r="G23" s="145" t="s">
        <v>172</v>
      </c>
      <c r="H23" s="143">
        <v>45.65</v>
      </c>
      <c r="I23" s="144" t="s">
        <v>172</v>
      </c>
      <c r="J23" s="145" t="s">
        <v>172</v>
      </c>
      <c r="K23" s="143">
        <v>41.22</v>
      </c>
      <c r="L23" s="144" t="s">
        <v>172</v>
      </c>
      <c r="M23" s="145" t="s">
        <v>172</v>
      </c>
      <c r="N23" s="143">
        <v>17.649999999999999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1.1399999999999999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4.68</v>
      </c>
      <c r="F27" s="158" t="s">
        <v>172</v>
      </c>
      <c r="G27" s="159" t="s">
        <v>172</v>
      </c>
      <c r="H27" s="160">
        <v>5.0199999999999996</v>
      </c>
      <c r="I27" s="158" t="s">
        <v>172</v>
      </c>
      <c r="J27" s="159" t="s">
        <v>172</v>
      </c>
      <c r="K27" s="160">
        <v>4.5599999999999996</v>
      </c>
      <c r="L27" s="158" t="s">
        <v>172</v>
      </c>
      <c r="M27" s="159" t="s">
        <v>172</v>
      </c>
      <c r="N27" s="160">
        <v>2.0099999999999998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7.4233000000000002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1.9500999999999999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2.4032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5.7069999999999999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3.4022999999999999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43199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0.64164587258746242</v>
      </c>
      <c r="C6" s="103" t="s">
        <v>172</v>
      </c>
      <c r="D6" s="104" t="s">
        <v>172</v>
      </c>
      <c r="E6" s="102">
        <f>E19/$B$32</f>
        <v>0.68238529306920614</v>
      </c>
      <c r="F6" s="103" t="s">
        <v>172</v>
      </c>
      <c r="G6" s="104" t="s">
        <v>172</v>
      </c>
      <c r="H6" s="102">
        <f>H19/$B$32</f>
        <v>0.78932627183378323</v>
      </c>
      <c r="I6" s="103" t="s">
        <v>172</v>
      </c>
      <c r="J6" s="104" t="s">
        <v>172</v>
      </c>
      <c r="K6" s="102">
        <f>K19/$B$32</f>
        <v>0.69766257574986001</v>
      </c>
      <c r="L6" s="103" t="s">
        <v>172</v>
      </c>
      <c r="M6" s="104" t="s">
        <v>172</v>
      </c>
      <c r="N6" s="102">
        <f>N19/$B$32</f>
        <v>0.37683963945612875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0.66310037174721181</v>
      </c>
      <c r="C7" s="107">
        <f>B7-B$6</f>
        <v>2.1454499159749396E-2</v>
      </c>
      <c r="D7" s="108">
        <f>B7/B$6*100</f>
        <v>103.34366666666665</v>
      </c>
      <c r="E7" s="102">
        <f t="shared" ref="E7:E10" si="0">E20*$B$35/100/$B$32</f>
        <v>0.72014498141263927</v>
      </c>
      <c r="F7" s="107">
        <f>E7-E$6</f>
        <v>3.7759688343433129E-2</v>
      </c>
      <c r="G7" s="108">
        <f>E7/E$6*100</f>
        <v>105.53348507462684</v>
      </c>
      <c r="H7" s="102">
        <f t="shared" ref="H7:H10" si="1">H20*$B$35/100/$B$32</f>
        <v>0.80934200743494422</v>
      </c>
      <c r="I7" s="107">
        <f t="shared" ref="I7:I14" si="2">H7-H$6</f>
        <v>2.0015735601160989E-2</v>
      </c>
      <c r="J7" s="108">
        <f t="shared" ref="J7:J14" si="3">H7/H$6*100</f>
        <v>102.53579999999999</v>
      </c>
      <c r="K7" s="102">
        <f t="shared" ref="K7:K10" si="4">K20*$B$35/100/$B$32</f>
        <v>0.69127695167286252</v>
      </c>
      <c r="L7" s="107">
        <f t="shared" ref="L7:L14" si="5">K7-K$6</f>
        <v>-6.3856240769974981E-3</v>
      </c>
      <c r="M7" s="108">
        <f t="shared" ref="M7:M14" si="6">K7/K$6*100</f>
        <v>99.084711678832122</v>
      </c>
      <c r="N7" s="102">
        <f t="shared" ref="N7:N10" si="7">N20*$B$35/100/$B$32</f>
        <v>0.32031412639405205</v>
      </c>
      <c r="O7" s="107">
        <f t="shared" ref="O7:O14" si="8">N7-N$6</f>
        <v>-5.6525513062076704E-2</v>
      </c>
      <c r="P7" s="108">
        <f t="shared" ref="P7:P14" si="9">N7/N$6*100</f>
        <v>85.000114864864855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0.64477695167286242</v>
      </c>
      <c r="C8" s="107">
        <f t="shared" ref="C8:C11" si="11">B8-B$6</f>
        <v>3.1310790854000015E-3</v>
      </c>
      <c r="D8" s="108">
        <f t="shared" ref="D8:D11" si="12">B8/B$6*100</f>
        <v>100.48797619047618</v>
      </c>
      <c r="E8" s="102">
        <f t="shared" si="0"/>
        <v>0.69680855018587351</v>
      </c>
      <c r="F8" s="107">
        <f t="shared" ref="F8:F14" si="13">E8-E$6</f>
        <v>1.4423257116667365E-2</v>
      </c>
      <c r="G8" s="108">
        <f t="shared" ref="G8:G14" si="14">E8/E$6*100</f>
        <v>102.11365298507459</v>
      </c>
      <c r="H8" s="102">
        <f t="shared" si="1"/>
        <v>0.77269516728624532</v>
      </c>
      <c r="I8" s="107">
        <f t="shared" si="2"/>
        <v>-1.6631104547537912E-2</v>
      </c>
      <c r="J8" s="108">
        <f t="shared" si="3"/>
        <v>97.892999999999986</v>
      </c>
      <c r="K8" s="102">
        <f t="shared" si="4"/>
        <v>0.67502788104089217</v>
      </c>
      <c r="L8" s="107">
        <f t="shared" si="5"/>
        <v>-2.263469470896784E-2</v>
      </c>
      <c r="M8" s="108">
        <f t="shared" si="6"/>
        <v>96.755638686131377</v>
      </c>
      <c r="N8" s="102">
        <f t="shared" si="7"/>
        <v>0.32774721189591077</v>
      </c>
      <c r="O8" s="107">
        <f t="shared" si="8"/>
        <v>-4.9092427560217977E-2</v>
      </c>
      <c r="P8" s="108">
        <f t="shared" si="9"/>
        <v>86.972594594594582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0.65618587360594793</v>
      </c>
      <c r="C9" s="107">
        <f t="shared" si="11"/>
        <v>1.4540001018485516E-2</v>
      </c>
      <c r="D9" s="108">
        <f t="shared" si="12"/>
        <v>102.26604761904763</v>
      </c>
      <c r="E9" s="102">
        <f t="shared" si="0"/>
        <v>0.70787174721189583</v>
      </c>
      <c r="F9" s="107">
        <f t="shared" si="13"/>
        <v>2.5486454142689685E-2</v>
      </c>
      <c r="G9" s="108">
        <f t="shared" si="14"/>
        <v>103.7349067164179</v>
      </c>
      <c r="H9" s="102">
        <f t="shared" si="1"/>
        <v>0.76578066914498133</v>
      </c>
      <c r="I9" s="107">
        <f t="shared" si="2"/>
        <v>-2.3545602688801903E-2</v>
      </c>
      <c r="J9" s="108">
        <f t="shared" si="3"/>
        <v>97.016999999999982</v>
      </c>
      <c r="K9" s="102">
        <f t="shared" si="4"/>
        <v>0.68488104089219326</v>
      </c>
      <c r="L9" s="107">
        <f t="shared" si="5"/>
        <v>-1.2781534857666754E-2</v>
      </c>
      <c r="M9" s="108">
        <f t="shared" si="6"/>
        <v>98.167948905109469</v>
      </c>
      <c r="N9" s="102">
        <f t="shared" si="7"/>
        <v>0.32774721189591077</v>
      </c>
      <c r="O9" s="107">
        <f t="shared" si="8"/>
        <v>-4.9092427560217977E-2</v>
      </c>
      <c r="P9" s="108">
        <f t="shared" si="9"/>
        <v>86.972594594594582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0.65739591078066928</v>
      </c>
      <c r="C10" s="107">
        <f t="shared" si="11"/>
        <v>1.5750038193206861E-2</v>
      </c>
      <c r="D10" s="108">
        <f t="shared" si="12"/>
        <v>102.45463095238098</v>
      </c>
      <c r="E10" s="102">
        <f t="shared" si="0"/>
        <v>0.70735315985130121</v>
      </c>
      <c r="F10" s="107">
        <f t="shared" si="13"/>
        <v>2.4967866782095061E-2</v>
      </c>
      <c r="G10" s="108">
        <f t="shared" si="14"/>
        <v>103.65891044776122</v>
      </c>
      <c r="H10" s="102">
        <f t="shared" si="1"/>
        <v>0.82109665427509282</v>
      </c>
      <c r="I10" s="107">
        <f t="shared" si="2"/>
        <v>3.1770382441309586E-2</v>
      </c>
      <c r="J10" s="108">
        <f t="shared" si="3"/>
        <v>104.02499999999996</v>
      </c>
      <c r="K10" s="102">
        <f t="shared" si="4"/>
        <v>0.71202044609665416</v>
      </c>
      <c r="L10" s="107">
        <f t="shared" si="5"/>
        <v>1.4357870346794144E-2</v>
      </c>
      <c r="M10" s="108">
        <f t="shared" si="6"/>
        <v>102.05799635036495</v>
      </c>
      <c r="N10" s="102">
        <f t="shared" si="7"/>
        <v>0.29974349442379183</v>
      </c>
      <c r="O10" s="107">
        <f t="shared" si="8"/>
        <v>-7.7096145032336916E-2</v>
      </c>
      <c r="P10" s="108">
        <f t="shared" si="9"/>
        <v>79.541391891891891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1.1130351377501655</v>
      </c>
      <c r="C11" s="107">
        <f t="shared" si="11"/>
        <v>0.47138926516270307</v>
      </c>
      <c r="D11" s="108">
        <f t="shared" si="12"/>
        <v>173.46564285714285</v>
      </c>
      <c r="E11" s="102">
        <f>E24*$B$31/100/$B$32</f>
        <v>1.1418702449457656</v>
      </c>
      <c r="F11" s="107">
        <f t="shared" si="13"/>
        <v>0.45948495187655947</v>
      </c>
      <c r="G11" s="108">
        <f t="shared" si="14"/>
        <v>167.33511940298507</v>
      </c>
      <c r="H11" s="102">
        <f>H24*$B$31/100/$B$32</f>
        <v>1.2687447166064063</v>
      </c>
      <c r="I11" s="107">
        <f t="shared" si="2"/>
        <v>0.47941844477262308</v>
      </c>
      <c r="J11" s="108">
        <f t="shared" si="3"/>
        <v>160.73767741935484</v>
      </c>
      <c r="K11" s="102">
        <f>K24*$B$31/100/$B$32</f>
        <v>0.98385385751387699</v>
      </c>
      <c r="L11" s="107">
        <f t="shared" si="5"/>
        <v>0.28619128176401698</v>
      </c>
      <c r="M11" s="108">
        <f t="shared" si="6"/>
        <v>141.02144671532847</v>
      </c>
      <c r="N11" s="102">
        <f>N24*$B$31/100/$B$32</f>
        <v>0.46136171512960228</v>
      </c>
      <c r="O11" s="107">
        <f t="shared" si="8"/>
        <v>8.4522075673473529E-2</v>
      </c>
      <c r="P11" s="108">
        <f t="shared" si="9"/>
        <v>122.42918918918919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1.49149768294546</v>
      </c>
      <c r="F12" s="107">
        <f t="shared" si="13"/>
        <v>0.80911238987625389</v>
      </c>
      <c r="G12" s="108">
        <f t="shared" si="14"/>
        <v>218.57119402985069</v>
      </c>
      <c r="H12" s="102">
        <f t="shared" ref="H12:H13" si="15">H25*$B$33/$B$32</f>
        <v>1.5648500280083517</v>
      </c>
      <c r="I12" s="107">
        <f t="shared" si="2"/>
        <v>0.77552375617456848</v>
      </c>
      <c r="J12" s="108">
        <f t="shared" si="3"/>
        <v>198.25135483870969</v>
      </c>
      <c r="K12" s="102">
        <f t="shared" ref="K12:K13" si="16">K25*$B$33/$B$32</f>
        <v>1.3936945561949381</v>
      </c>
      <c r="L12" s="107">
        <f t="shared" si="5"/>
        <v>0.69603198044507808</v>
      </c>
      <c r="M12" s="108">
        <f t="shared" si="6"/>
        <v>199.76627737226275</v>
      </c>
      <c r="N12" s="102">
        <f t="shared" ref="N12:N13" si="17">N25*$B$33/$B$32</f>
        <v>0.64794571472220819</v>
      </c>
      <c r="O12" s="107">
        <f t="shared" si="8"/>
        <v>0.27110607526607944</v>
      </c>
      <c r="P12" s="108">
        <f t="shared" si="9"/>
        <v>171.94202702702705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1.4670469012578295</v>
      </c>
      <c r="F13" s="107">
        <f t="shared" si="13"/>
        <v>0.78466160818862341</v>
      </c>
      <c r="G13" s="108">
        <f t="shared" si="14"/>
        <v>214.98805970149252</v>
      </c>
      <c r="H13" s="102">
        <f t="shared" si="15"/>
        <v>1.5526246371645362</v>
      </c>
      <c r="I13" s="107">
        <f t="shared" si="2"/>
        <v>0.76329836533075301</v>
      </c>
      <c r="J13" s="108">
        <f t="shared" si="3"/>
        <v>196.70251612903223</v>
      </c>
      <c r="K13" s="102">
        <f t="shared" si="16"/>
        <v>1.3814691653511229</v>
      </c>
      <c r="L13" s="107">
        <f t="shared" si="5"/>
        <v>0.68380658960126284</v>
      </c>
      <c r="M13" s="108">
        <f t="shared" si="6"/>
        <v>198.01394160583939</v>
      </c>
      <c r="N13" s="102">
        <f t="shared" si="17"/>
        <v>0.68462188725365392</v>
      </c>
      <c r="O13" s="107">
        <f t="shared" si="8"/>
        <v>0.30778224779752517</v>
      </c>
      <c r="P13" s="108">
        <f t="shared" si="9"/>
        <v>181.67459459459459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1.3579662881295516</v>
      </c>
      <c r="F14" s="119">
        <f t="shared" si="13"/>
        <v>0.67558099506034541</v>
      </c>
      <c r="G14" s="120">
        <f t="shared" si="14"/>
        <v>199.00286567164181</v>
      </c>
      <c r="H14" s="118">
        <f>H27*$B$34/10/$B$32</f>
        <v>1.4541312827825026</v>
      </c>
      <c r="I14" s="119">
        <f t="shared" si="2"/>
        <v>0.66480501094871935</v>
      </c>
      <c r="J14" s="120">
        <f t="shared" si="3"/>
        <v>184.22436129032258</v>
      </c>
      <c r="K14" s="118">
        <f>K27*$B$34/10/$B$32</f>
        <v>1.3229971991648417</v>
      </c>
      <c r="L14" s="119">
        <f t="shared" si="5"/>
        <v>0.62533462341498169</v>
      </c>
      <c r="M14" s="120">
        <f t="shared" si="6"/>
        <v>189.63281751824815</v>
      </c>
      <c r="N14" s="118">
        <f>N27*$B$34/10/$B$32</f>
        <v>0.59156042165300193</v>
      </c>
      <c r="O14" s="119">
        <f t="shared" si="8"/>
        <v>0.21472078219687318</v>
      </c>
      <c r="P14" s="120">
        <f t="shared" si="9"/>
        <v>156.97935135135134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1.26</v>
      </c>
      <c r="C19" s="135" t="s">
        <v>172</v>
      </c>
      <c r="D19" s="136" t="s">
        <v>172</v>
      </c>
      <c r="E19" s="134">
        <v>1.34</v>
      </c>
      <c r="F19" s="135" t="s">
        <v>172</v>
      </c>
      <c r="G19" s="136" t="s">
        <v>172</v>
      </c>
      <c r="H19" s="134">
        <v>1.55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38.36</v>
      </c>
      <c r="C20" s="144" t="s">
        <v>172</v>
      </c>
      <c r="D20" s="145" t="s">
        <v>172</v>
      </c>
      <c r="E20" s="143">
        <v>41.66</v>
      </c>
      <c r="F20" s="144" t="s">
        <v>172</v>
      </c>
      <c r="G20" s="145" t="s">
        <v>172</v>
      </c>
      <c r="H20" s="143">
        <v>46.82</v>
      </c>
      <c r="I20" s="144" t="s">
        <v>172</v>
      </c>
      <c r="J20" s="145" t="s">
        <v>172</v>
      </c>
      <c r="K20" s="143">
        <v>39.99</v>
      </c>
      <c r="L20" s="144" t="s">
        <v>172</v>
      </c>
      <c r="M20" s="145" t="s">
        <v>172</v>
      </c>
      <c r="N20" s="143">
        <v>18.53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37.299999999999997</v>
      </c>
      <c r="C21" s="144" t="s">
        <v>172</v>
      </c>
      <c r="D21" s="145" t="s">
        <v>172</v>
      </c>
      <c r="E21" s="143">
        <v>40.31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39.049999999999997</v>
      </c>
      <c r="L21" s="144" t="s">
        <v>172</v>
      </c>
      <c r="M21" s="145" t="s">
        <v>172</v>
      </c>
      <c r="N21" s="143">
        <v>18.96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37.96</v>
      </c>
      <c r="C22" s="144" t="s">
        <v>172</v>
      </c>
      <c r="D22" s="145" t="s">
        <v>172</v>
      </c>
      <c r="E22" s="143">
        <v>40.950000000000003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39.619999999999997</v>
      </c>
      <c r="L22" s="144" t="s">
        <v>172</v>
      </c>
      <c r="M22" s="145" t="s">
        <v>172</v>
      </c>
      <c r="N22" s="143">
        <f>N21</f>
        <v>18.96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38.03</v>
      </c>
      <c r="C23" s="144" t="s">
        <v>172</v>
      </c>
      <c r="D23" s="145" t="s">
        <v>172</v>
      </c>
      <c r="E23" s="143">
        <v>40.92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41.19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1.1399999999999999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0.56000000000000005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4.66</v>
      </c>
      <c r="F27" s="158" t="s">
        <v>172</v>
      </c>
      <c r="G27" s="159" t="s">
        <v>172</v>
      </c>
      <c r="H27" s="160">
        <v>4.99</v>
      </c>
      <c r="I27" s="158" t="s">
        <v>172</v>
      </c>
      <c r="J27" s="159" t="s">
        <v>172</v>
      </c>
      <c r="K27" s="160">
        <v>4.54</v>
      </c>
      <c r="L27" s="158" t="s">
        <v>172</v>
      </c>
      <c r="M27" s="159" t="s">
        <v>172</v>
      </c>
      <c r="N27" s="160">
        <v>2.0299999999999998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7.5498000000000003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1.9637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2.4007000000000001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5.7224000000000004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3.3944999999999999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43203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0.61553492916463115</v>
      </c>
      <c r="C6" s="103" t="s">
        <v>172</v>
      </c>
      <c r="D6" s="104" t="s">
        <v>172</v>
      </c>
      <c r="E6" s="102">
        <f>E19/$B$32</f>
        <v>0.65461651196873472</v>
      </c>
      <c r="F6" s="103" t="s">
        <v>172</v>
      </c>
      <c r="G6" s="104" t="s">
        <v>172</v>
      </c>
      <c r="H6" s="102">
        <f>H19/$B$32</f>
        <v>0.75720566682950652</v>
      </c>
      <c r="I6" s="103" t="s">
        <v>172</v>
      </c>
      <c r="J6" s="104" t="s">
        <v>172</v>
      </c>
      <c r="K6" s="102">
        <f>K19/$B$32</f>
        <v>0.66927210552027361</v>
      </c>
      <c r="L6" s="103" t="s">
        <v>172</v>
      </c>
      <c r="M6" s="104" t="s">
        <v>172</v>
      </c>
      <c r="N6" s="102">
        <f>N19/$B$32</f>
        <v>0.36150464093795798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0.61863230092818755</v>
      </c>
      <c r="C7" s="107">
        <f>B7-B$6</f>
        <v>3.0973717635564002E-3</v>
      </c>
      <c r="D7" s="108">
        <f>B7/B$6*100</f>
        <v>100.50319999999999</v>
      </c>
      <c r="E7" s="102">
        <f t="shared" ref="E7:E10" si="0">E20*$B$35/100/$B$32</f>
        <v>0.67185145090376153</v>
      </c>
      <c r="F7" s="107">
        <f>E7-E$6</f>
        <v>1.7234938935026811E-2</v>
      </c>
      <c r="G7" s="108">
        <f>E7/E$6*100</f>
        <v>102.63282985074626</v>
      </c>
      <c r="H7" s="102">
        <f t="shared" ref="H7:H10" si="1">H20*$B$35/100/$B$32</f>
        <v>0.7550668490473863</v>
      </c>
      <c r="I7" s="107">
        <f t="shared" ref="I7:I14" si="2">H7-H$6</f>
        <v>-2.138817782120217E-3</v>
      </c>
      <c r="J7" s="108">
        <f t="shared" ref="J7:J14" si="3">H7/H$6*100</f>
        <v>99.71753806451612</v>
      </c>
      <c r="K7" s="102">
        <f t="shared" ref="K7:K10" si="4">K20*$B$35/100/$B$32</f>
        <v>0.64491933561309234</v>
      </c>
      <c r="L7" s="107">
        <f t="shared" ref="L7:L14" si="5">K7-K$6</f>
        <v>-2.4352769907181271E-2</v>
      </c>
      <c r="M7" s="108">
        <f t="shared" ref="M7:M14" si="6">K7/K$6*100</f>
        <v>96.361305109489052</v>
      </c>
      <c r="N7" s="102">
        <f t="shared" ref="N7:N10" si="7">N20*$B$35/100/$B$32</f>
        <v>0.29883359062042014</v>
      </c>
      <c r="O7" s="107">
        <f t="shared" ref="O7:O14" si="8">N7-N$6</f>
        <v>-6.2671050317537835E-2</v>
      </c>
      <c r="P7" s="108">
        <f t="shared" ref="P7:P14" si="9">N7/N$6*100</f>
        <v>82.663832432432443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0.60153766487542748</v>
      </c>
      <c r="C8" s="107">
        <f t="shared" ref="C8:C11" si="11">B8-B$6</f>
        <v>-1.399726428920367E-2</v>
      </c>
      <c r="D8" s="108">
        <f t="shared" ref="D8:D11" si="12">B8/B$6*100</f>
        <v>97.725999999999999</v>
      </c>
      <c r="E8" s="102">
        <f t="shared" si="0"/>
        <v>0.65007998045920867</v>
      </c>
      <c r="F8" s="107">
        <f t="shared" ref="F8:F14" si="13">E8-E$6</f>
        <v>-4.5365315095260428E-3</v>
      </c>
      <c r="G8" s="108">
        <f t="shared" ref="G8:G14" si="14">E8/E$6*100</f>
        <v>99.306994029850756</v>
      </c>
      <c r="H8" s="102">
        <f t="shared" si="1"/>
        <v>0.72087757694186616</v>
      </c>
      <c r="I8" s="107">
        <f t="shared" si="2"/>
        <v>-3.6328089887640358E-2</v>
      </c>
      <c r="J8" s="108">
        <f t="shared" si="3"/>
        <v>95.202348387096791</v>
      </c>
      <c r="K8" s="102">
        <f t="shared" si="4"/>
        <v>0.6297599413776257</v>
      </c>
      <c r="L8" s="107">
        <f t="shared" si="5"/>
        <v>-3.951216414264791E-2</v>
      </c>
      <c r="M8" s="108">
        <f t="shared" si="6"/>
        <v>94.096248175182467</v>
      </c>
      <c r="N8" s="102">
        <f t="shared" si="7"/>
        <v>0.30576820713238884</v>
      </c>
      <c r="O8" s="107">
        <f t="shared" si="8"/>
        <v>-5.5736433805569141E-2</v>
      </c>
      <c r="P8" s="108">
        <f t="shared" si="9"/>
        <v>84.582097297297281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0.61218149487054219</v>
      </c>
      <c r="C9" s="107">
        <f t="shared" si="11"/>
        <v>-3.3534342940889639E-3</v>
      </c>
      <c r="D9" s="108">
        <f t="shared" si="12"/>
        <v>99.455199999999991</v>
      </c>
      <c r="E9" s="102">
        <f t="shared" si="0"/>
        <v>0.66040127015144112</v>
      </c>
      <c r="F9" s="107">
        <f t="shared" si="13"/>
        <v>5.7847581827064065E-3</v>
      </c>
      <c r="G9" s="108">
        <f t="shared" si="14"/>
        <v>100.88368656716418</v>
      </c>
      <c r="H9" s="102">
        <f t="shared" si="1"/>
        <v>0.71442677088422069</v>
      </c>
      <c r="I9" s="107">
        <f t="shared" si="2"/>
        <v>-4.2778895945285833E-2</v>
      </c>
      <c r="J9" s="108">
        <f t="shared" si="3"/>
        <v>94.350425806451611</v>
      </c>
      <c r="K9" s="102">
        <f t="shared" si="4"/>
        <v>0.63895234000977041</v>
      </c>
      <c r="L9" s="107">
        <f t="shared" si="5"/>
        <v>-3.0319765510503194E-2</v>
      </c>
      <c r="M9" s="108">
        <f t="shared" si="6"/>
        <v>95.469740145985398</v>
      </c>
      <c r="N9" s="102">
        <f t="shared" si="7"/>
        <v>0.30576820713238884</v>
      </c>
      <c r="O9" s="107">
        <f t="shared" si="8"/>
        <v>-5.5736433805569141E-2</v>
      </c>
      <c r="P9" s="108">
        <f t="shared" si="9"/>
        <v>84.582097297297281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0.61379419638495358</v>
      </c>
      <c r="C10" s="107">
        <f t="shared" si="11"/>
        <v>-1.7407327796775673E-3</v>
      </c>
      <c r="D10" s="108">
        <f t="shared" si="12"/>
        <v>99.717200000000005</v>
      </c>
      <c r="E10" s="102">
        <f t="shared" si="0"/>
        <v>0.65991745969711768</v>
      </c>
      <c r="F10" s="107">
        <f t="shared" si="13"/>
        <v>5.3009477283829654E-3</v>
      </c>
      <c r="G10" s="108">
        <f t="shared" si="14"/>
        <v>100.80977910447761</v>
      </c>
      <c r="H10" s="102">
        <f t="shared" si="1"/>
        <v>0.76603321934538349</v>
      </c>
      <c r="I10" s="107">
        <f t="shared" si="2"/>
        <v>8.8275525158769685E-3</v>
      </c>
      <c r="J10" s="108">
        <f t="shared" si="3"/>
        <v>101.16580645161291</v>
      </c>
      <c r="K10" s="102">
        <f t="shared" si="4"/>
        <v>0.66427175378602832</v>
      </c>
      <c r="L10" s="107">
        <f t="shared" si="5"/>
        <v>-5.0003517342452897E-3</v>
      </c>
      <c r="M10" s="108">
        <f t="shared" si="6"/>
        <v>99.252867153284669</v>
      </c>
      <c r="N10" s="102">
        <f t="shared" si="7"/>
        <v>0.27964244259892523</v>
      </c>
      <c r="O10" s="107">
        <f t="shared" si="8"/>
        <v>-8.1862198339032743E-2</v>
      </c>
      <c r="P10" s="108">
        <f t="shared" si="9"/>
        <v>77.355145945945949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1.113889081582804</v>
      </c>
      <c r="C11" s="107">
        <f t="shared" si="11"/>
        <v>0.49835415241817282</v>
      </c>
      <c r="D11" s="108">
        <f t="shared" si="12"/>
        <v>180.96277380952378</v>
      </c>
      <c r="E11" s="102">
        <f>E24*$B$31/100/$B$32</f>
        <v>1.1427463116756227</v>
      </c>
      <c r="F11" s="107">
        <f t="shared" si="13"/>
        <v>0.48812979970688797</v>
      </c>
      <c r="G11" s="108">
        <f t="shared" si="14"/>
        <v>174.56729104477611</v>
      </c>
      <c r="H11" s="102">
        <f>H24*$B$31/100/$B$32</f>
        <v>1.2878019882755252</v>
      </c>
      <c r="I11" s="107">
        <f t="shared" si="2"/>
        <v>0.53059632144601865</v>
      </c>
      <c r="J11" s="108">
        <f t="shared" si="3"/>
        <v>170.07294645161292</v>
      </c>
      <c r="K11" s="102">
        <f>K24*$B$31/100/$B$32</f>
        <v>0.98460869076697599</v>
      </c>
      <c r="L11" s="107">
        <f t="shared" si="5"/>
        <v>0.31533658524670238</v>
      </c>
      <c r="M11" s="108">
        <f t="shared" si="6"/>
        <v>147.11634963503647</v>
      </c>
      <c r="N11" s="102">
        <f>N24*$B$31/100/$B$32</f>
        <v>0.46363949682462141</v>
      </c>
      <c r="O11" s="107">
        <f t="shared" si="8"/>
        <v>0.10213485588666343</v>
      </c>
      <c r="P11" s="108">
        <f t="shared" si="9"/>
        <v>128.25270945945945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1.507209574987787</v>
      </c>
      <c r="F12" s="107">
        <f t="shared" si="13"/>
        <v>0.85259306301905224</v>
      </c>
      <c r="G12" s="108">
        <f t="shared" si="14"/>
        <v>230.2431343283582</v>
      </c>
      <c r="H12" s="102">
        <f t="shared" ref="H12:H13" si="15">H25*$B$33/$B$32</f>
        <v>1.5813346360527603</v>
      </c>
      <c r="I12" s="107">
        <f t="shared" si="2"/>
        <v>0.82412896922325374</v>
      </c>
      <c r="J12" s="108">
        <f t="shared" si="3"/>
        <v>208.83819354838712</v>
      </c>
      <c r="K12" s="102">
        <f t="shared" ref="K12:K13" si="16">K25*$B$33/$B$32</f>
        <v>1.4083761602344893</v>
      </c>
      <c r="L12" s="107">
        <f t="shared" si="5"/>
        <v>0.7391040547142157</v>
      </c>
      <c r="M12" s="108">
        <f t="shared" si="6"/>
        <v>210.43401459854013</v>
      </c>
      <c r="N12" s="102">
        <f t="shared" ref="N12:N13" si="17">N25*$B$33/$B$32</f>
        <v>0.65477137274059605</v>
      </c>
      <c r="O12" s="107">
        <f t="shared" si="8"/>
        <v>0.29326673180263807</v>
      </c>
      <c r="P12" s="108">
        <f t="shared" si="9"/>
        <v>181.12391891891895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1.4825012212994626</v>
      </c>
      <c r="F13" s="107">
        <f t="shared" si="13"/>
        <v>0.82788470933072789</v>
      </c>
      <c r="G13" s="108">
        <f t="shared" si="14"/>
        <v>226.46865671641788</v>
      </c>
      <c r="H13" s="102">
        <f t="shared" si="15"/>
        <v>1.5689804592085981</v>
      </c>
      <c r="I13" s="107">
        <f t="shared" si="2"/>
        <v>0.81177479237909156</v>
      </c>
      <c r="J13" s="108">
        <f t="shared" si="3"/>
        <v>207.20664516129034</v>
      </c>
      <c r="K13" s="102">
        <f t="shared" si="16"/>
        <v>1.3960219833903273</v>
      </c>
      <c r="L13" s="107">
        <f t="shared" si="5"/>
        <v>0.72674987787005374</v>
      </c>
      <c r="M13" s="108">
        <f t="shared" si="6"/>
        <v>208.58810218978104</v>
      </c>
      <c r="N13" s="102">
        <f t="shared" si="17"/>
        <v>0.69183390327308258</v>
      </c>
      <c r="O13" s="107">
        <f t="shared" si="8"/>
        <v>0.33032926233512461</v>
      </c>
      <c r="P13" s="108">
        <f t="shared" si="9"/>
        <v>191.37621621621622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1.3784394723986322</v>
      </c>
      <c r="F14" s="119">
        <f t="shared" si="13"/>
        <v>0.72382296042989747</v>
      </c>
      <c r="G14" s="120">
        <f t="shared" si="14"/>
        <v>210.57205970149252</v>
      </c>
      <c r="H14" s="118">
        <f>H27*$B$34/10/$B$32</f>
        <v>1.4962548119198829</v>
      </c>
      <c r="I14" s="119">
        <f t="shared" si="2"/>
        <v>0.73904914509037634</v>
      </c>
      <c r="J14" s="120">
        <f t="shared" si="3"/>
        <v>197.60216774193552</v>
      </c>
      <c r="K14" s="118">
        <f>K27*$B$34/10/$B$32</f>
        <v>1.354876404494382</v>
      </c>
      <c r="L14" s="119">
        <f t="shared" si="5"/>
        <v>0.68560429897410835</v>
      </c>
      <c r="M14" s="120">
        <f t="shared" si="6"/>
        <v>202.44029197080292</v>
      </c>
      <c r="N14" s="118">
        <f>N27*$B$34/10/$B$32</f>
        <v>0.59791284807034684</v>
      </c>
      <c r="O14" s="119">
        <f t="shared" si="8"/>
        <v>0.23640820713238886</v>
      </c>
      <c r="P14" s="120">
        <f t="shared" si="9"/>
        <v>165.39562162162161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1.26</v>
      </c>
      <c r="C19" s="135" t="s">
        <v>172</v>
      </c>
      <c r="D19" s="136" t="s">
        <v>172</v>
      </c>
      <c r="E19" s="134">
        <v>1.34</v>
      </c>
      <c r="F19" s="135" t="s">
        <v>172</v>
      </c>
      <c r="G19" s="136" t="s">
        <v>172</v>
      </c>
      <c r="H19" s="134">
        <v>1.55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38.36</v>
      </c>
      <c r="C20" s="144" t="s">
        <v>172</v>
      </c>
      <c r="D20" s="145" t="s">
        <v>172</v>
      </c>
      <c r="E20" s="143">
        <v>41.66</v>
      </c>
      <c r="F20" s="144" t="s">
        <v>172</v>
      </c>
      <c r="G20" s="145" t="s">
        <v>172</v>
      </c>
      <c r="H20" s="143">
        <v>46.82</v>
      </c>
      <c r="I20" s="144" t="s">
        <v>172</v>
      </c>
      <c r="J20" s="145" t="s">
        <v>172</v>
      </c>
      <c r="K20" s="143">
        <v>39.99</v>
      </c>
      <c r="L20" s="144" t="s">
        <v>172</v>
      </c>
      <c r="M20" s="145" t="s">
        <v>172</v>
      </c>
      <c r="N20" s="143">
        <v>18.53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37.299999999999997</v>
      </c>
      <c r="C21" s="144" t="s">
        <v>172</v>
      </c>
      <c r="D21" s="145" t="s">
        <v>172</v>
      </c>
      <c r="E21" s="143">
        <v>40.31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39.049999999999997</v>
      </c>
      <c r="L21" s="144" t="s">
        <v>172</v>
      </c>
      <c r="M21" s="145" t="s">
        <v>172</v>
      </c>
      <c r="N21" s="143">
        <v>18.96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37.96</v>
      </c>
      <c r="C22" s="144" t="s">
        <v>172</v>
      </c>
      <c r="D22" s="145" t="s">
        <v>172</v>
      </c>
      <c r="E22" s="143">
        <v>40.950000000000003</v>
      </c>
      <c r="F22" s="144" t="s">
        <v>172</v>
      </c>
      <c r="G22" s="145" t="s">
        <v>172</v>
      </c>
      <c r="H22" s="143">
        <v>44.3</v>
      </c>
      <c r="I22" s="144" t="s">
        <v>172</v>
      </c>
      <c r="J22" s="145" t="s">
        <v>172</v>
      </c>
      <c r="K22" s="143">
        <v>39.619999999999997</v>
      </c>
      <c r="L22" s="144" t="s">
        <v>172</v>
      </c>
      <c r="M22" s="145" t="s">
        <v>172</v>
      </c>
      <c r="N22" s="143">
        <f>N21</f>
        <v>18.96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38.06</v>
      </c>
      <c r="C23" s="144" t="s">
        <v>172</v>
      </c>
      <c r="D23" s="145" t="s">
        <v>172</v>
      </c>
      <c r="E23" s="143">
        <v>40.92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41.19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33.47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12.05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1.1399999999999999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0.56000000000000005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4.68</v>
      </c>
      <c r="F27" s="158" t="s">
        <v>172</v>
      </c>
      <c r="G27" s="159" t="s">
        <v>172</v>
      </c>
      <c r="H27" s="160">
        <v>5.08</v>
      </c>
      <c r="I27" s="158" t="s">
        <v>172</v>
      </c>
      <c r="J27" s="159" t="s">
        <v>172</v>
      </c>
      <c r="K27" s="160">
        <v>4.5999999999999996</v>
      </c>
      <c r="L27" s="158" t="s">
        <v>172</v>
      </c>
      <c r="M27" s="159" t="s">
        <v>172</v>
      </c>
      <c r="N27" s="160">
        <v>2.0299999999999998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7.8761000000000001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2.0470000000000002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2.5289000000000001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6.0292000000000003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3.3012000000000001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43208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0.62331288343558278</v>
      </c>
      <c r="C6" s="103" t="s">
        <v>172</v>
      </c>
      <c r="D6" s="104" t="s">
        <v>172</v>
      </c>
      <c r="E6" s="102">
        <f>E19/$B$32</f>
        <v>0.66257668711656448</v>
      </c>
      <c r="F6" s="103" t="s">
        <v>172</v>
      </c>
      <c r="G6" s="104" t="s">
        <v>172</v>
      </c>
      <c r="H6" s="102">
        <f>H19/$B$32</f>
        <v>0.76564417177914113</v>
      </c>
      <c r="I6" s="103" t="s">
        <v>172</v>
      </c>
      <c r="J6" s="104" t="s">
        <v>172</v>
      </c>
      <c r="K6" s="102">
        <f>K19/$B$32</f>
        <v>0.66748466257668715</v>
      </c>
      <c r="L6" s="103" t="s">
        <v>172</v>
      </c>
      <c r="M6" s="104" t="s">
        <v>172</v>
      </c>
      <c r="N6" s="102">
        <f>N19/$B$32</f>
        <v>0.36319018404907971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0.61703982331288343</v>
      </c>
      <c r="C7" s="107">
        <f>B7-B$6</f>
        <v>-6.2730601226993477E-3</v>
      </c>
      <c r="D7" s="108">
        <f>B7/B$6*100</f>
        <v>98.993593700787414</v>
      </c>
      <c r="E7" s="102">
        <f t="shared" ref="E7:E10" si="0">E20*$B$35/100/$B$32</f>
        <v>0.66985098404907972</v>
      </c>
      <c r="F7" s="107">
        <f>E7-E$6</f>
        <v>7.2742969325152451E-3</v>
      </c>
      <c r="G7" s="108">
        <f>E7/E$6*100</f>
        <v>101.09787999999999</v>
      </c>
      <c r="H7" s="102">
        <f t="shared" ref="H7:H10" si="1">H20*$B$35/100/$B$32</f>
        <v>0.7562108760736197</v>
      </c>
      <c r="I7" s="107">
        <f t="shared" ref="I7:I14" si="2">H7-H$6</f>
        <v>-9.4332957055214273E-3</v>
      </c>
      <c r="J7" s="108">
        <f t="shared" ref="J7:J14" si="3">H7/H$6*100</f>
        <v>98.767926923076928</v>
      </c>
      <c r="K7" s="102">
        <f t="shared" ref="K7:K10" si="4">K20*$B$35/100/$B$32</f>
        <v>0.64320462331288342</v>
      </c>
      <c r="L7" s="107">
        <f t="shared" ref="L7:L14" si="5">K7-K$6</f>
        <v>-2.4280039263803732E-2</v>
      </c>
      <c r="M7" s="108">
        <f t="shared" ref="M7:M14" si="6">K7/K$6*100</f>
        <v>96.362457352941163</v>
      </c>
      <c r="N7" s="102">
        <f t="shared" ref="N7:N10" si="7">N20*$B$35/100/$B$32</f>
        <v>0.29920973742331292</v>
      </c>
      <c r="O7" s="107">
        <f t="shared" ref="O7:O14" si="8">N7-N$6</f>
        <v>-6.3980446625766796E-2</v>
      </c>
      <c r="P7" s="108">
        <f t="shared" ref="P7:P14" si="9">N7/N$6*100</f>
        <v>82.383762162162171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0.6030745619631902</v>
      </c>
      <c r="C8" s="107">
        <f t="shared" ref="C8:C11" si="11">B8-B$6</f>
        <v>-2.0238321472392573E-2</v>
      </c>
      <c r="D8" s="108">
        <f t="shared" ref="D8:D11" si="12">B8/B$6*100</f>
        <v>96.753103937007893</v>
      </c>
      <c r="E8" s="102">
        <f t="shared" si="0"/>
        <v>0.65074907484662581</v>
      </c>
      <c r="F8" s="107">
        <f t="shared" ref="F8:F14" si="13">E8-E$6</f>
        <v>-1.182761226993867E-2</v>
      </c>
      <c r="G8" s="108">
        <f t="shared" ref="G8:G14" si="14">E8/E$6*100</f>
        <v>98.214906666666664</v>
      </c>
      <c r="H8" s="102">
        <f t="shared" si="1"/>
        <v>0.71752549693251533</v>
      </c>
      <c r="I8" s="107">
        <f t="shared" si="2"/>
        <v>-4.8118674846625797E-2</v>
      </c>
      <c r="J8" s="108">
        <f t="shared" si="3"/>
        <v>93.715269230769223</v>
      </c>
      <c r="K8" s="102">
        <f t="shared" si="4"/>
        <v>0.62683155828220849</v>
      </c>
      <c r="L8" s="107">
        <f t="shared" si="5"/>
        <v>-4.0653104294478659E-2</v>
      </c>
      <c r="M8" s="108">
        <f t="shared" si="6"/>
        <v>93.909507352941162</v>
      </c>
      <c r="N8" s="102">
        <f t="shared" si="7"/>
        <v>0.30434638527607361</v>
      </c>
      <c r="O8" s="107">
        <f t="shared" si="8"/>
        <v>-5.8843798773006106E-2</v>
      </c>
      <c r="P8" s="108">
        <f t="shared" si="9"/>
        <v>83.798075675675676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0.61238473619631895</v>
      </c>
      <c r="C9" s="107">
        <f t="shared" si="11"/>
        <v>-1.092814723926383E-2</v>
      </c>
      <c r="D9" s="108">
        <f t="shared" si="12"/>
        <v>98.246763779527555</v>
      </c>
      <c r="E9" s="102">
        <f t="shared" si="0"/>
        <v>0.6610223705521473</v>
      </c>
      <c r="F9" s="107">
        <f t="shared" si="13"/>
        <v>-1.5543165644171797E-3</v>
      </c>
      <c r="G9" s="108">
        <f t="shared" si="14"/>
        <v>99.765413333333328</v>
      </c>
      <c r="H9" s="102">
        <f t="shared" si="1"/>
        <v>0.71399405153374229</v>
      </c>
      <c r="I9" s="107">
        <f t="shared" si="2"/>
        <v>-5.1650120245398834E-2</v>
      </c>
      <c r="J9" s="108">
        <f t="shared" si="3"/>
        <v>93.254030769230766</v>
      </c>
      <c r="K9" s="102">
        <f t="shared" si="4"/>
        <v>0.64175994110429435</v>
      </c>
      <c r="L9" s="107">
        <f t="shared" si="5"/>
        <v>-2.5724721472392797E-2</v>
      </c>
      <c r="M9" s="108">
        <f t="shared" si="6"/>
        <v>96.146020588235274</v>
      </c>
      <c r="N9" s="102">
        <f t="shared" si="7"/>
        <v>0.30434638527607361</v>
      </c>
      <c r="O9" s="107">
        <f t="shared" si="8"/>
        <v>-5.8843798773006106E-2</v>
      </c>
      <c r="P9" s="108">
        <f t="shared" si="9"/>
        <v>83.798075675675676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0.60724808834355826</v>
      </c>
      <c r="C10" s="107">
        <f t="shared" si="11"/>
        <v>-1.606479509202452E-2</v>
      </c>
      <c r="D10" s="108">
        <f t="shared" si="12"/>
        <v>97.422675590551194</v>
      </c>
      <c r="E10" s="102">
        <f t="shared" si="0"/>
        <v>0.66294861349693235</v>
      </c>
      <c r="F10" s="107">
        <f t="shared" si="13"/>
        <v>3.7192638036787073E-4</v>
      </c>
      <c r="G10" s="108">
        <f t="shared" si="14"/>
        <v>100.05613333333329</v>
      </c>
      <c r="H10" s="102">
        <f t="shared" si="1"/>
        <v>0.76247116564417172</v>
      </c>
      <c r="I10" s="107">
        <f t="shared" si="2"/>
        <v>-3.1730061349694028E-3</v>
      </c>
      <c r="J10" s="108">
        <f t="shared" si="3"/>
        <v>99.585576923076914</v>
      </c>
      <c r="K10" s="102">
        <f t="shared" si="4"/>
        <v>0.65813300613496917</v>
      </c>
      <c r="L10" s="107">
        <f t="shared" si="5"/>
        <v>-9.3516564417179815E-3</v>
      </c>
      <c r="M10" s="108">
        <f t="shared" si="6"/>
        <v>98.598970588235275</v>
      </c>
      <c r="N10" s="102">
        <f t="shared" si="7"/>
        <v>0.27834210552147237</v>
      </c>
      <c r="O10" s="107">
        <f t="shared" si="8"/>
        <v>-8.484807852760734E-2</v>
      </c>
      <c r="P10" s="108">
        <f t="shared" si="9"/>
        <v>76.638113513513517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1.1063375705521472</v>
      </c>
      <c r="C11" s="107">
        <f t="shared" si="11"/>
        <v>0.48302468711656443</v>
      </c>
      <c r="D11" s="108">
        <f t="shared" si="12"/>
        <v>177.49313385826773</v>
      </c>
      <c r="E11" s="102">
        <f>E24*$B$31/100/$B$32</f>
        <v>1.1349991656441718</v>
      </c>
      <c r="F11" s="107">
        <f t="shared" si="13"/>
        <v>0.47242247852760733</v>
      </c>
      <c r="G11" s="108">
        <f t="shared" si="14"/>
        <v>171.30079999999998</v>
      </c>
      <c r="H11" s="102">
        <f>H24*$B$31/100/$B$32</f>
        <v>1.2809822233128834</v>
      </c>
      <c r="I11" s="107">
        <f t="shared" si="2"/>
        <v>0.51533805153374224</v>
      </c>
      <c r="J11" s="108">
        <f t="shared" si="3"/>
        <v>167.30777435897434</v>
      </c>
      <c r="K11" s="102">
        <f>K24*$B$31/100/$B$32</f>
        <v>0.97793362453987742</v>
      </c>
      <c r="L11" s="107">
        <f t="shared" si="5"/>
        <v>0.31044896196319027</v>
      </c>
      <c r="M11" s="108">
        <f t="shared" si="6"/>
        <v>146.51027647058825</v>
      </c>
      <c r="N11" s="102">
        <f>N24*$B$31/100/$B$32</f>
        <v>0.4631713766871165</v>
      </c>
      <c r="O11" s="107">
        <f t="shared" si="8"/>
        <v>9.9981192638036787E-2</v>
      </c>
      <c r="P11" s="108">
        <f t="shared" si="9"/>
        <v>127.5286054054054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1.5042375460122697</v>
      </c>
      <c r="F12" s="107">
        <f t="shared" si="13"/>
        <v>0.84166085889570519</v>
      </c>
      <c r="G12" s="108">
        <f t="shared" si="14"/>
        <v>227.02844444444437</v>
      </c>
      <c r="H12" s="102">
        <f t="shared" ref="H12:H13" si="15">H25*$B$33/$B$32</f>
        <v>1.5782164417177915</v>
      </c>
      <c r="I12" s="107">
        <f t="shared" si="2"/>
        <v>0.81257226993865039</v>
      </c>
      <c r="J12" s="108">
        <f t="shared" si="3"/>
        <v>206.12923076923079</v>
      </c>
      <c r="K12" s="102">
        <f t="shared" ref="K12:K13" si="16">K25*$B$33/$B$32</f>
        <v>1.4055990184049079</v>
      </c>
      <c r="L12" s="107">
        <f t="shared" si="5"/>
        <v>0.73811435582822071</v>
      </c>
      <c r="M12" s="108">
        <f t="shared" si="6"/>
        <v>210.58147058823528</v>
      </c>
      <c r="N12" s="102">
        <f t="shared" ref="N12:N13" si="17">N25*$B$33/$B$32</f>
        <v>0.65348024539877303</v>
      </c>
      <c r="O12" s="107">
        <f t="shared" si="8"/>
        <v>0.29029006134969332</v>
      </c>
      <c r="P12" s="108">
        <f t="shared" si="9"/>
        <v>179.92783783783784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1.4795779141104293</v>
      </c>
      <c r="F13" s="107">
        <f t="shared" si="13"/>
        <v>0.81700122699386479</v>
      </c>
      <c r="G13" s="108">
        <f t="shared" si="14"/>
        <v>223.30666666666664</v>
      </c>
      <c r="H13" s="102">
        <f t="shared" si="15"/>
        <v>1.5658866257668711</v>
      </c>
      <c r="I13" s="107">
        <f t="shared" si="2"/>
        <v>0.80024245398772997</v>
      </c>
      <c r="J13" s="108">
        <f t="shared" si="3"/>
        <v>204.51884615384611</v>
      </c>
      <c r="K13" s="102">
        <f t="shared" si="16"/>
        <v>1.3932692024539877</v>
      </c>
      <c r="L13" s="107">
        <f t="shared" si="5"/>
        <v>0.72578453987730052</v>
      </c>
      <c r="M13" s="108">
        <f t="shared" si="6"/>
        <v>208.73426470588234</v>
      </c>
      <c r="N13" s="102">
        <f t="shared" si="17"/>
        <v>0.67813987730061354</v>
      </c>
      <c r="O13" s="107">
        <f t="shared" si="8"/>
        <v>0.31494969325153382</v>
      </c>
      <c r="P13" s="108">
        <f t="shared" si="9"/>
        <v>186.71756756756761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1.3964250306748465</v>
      </c>
      <c r="F14" s="119">
        <f t="shared" si="13"/>
        <v>0.73384834355828199</v>
      </c>
      <c r="G14" s="120">
        <f t="shared" si="14"/>
        <v>210.7567407407407</v>
      </c>
      <c r="H14" s="118">
        <f>H27*$B$34/10/$B$32</f>
        <v>1.4999734969325151</v>
      </c>
      <c r="I14" s="119">
        <f t="shared" si="2"/>
        <v>0.73432932515337401</v>
      </c>
      <c r="J14" s="120">
        <f t="shared" si="3"/>
        <v>195.90999999999997</v>
      </c>
      <c r="K14" s="118">
        <f>K27*$B$34/10/$B$32</f>
        <v>1.3727568098159506</v>
      </c>
      <c r="L14" s="119">
        <f t="shared" si="5"/>
        <v>0.70527214723926346</v>
      </c>
      <c r="M14" s="120">
        <f t="shared" si="6"/>
        <v>205.6611764705882</v>
      </c>
      <c r="N14" s="118">
        <f>N27*$B$34/10/$B$32</f>
        <v>0.60353963190184046</v>
      </c>
      <c r="O14" s="119">
        <f t="shared" si="8"/>
        <v>0.24034944785276074</v>
      </c>
      <c r="P14" s="120">
        <f t="shared" si="9"/>
        <v>166.17729729729732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1.36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38.44</v>
      </c>
      <c r="C20" s="144" t="s">
        <v>172</v>
      </c>
      <c r="D20" s="145" t="s">
        <v>172</v>
      </c>
      <c r="E20" s="143">
        <v>41.73</v>
      </c>
      <c r="F20" s="144" t="s">
        <v>172</v>
      </c>
      <c r="G20" s="145" t="s">
        <v>172</v>
      </c>
      <c r="H20" s="143">
        <v>47.11</v>
      </c>
      <c r="I20" s="144" t="s">
        <v>172</v>
      </c>
      <c r="J20" s="145" t="s">
        <v>172</v>
      </c>
      <c r="K20" s="143">
        <v>40.07</v>
      </c>
      <c r="L20" s="144" t="s">
        <v>172</v>
      </c>
      <c r="M20" s="145" t="s">
        <v>172</v>
      </c>
      <c r="N20" s="143">
        <v>18.64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37.57</v>
      </c>
      <c r="C21" s="144" t="s">
        <v>172</v>
      </c>
      <c r="D21" s="145" t="s">
        <v>172</v>
      </c>
      <c r="E21" s="143">
        <v>40.54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39.049999999999997</v>
      </c>
      <c r="L21" s="144" t="s">
        <v>172</v>
      </c>
      <c r="M21" s="145" t="s">
        <v>172</v>
      </c>
      <c r="N21" s="143">
        <v>18.96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38.15</v>
      </c>
      <c r="C22" s="144" t="s">
        <v>172</v>
      </c>
      <c r="D22" s="145" t="s">
        <v>172</v>
      </c>
      <c r="E22" s="143">
        <v>41.18</v>
      </c>
      <c r="F22" s="144" t="s">
        <v>172</v>
      </c>
      <c r="G22" s="145" t="s">
        <v>172</v>
      </c>
      <c r="H22" s="143">
        <v>44.48</v>
      </c>
      <c r="I22" s="144" t="s">
        <v>172</v>
      </c>
      <c r="J22" s="145" t="s">
        <v>172</v>
      </c>
      <c r="K22" s="143">
        <v>39.979999999999997</v>
      </c>
      <c r="L22" s="144" t="s">
        <v>172</v>
      </c>
      <c r="M22" s="145" t="s">
        <v>172</v>
      </c>
      <c r="N22" s="143">
        <f>N21</f>
        <v>18.96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37.83</v>
      </c>
      <c r="C23" s="144" t="s">
        <v>172</v>
      </c>
      <c r="D23" s="145" t="s">
        <v>172</v>
      </c>
      <c r="E23" s="143">
        <v>41.3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12.12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1.28</v>
      </c>
      <c r="I25" s="144" t="s">
        <v>172</v>
      </c>
      <c r="J25" s="145" t="s">
        <v>172</v>
      </c>
      <c r="K25" s="153">
        <v>1.1399999999999999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4.72</v>
      </c>
      <c r="F27" s="158" t="s">
        <v>172</v>
      </c>
      <c r="G27" s="159" t="s">
        <v>172</v>
      </c>
      <c r="H27" s="160">
        <v>5.07</v>
      </c>
      <c r="I27" s="158" t="s">
        <v>172</v>
      </c>
      <c r="J27" s="159" t="s">
        <v>172</v>
      </c>
      <c r="K27" s="160">
        <v>4.6399999999999997</v>
      </c>
      <c r="L27" s="158" t="s">
        <v>172</v>
      </c>
      <c r="M27" s="159" t="s">
        <v>172</v>
      </c>
      <c r="N27" s="160">
        <v>2.04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7.7864000000000004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2.0375000000000001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2.5122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6.0279999999999996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3.2706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43210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0.63256462618917175</v>
      </c>
      <c r="C6" s="103" t="s">
        <v>172</v>
      </c>
      <c r="D6" s="104" t="s">
        <v>172</v>
      </c>
      <c r="E6" s="102">
        <f>E19/$B$32</f>
        <v>0.67241121681526139</v>
      </c>
      <c r="F6" s="103" t="s">
        <v>172</v>
      </c>
      <c r="G6" s="104" t="s">
        <v>172</v>
      </c>
      <c r="H6" s="102">
        <f>H19/$B$32</f>
        <v>0.77700851720874642</v>
      </c>
      <c r="I6" s="103" t="s">
        <v>172</v>
      </c>
      <c r="J6" s="104" t="s">
        <v>172</v>
      </c>
      <c r="K6" s="102">
        <f>K19/$B$32</f>
        <v>0.67739204064352254</v>
      </c>
      <c r="L6" s="103" t="s">
        <v>172</v>
      </c>
      <c r="M6" s="104" t="s">
        <v>172</v>
      </c>
      <c r="N6" s="102">
        <f>N19/$B$32</f>
        <v>0.36858096329132839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0.63006600587737216</v>
      </c>
      <c r="C7" s="107">
        <f>B7-B$6</f>
        <v>-2.4986203117995931E-3</v>
      </c>
      <c r="D7" s="108">
        <f>B7/B$6*100</f>
        <v>99.60500157480314</v>
      </c>
      <c r="E7" s="102">
        <f t="shared" ref="E7:E10" si="0">E20*$B$35/100/$B$32</f>
        <v>0.6839920506051701</v>
      </c>
      <c r="F7" s="107">
        <f>E7-E$6</f>
        <v>1.1580833789908707E-2</v>
      </c>
      <c r="G7" s="108">
        <f>E7/E$6*100</f>
        <v>101.72228444444443</v>
      </c>
      <c r="H7" s="102">
        <f t="shared" ref="H7:H10" si="1">H20*$B$35/100/$B$32</f>
        <v>0.77217506599591579</v>
      </c>
      <c r="I7" s="107">
        <f t="shared" ref="I7:I14" si="2">H7-H$6</f>
        <v>-4.8334512128306306E-3</v>
      </c>
      <c r="J7" s="108">
        <f t="shared" ref="J7:J14" si="3">H7/H$6*100</f>
        <v>99.377941025641022</v>
      </c>
      <c r="K7" s="102">
        <f t="shared" ref="K7:K10" si="4">K20*$B$35/100/$B$32</f>
        <v>0.65678316481546051</v>
      </c>
      <c r="L7" s="107">
        <f t="shared" ref="L7:L14" si="5">K7-K$6</f>
        <v>-2.0608875828062034E-2</v>
      </c>
      <c r="M7" s="108">
        <f t="shared" ref="M7:M14" si="6">K7/K$6*100</f>
        <v>96.957614705882349</v>
      </c>
      <c r="N7" s="102">
        <f t="shared" ref="N7:N10" si="7">N20*$B$35/100/$B$32</f>
        <v>0.30552628380734176</v>
      </c>
      <c r="O7" s="107">
        <f t="shared" ref="O7:O14" si="8">N7-N$6</f>
        <v>-6.3054679483986631E-2</v>
      </c>
      <c r="P7" s="108">
        <f t="shared" ref="P7:P14" si="9">N7/N$6*100</f>
        <v>82.892583783783792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0.61580592718035565</v>
      </c>
      <c r="C8" s="107">
        <f t="shared" ref="C8:C11" si="11">B8-B$6</f>
        <v>-1.6758699008816103E-2</v>
      </c>
      <c r="D8" s="108">
        <f t="shared" ref="D8:D11" si="12">B8/B$6*100</f>
        <v>97.350674015748027</v>
      </c>
      <c r="E8" s="102">
        <f t="shared" si="0"/>
        <v>0.66448688549086032</v>
      </c>
      <c r="F8" s="107">
        <f t="shared" ref="F8:F14" si="13">E8-E$6</f>
        <v>-7.9243313244010682E-3</v>
      </c>
      <c r="G8" s="108">
        <f t="shared" ref="G8:G14" si="14">E8/E$6*100</f>
        <v>98.821505185185188</v>
      </c>
      <c r="H8" s="102">
        <f t="shared" si="1"/>
        <v>0.73267300891567466</v>
      </c>
      <c r="I8" s="107">
        <f t="shared" si="2"/>
        <v>-4.4335508293071757E-2</v>
      </c>
      <c r="J8" s="108">
        <f t="shared" si="3"/>
        <v>94.294076923076915</v>
      </c>
      <c r="K8" s="102">
        <f t="shared" si="4"/>
        <v>0.64006445186033756</v>
      </c>
      <c r="L8" s="107">
        <f t="shared" si="5"/>
        <v>-3.7327588783184984E-2</v>
      </c>
      <c r="M8" s="108">
        <f t="shared" si="6"/>
        <v>94.489514705882314</v>
      </c>
      <c r="N8" s="102">
        <f t="shared" si="7"/>
        <v>0.31077137022463519</v>
      </c>
      <c r="O8" s="107">
        <f t="shared" si="8"/>
        <v>-5.7809593066693199E-2</v>
      </c>
      <c r="P8" s="108">
        <f t="shared" si="9"/>
        <v>84.315632432432437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0.62531264631169992</v>
      </c>
      <c r="C9" s="107">
        <f t="shared" si="11"/>
        <v>-7.2519798774718369E-3</v>
      </c>
      <c r="D9" s="108">
        <f t="shared" si="12"/>
        <v>98.853559055118083</v>
      </c>
      <c r="E9" s="102">
        <f t="shared" si="0"/>
        <v>0.67497705832544708</v>
      </c>
      <c r="F9" s="107">
        <f t="shared" si="13"/>
        <v>2.5658415101856846E-3</v>
      </c>
      <c r="G9" s="108">
        <f t="shared" si="14"/>
        <v>100.38158814814813</v>
      </c>
      <c r="H9" s="102">
        <f t="shared" si="1"/>
        <v>0.72906701200378532</v>
      </c>
      <c r="I9" s="107">
        <f t="shared" si="2"/>
        <v>-4.7941505204961099E-2</v>
      </c>
      <c r="J9" s="108">
        <f t="shared" si="3"/>
        <v>93.829989743589721</v>
      </c>
      <c r="K9" s="102">
        <f t="shared" si="4"/>
        <v>0.65530798426059678</v>
      </c>
      <c r="L9" s="107">
        <f t="shared" si="5"/>
        <v>-2.2084056382925765E-2</v>
      </c>
      <c r="M9" s="108">
        <f t="shared" si="6"/>
        <v>96.739841176470591</v>
      </c>
      <c r="N9" s="102">
        <f t="shared" si="7"/>
        <v>0.31077137022463519</v>
      </c>
      <c r="O9" s="107">
        <f t="shared" si="8"/>
        <v>-5.7809593066693199E-2</v>
      </c>
      <c r="P9" s="108">
        <f t="shared" si="9"/>
        <v>84.315632432432437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0.62006755989440654</v>
      </c>
      <c r="C10" s="107">
        <f t="shared" si="11"/>
        <v>-1.2497066294765213E-2</v>
      </c>
      <c r="D10" s="108">
        <f t="shared" si="12"/>
        <v>98.024381102362184</v>
      </c>
      <c r="E10" s="102">
        <f t="shared" si="0"/>
        <v>0.67694396573193205</v>
      </c>
      <c r="F10" s="107">
        <f t="shared" si="13"/>
        <v>4.5327489166706592E-3</v>
      </c>
      <c r="G10" s="108">
        <f t="shared" si="14"/>
        <v>100.67410370370369</v>
      </c>
      <c r="H10" s="102">
        <f t="shared" si="1"/>
        <v>0.77856751506699207</v>
      </c>
      <c r="I10" s="107">
        <f t="shared" si="2"/>
        <v>1.5589978582456476E-3</v>
      </c>
      <c r="J10" s="108">
        <f t="shared" si="3"/>
        <v>100.20064102564102</v>
      </c>
      <c r="K10" s="102">
        <f t="shared" si="4"/>
        <v>0.6720266972157195</v>
      </c>
      <c r="L10" s="107">
        <f t="shared" si="5"/>
        <v>-5.3653434278030376E-3</v>
      </c>
      <c r="M10" s="108">
        <f t="shared" si="6"/>
        <v>99.207941176470584</v>
      </c>
      <c r="N10" s="102">
        <f t="shared" si="7"/>
        <v>0.2842181202370872</v>
      </c>
      <c r="O10" s="107">
        <f t="shared" si="8"/>
        <v>-8.4362843054241188E-2</v>
      </c>
      <c r="P10" s="108">
        <f t="shared" si="9"/>
        <v>77.111448648648633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1.1036962195547144</v>
      </c>
      <c r="C11" s="107">
        <f t="shared" si="11"/>
        <v>0.47113159336554267</v>
      </c>
      <c r="D11" s="108">
        <f t="shared" si="12"/>
        <v>174.47959842519685</v>
      </c>
      <c r="E11" s="102">
        <f>E24*$B$31/100/$B$32</f>
        <v>1.1322893858644221</v>
      </c>
      <c r="F11" s="107">
        <f t="shared" si="13"/>
        <v>0.45987816904916068</v>
      </c>
      <c r="G11" s="108">
        <f t="shared" si="14"/>
        <v>168.39239999999998</v>
      </c>
      <c r="H11" s="102">
        <f>H24*$B$31/100/$B$32</f>
        <v>1.2798301240225136</v>
      </c>
      <c r="I11" s="107">
        <f t="shared" si="2"/>
        <v>0.5028216068137672</v>
      </c>
      <c r="J11" s="108">
        <f t="shared" si="3"/>
        <v>164.71249615384619</v>
      </c>
      <c r="K11" s="102">
        <f>K24*$B$31/100/$B$32</f>
        <v>0.9755988344872244</v>
      </c>
      <c r="L11" s="107">
        <f t="shared" si="5"/>
        <v>0.29820679384370186</v>
      </c>
      <c r="M11" s="108">
        <f t="shared" si="6"/>
        <v>144.02277794117649</v>
      </c>
      <c r="N11" s="102">
        <f>N24*$B$31/100/$B$32</f>
        <v>0.46130308312994978</v>
      </c>
      <c r="O11" s="107">
        <f t="shared" si="8"/>
        <v>9.2722119838621386E-2</v>
      </c>
      <c r="P11" s="108">
        <f t="shared" si="9"/>
        <v>125.15651351351353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1.5099755939632418</v>
      </c>
      <c r="F12" s="107">
        <f t="shared" si="13"/>
        <v>0.83756437714798038</v>
      </c>
      <c r="G12" s="108">
        <f t="shared" si="14"/>
        <v>224.56133333333329</v>
      </c>
      <c r="H12" s="102">
        <f t="shared" ref="H12:H13" si="15">H25*$B$33/$B$32</f>
        <v>1.571859839617473</v>
      </c>
      <c r="I12" s="107">
        <f t="shared" si="2"/>
        <v>0.79485132240872658</v>
      </c>
      <c r="J12" s="108">
        <f t="shared" si="3"/>
        <v>202.29634615384614</v>
      </c>
      <c r="K12" s="102">
        <f t="shared" ref="K12:K13" si="16">K25*$B$33/$B$32</f>
        <v>1.3985839517856253</v>
      </c>
      <c r="L12" s="107">
        <f t="shared" si="5"/>
        <v>0.72119191114210279</v>
      </c>
      <c r="M12" s="108">
        <f t="shared" si="6"/>
        <v>206.46595588235292</v>
      </c>
      <c r="N12" s="102">
        <f t="shared" ref="N12:N13" si="17">N25*$B$33/$B$32</f>
        <v>0.65597300393485103</v>
      </c>
      <c r="O12" s="107">
        <f t="shared" si="8"/>
        <v>0.28739204064352264</v>
      </c>
      <c r="P12" s="108">
        <f t="shared" si="9"/>
        <v>177.97256756756764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1.4852218957015491</v>
      </c>
      <c r="F13" s="107">
        <f t="shared" si="13"/>
        <v>0.81281067888628766</v>
      </c>
      <c r="G13" s="108">
        <f t="shared" si="14"/>
        <v>220.87999999999997</v>
      </c>
      <c r="H13" s="102">
        <f t="shared" si="15"/>
        <v>1.571859839617473</v>
      </c>
      <c r="I13" s="107">
        <f t="shared" si="2"/>
        <v>0.79485132240872658</v>
      </c>
      <c r="J13" s="108">
        <f t="shared" si="3"/>
        <v>202.29634615384614</v>
      </c>
      <c r="K13" s="102">
        <f t="shared" si="16"/>
        <v>1.3985839517856253</v>
      </c>
      <c r="L13" s="107">
        <f t="shared" si="5"/>
        <v>0.72119191114210279</v>
      </c>
      <c r="M13" s="108">
        <f t="shared" si="6"/>
        <v>206.46595588235292</v>
      </c>
      <c r="N13" s="102">
        <f t="shared" si="17"/>
        <v>0.68072670219654352</v>
      </c>
      <c r="O13" s="107">
        <f t="shared" si="8"/>
        <v>0.31214573890521513</v>
      </c>
      <c r="P13" s="108">
        <f t="shared" si="9"/>
        <v>184.68851351351356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1.4055444538526676</v>
      </c>
      <c r="F14" s="119">
        <f t="shared" si="13"/>
        <v>0.73313323703740618</v>
      </c>
      <c r="G14" s="120">
        <f t="shared" si="14"/>
        <v>209.0304888888889</v>
      </c>
      <c r="H14" s="118">
        <f>H27*$B$34/10/$B$32</f>
        <v>1.4974682472480949</v>
      </c>
      <c r="I14" s="119">
        <f t="shared" si="2"/>
        <v>0.72045973003934849</v>
      </c>
      <c r="J14" s="120">
        <f t="shared" si="3"/>
        <v>192.72224358974356</v>
      </c>
      <c r="K14" s="118">
        <f>K27*$B$34/10/$B$32</f>
        <v>1.3818221845893313</v>
      </c>
      <c r="L14" s="119">
        <f t="shared" si="5"/>
        <v>0.70443014394580872</v>
      </c>
      <c r="M14" s="120">
        <f t="shared" si="6"/>
        <v>203.9915</v>
      </c>
      <c r="N14" s="118">
        <f>N27*$B$34/10/$B$32</f>
        <v>0.59898729889923807</v>
      </c>
      <c r="O14" s="119">
        <f t="shared" si="8"/>
        <v>0.23040633560790968</v>
      </c>
      <c r="P14" s="120">
        <f t="shared" si="9"/>
        <v>162.51172972972975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1.36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38.44</v>
      </c>
      <c r="C20" s="144" t="s">
        <v>172</v>
      </c>
      <c r="D20" s="145" t="s">
        <v>172</v>
      </c>
      <c r="E20" s="143">
        <v>41.73</v>
      </c>
      <c r="F20" s="144" t="s">
        <v>172</v>
      </c>
      <c r="G20" s="145" t="s">
        <v>172</v>
      </c>
      <c r="H20" s="143">
        <v>47.11</v>
      </c>
      <c r="I20" s="144" t="s">
        <v>172</v>
      </c>
      <c r="J20" s="145" t="s">
        <v>172</v>
      </c>
      <c r="K20" s="143">
        <v>40.07</v>
      </c>
      <c r="L20" s="144" t="s">
        <v>172</v>
      </c>
      <c r="M20" s="145" t="s">
        <v>172</v>
      </c>
      <c r="N20" s="143">
        <v>18.64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37.57</v>
      </c>
      <c r="C21" s="144" t="s">
        <v>172</v>
      </c>
      <c r="D21" s="145" t="s">
        <v>172</v>
      </c>
      <c r="E21" s="143">
        <v>40.54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39.049999999999997</v>
      </c>
      <c r="L21" s="144" t="s">
        <v>172</v>
      </c>
      <c r="M21" s="145" t="s">
        <v>172</v>
      </c>
      <c r="N21" s="143">
        <v>18.96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38.15</v>
      </c>
      <c r="C22" s="144" t="s">
        <v>172</v>
      </c>
      <c r="D22" s="145" t="s">
        <v>172</v>
      </c>
      <c r="E22" s="143">
        <v>41.18</v>
      </c>
      <c r="F22" s="144" t="s">
        <v>172</v>
      </c>
      <c r="G22" s="145" t="s">
        <v>172</v>
      </c>
      <c r="H22" s="143">
        <v>44.48</v>
      </c>
      <c r="I22" s="144" t="s">
        <v>172</v>
      </c>
      <c r="J22" s="145" t="s">
        <v>172</v>
      </c>
      <c r="K22" s="143">
        <v>39.979999999999997</v>
      </c>
      <c r="L22" s="144" t="s">
        <v>172</v>
      </c>
      <c r="M22" s="145" t="s">
        <v>172</v>
      </c>
      <c r="N22" s="143">
        <f>N21</f>
        <v>18.96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37.83</v>
      </c>
      <c r="C23" s="144" t="s">
        <v>172</v>
      </c>
      <c r="D23" s="145" t="s">
        <v>172</v>
      </c>
      <c r="E23" s="143">
        <v>41.3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33.57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12.1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1.27</v>
      </c>
      <c r="I25" s="144" t="s">
        <v>172</v>
      </c>
      <c r="J25" s="145" t="s">
        <v>172</v>
      </c>
      <c r="K25" s="153">
        <v>1.1299999999999999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4.74</v>
      </c>
      <c r="F27" s="158" t="s">
        <v>172</v>
      </c>
      <c r="G27" s="159" t="s">
        <v>172</v>
      </c>
      <c r="H27" s="160">
        <v>5.05</v>
      </c>
      <c r="I27" s="158" t="s">
        <v>172</v>
      </c>
      <c r="J27" s="159" t="s">
        <v>172</v>
      </c>
      <c r="K27" s="160">
        <v>4.66</v>
      </c>
      <c r="L27" s="158" t="s">
        <v>172</v>
      </c>
      <c r="M27" s="159" t="s">
        <v>172</v>
      </c>
      <c r="N27" s="160">
        <v>2.02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7.6542000000000003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2.0076999999999998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2.4849000000000001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5.9534000000000002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3.2907999999999999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43213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0.63389069129024211</v>
      </c>
      <c r="C6" s="103" t="s">
        <v>172</v>
      </c>
      <c r="D6" s="104" t="s">
        <v>172</v>
      </c>
      <c r="E6" s="102">
        <f>E19/$B$32</f>
        <v>0.67382081357624168</v>
      </c>
      <c r="F6" s="103" t="s">
        <v>172</v>
      </c>
      <c r="G6" s="104" t="s">
        <v>172</v>
      </c>
      <c r="H6" s="102">
        <f>H19/$B$32</f>
        <v>0.77863738457699039</v>
      </c>
      <c r="I6" s="103" t="s">
        <v>172</v>
      </c>
      <c r="J6" s="104" t="s">
        <v>172</v>
      </c>
      <c r="K6" s="102">
        <f>K19/$B$32</f>
        <v>0.67881207886199157</v>
      </c>
      <c r="L6" s="103" t="s">
        <v>172</v>
      </c>
      <c r="M6" s="104" t="s">
        <v>172</v>
      </c>
      <c r="N6" s="102">
        <f>N19/$B$32</f>
        <v>0.36935363114549541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0.63233965560269534</v>
      </c>
      <c r="C7" s="107">
        <f>B7-B$6</f>
        <v>-1.5510356875467757E-3</v>
      </c>
      <c r="D7" s="108">
        <f>B7/B$6*100</f>
        <v>99.755314960629931</v>
      </c>
      <c r="E7" s="102">
        <f t="shared" ref="E7:E10" si="0">E20*$B$35/100/$B$32</f>
        <v>0.68553777888694789</v>
      </c>
      <c r="F7" s="107">
        <f>E7-E$6</f>
        <v>1.1716965310706207E-2</v>
      </c>
      <c r="G7" s="108">
        <f>E7/E$6*100</f>
        <v>101.73888444444444</v>
      </c>
      <c r="H7" s="102">
        <f t="shared" ref="H7:H10" si="1">H20*$B$35/100/$B$32</f>
        <v>0.7765946892937361</v>
      </c>
      <c r="I7" s="107">
        <f t="shared" ref="I7:I14" si="2">H7-H$6</f>
        <v>-2.0426952832542922E-3</v>
      </c>
      <c r="J7" s="108">
        <f t="shared" ref="J7:J14" si="3">H7/H$6*100</f>
        <v>99.737657692307693</v>
      </c>
      <c r="K7" s="102">
        <f t="shared" ref="K7:K10" si="4">K20*$B$35/100/$B$32</f>
        <v>0.65877553281756929</v>
      </c>
      <c r="L7" s="107">
        <f t="shared" ref="L7:L14" si="5">K7-K$6</f>
        <v>-2.0036546044422288E-2</v>
      </c>
      <c r="M7" s="108">
        <f t="shared" ref="M7:M14" si="6">K7/K$6*100</f>
        <v>97.048292647058815</v>
      </c>
      <c r="N7" s="102">
        <f t="shared" ref="N7:N10" si="7">N20*$B$35/100/$B$32</f>
        <v>0.30074889942600452</v>
      </c>
      <c r="O7" s="107">
        <f t="shared" ref="O7:O14" si="8">N7-N$6</f>
        <v>-6.8604731719490886E-2</v>
      </c>
      <c r="P7" s="108">
        <f t="shared" ref="P7:P14" si="9">N7/N$6*100</f>
        <v>81.42573243243244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0.61422618417768915</v>
      </c>
      <c r="C8" s="107">
        <f t="shared" ref="C8:C11" si="11">B8-B$6</f>
        <v>-1.9664507112552965E-2</v>
      </c>
      <c r="D8" s="108">
        <f t="shared" ref="D8:D11" si="12">B8/B$6*100</f>
        <v>96.897807874015768</v>
      </c>
      <c r="E8" s="102">
        <f t="shared" si="0"/>
        <v>0.66334469678063379</v>
      </c>
      <c r="F8" s="107">
        <f t="shared" ref="F8:F14" si="13">E8-E$6</f>
        <v>-1.0476116795607893E-2</v>
      </c>
      <c r="G8" s="108">
        <f t="shared" ref="G8:G14" si="14">E8/E$6*100</f>
        <v>98.445266666666626</v>
      </c>
      <c r="H8" s="102">
        <f t="shared" si="1"/>
        <v>0.72943438981781905</v>
      </c>
      <c r="I8" s="107">
        <f t="shared" si="2"/>
        <v>-4.9202994759171337E-2</v>
      </c>
      <c r="J8" s="108">
        <f t="shared" si="3"/>
        <v>93.680884615384628</v>
      </c>
      <c r="K8" s="102">
        <f t="shared" si="4"/>
        <v>0.64294664337409535</v>
      </c>
      <c r="L8" s="107">
        <f t="shared" si="5"/>
        <v>-3.5865435487896224E-2</v>
      </c>
      <c r="M8" s="108">
        <f t="shared" si="6"/>
        <v>94.716441176470582</v>
      </c>
      <c r="N8" s="102">
        <f t="shared" si="7"/>
        <v>0.30939767407037688</v>
      </c>
      <c r="O8" s="107">
        <f t="shared" si="8"/>
        <v>-5.9955957075118527E-2</v>
      </c>
      <c r="P8" s="108">
        <f t="shared" si="9"/>
        <v>83.767329729729738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0.62401724981282769</v>
      </c>
      <c r="C9" s="107">
        <f t="shared" si="11"/>
        <v>-9.8734414774144241E-3</v>
      </c>
      <c r="D9" s="108">
        <f t="shared" si="12"/>
        <v>98.442406299212621</v>
      </c>
      <c r="E9" s="102">
        <f t="shared" si="0"/>
        <v>0.67248302470676324</v>
      </c>
      <c r="F9" s="107">
        <f t="shared" si="13"/>
        <v>-1.3377888694784401E-3</v>
      </c>
      <c r="G9" s="108">
        <f t="shared" si="14"/>
        <v>99.801462222222213</v>
      </c>
      <c r="H9" s="102">
        <f t="shared" si="1"/>
        <v>0.73106623409034199</v>
      </c>
      <c r="I9" s="107">
        <f t="shared" si="2"/>
        <v>-4.7571150486648395E-2</v>
      </c>
      <c r="J9" s="108">
        <f t="shared" si="3"/>
        <v>93.890461538461537</v>
      </c>
      <c r="K9" s="102">
        <f t="shared" si="4"/>
        <v>0.65763324182680316</v>
      </c>
      <c r="L9" s="107">
        <f t="shared" si="5"/>
        <v>-2.1178837035188414E-2</v>
      </c>
      <c r="M9" s="108">
        <f t="shared" si="6"/>
        <v>96.88001470588236</v>
      </c>
      <c r="N9" s="102">
        <f t="shared" si="7"/>
        <v>0.30939767407037688</v>
      </c>
      <c r="O9" s="107">
        <f t="shared" si="8"/>
        <v>-5.9955957075118527E-2</v>
      </c>
      <c r="P9" s="108">
        <f t="shared" si="9"/>
        <v>83.767329729729738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0.62369088095832292</v>
      </c>
      <c r="C10" s="107">
        <f t="shared" si="11"/>
        <v>-1.019981033191919E-2</v>
      </c>
      <c r="D10" s="108">
        <f t="shared" si="12"/>
        <v>98.390919685039364</v>
      </c>
      <c r="E10" s="102">
        <f t="shared" si="0"/>
        <v>0.67150391814324928</v>
      </c>
      <c r="F10" s="107">
        <f t="shared" si="13"/>
        <v>-2.3168954329924052E-3</v>
      </c>
      <c r="G10" s="108">
        <f t="shared" si="14"/>
        <v>99.656155555555543</v>
      </c>
      <c r="H10" s="102">
        <f t="shared" si="1"/>
        <v>0.77512602944846531</v>
      </c>
      <c r="I10" s="107">
        <f t="shared" si="2"/>
        <v>-3.5113551285250733E-3</v>
      </c>
      <c r="J10" s="108">
        <f t="shared" si="3"/>
        <v>99.549038461538458</v>
      </c>
      <c r="K10" s="102">
        <f t="shared" si="4"/>
        <v>0.67705218866982797</v>
      </c>
      <c r="L10" s="107">
        <f t="shared" si="5"/>
        <v>-1.7598901921636045E-3</v>
      </c>
      <c r="M10" s="108">
        <f t="shared" si="6"/>
        <v>99.740739705882362</v>
      </c>
      <c r="N10" s="102">
        <f t="shared" si="7"/>
        <v>0.28247224357374595</v>
      </c>
      <c r="O10" s="107">
        <f t="shared" si="8"/>
        <v>-8.6881387571749458E-2</v>
      </c>
      <c r="P10" s="108">
        <f t="shared" si="9"/>
        <v>76.477451351351348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1.0989000499126529</v>
      </c>
      <c r="C11" s="107">
        <f t="shared" si="11"/>
        <v>0.46500935862241077</v>
      </c>
      <c r="D11" s="108">
        <f t="shared" si="12"/>
        <v>173.35797244094488</v>
      </c>
      <c r="E11" s="102">
        <f>E24*$B$31/100/$B$32</f>
        <v>1.13521152982281</v>
      </c>
      <c r="F11" s="107">
        <f t="shared" si="13"/>
        <v>0.46139071624656836</v>
      </c>
      <c r="G11" s="108">
        <f t="shared" si="14"/>
        <v>168.47379999999995</v>
      </c>
      <c r="H11" s="102">
        <f>H24*$B$31/100/$B$32</f>
        <v>1.2831330321936611</v>
      </c>
      <c r="I11" s="107">
        <f t="shared" si="2"/>
        <v>0.50449564761667076</v>
      </c>
      <c r="J11" s="108">
        <f t="shared" si="3"/>
        <v>164.79211730769231</v>
      </c>
      <c r="K11" s="102">
        <f>K24*$B$31/100/$B$32</f>
        <v>0.97811660094834041</v>
      </c>
      <c r="L11" s="107">
        <f t="shared" si="5"/>
        <v>0.29930452208634883</v>
      </c>
      <c r="M11" s="108">
        <f t="shared" si="6"/>
        <v>144.09239779411763</v>
      </c>
      <c r="N11" s="102">
        <f>N24*$B$31/100/$B$32</f>
        <v>0.46249358622410786</v>
      </c>
      <c r="O11" s="107">
        <f t="shared" si="8"/>
        <v>9.3139955078612446E-2</v>
      </c>
      <c r="P11" s="108">
        <f t="shared" si="9"/>
        <v>125.21701351351351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1.5041896680808586</v>
      </c>
      <c r="F12" s="107">
        <f t="shared" si="13"/>
        <v>0.83036885450461695</v>
      </c>
      <c r="G12" s="108">
        <f t="shared" si="14"/>
        <v>223.23288888888885</v>
      </c>
      <c r="H12" s="102">
        <f t="shared" ref="H12:H13" si="15">H25*$B$33/$B$32</f>
        <v>1.5658367856251563</v>
      </c>
      <c r="I12" s="107">
        <f t="shared" si="2"/>
        <v>0.78719940104816588</v>
      </c>
      <c r="J12" s="108">
        <f t="shared" si="3"/>
        <v>201.09961538461539</v>
      </c>
      <c r="K12" s="102">
        <f t="shared" ref="K12:K13" si="16">K25*$B$33/$B$32</f>
        <v>1.3932248565011229</v>
      </c>
      <c r="L12" s="107">
        <f t="shared" si="5"/>
        <v>0.71441277763913136</v>
      </c>
      <c r="M12" s="108">
        <f t="shared" si="6"/>
        <v>205.24455882352939</v>
      </c>
      <c r="N12" s="102">
        <f t="shared" ref="N12:N13" si="17">N25*$B$33/$B$32</f>
        <v>0.65345944596955341</v>
      </c>
      <c r="O12" s="107">
        <f t="shared" si="8"/>
        <v>0.284105814824058</v>
      </c>
      <c r="P12" s="108">
        <f t="shared" si="9"/>
        <v>176.91972972972977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1.4795308210631397</v>
      </c>
      <c r="F13" s="107">
        <f t="shared" si="13"/>
        <v>0.80571000748689803</v>
      </c>
      <c r="G13" s="108">
        <f t="shared" si="14"/>
        <v>219.57333333333332</v>
      </c>
      <c r="H13" s="102">
        <f t="shared" si="15"/>
        <v>1.5658367856251563</v>
      </c>
      <c r="I13" s="107">
        <f t="shared" si="2"/>
        <v>0.78719940104816588</v>
      </c>
      <c r="J13" s="108">
        <f t="shared" si="3"/>
        <v>201.09961538461539</v>
      </c>
      <c r="K13" s="102">
        <f t="shared" si="16"/>
        <v>1.3932248565011229</v>
      </c>
      <c r="L13" s="107">
        <f t="shared" si="5"/>
        <v>0.71441277763913136</v>
      </c>
      <c r="M13" s="108">
        <f t="shared" si="6"/>
        <v>205.24455882352939</v>
      </c>
      <c r="N13" s="102">
        <f t="shared" si="17"/>
        <v>0.67811829298727233</v>
      </c>
      <c r="O13" s="107">
        <f t="shared" si="8"/>
        <v>0.30876466184177692</v>
      </c>
      <c r="P13" s="108">
        <f t="shared" si="9"/>
        <v>183.59594594594594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1.4068345395557773</v>
      </c>
      <c r="F14" s="119">
        <f t="shared" si="13"/>
        <v>0.73301372597953562</v>
      </c>
      <c r="G14" s="120">
        <f t="shared" si="14"/>
        <v>208.78466666666662</v>
      </c>
      <c r="H14" s="118">
        <f>H27*$B$34/10/$B$32</f>
        <v>1.5041627152483155</v>
      </c>
      <c r="I14" s="119">
        <f t="shared" si="2"/>
        <v>0.72552533067132507</v>
      </c>
      <c r="J14" s="120">
        <f t="shared" si="3"/>
        <v>193.17884615384614</v>
      </c>
      <c r="K14" s="118">
        <f>K27*$B$34/10/$B$32</f>
        <v>1.3802904916396308</v>
      </c>
      <c r="L14" s="119">
        <f t="shared" si="5"/>
        <v>0.70147841277763923</v>
      </c>
      <c r="M14" s="120">
        <f t="shared" si="6"/>
        <v>203.33911764705883</v>
      </c>
      <c r="N14" s="118">
        <f>N27*$B$34/10/$B$32</f>
        <v>0.59576640878462694</v>
      </c>
      <c r="O14" s="119">
        <f t="shared" si="8"/>
        <v>0.22641277763913153</v>
      </c>
      <c r="P14" s="120">
        <f t="shared" si="9"/>
        <v>161.29972972972973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1.36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38.75</v>
      </c>
      <c r="C20" s="144" t="s">
        <v>172</v>
      </c>
      <c r="D20" s="145" t="s">
        <v>172</v>
      </c>
      <c r="E20" s="143">
        <v>42.01</v>
      </c>
      <c r="F20" s="144" t="s">
        <v>172</v>
      </c>
      <c r="G20" s="145" t="s">
        <v>172</v>
      </c>
      <c r="H20" s="143">
        <v>47.59</v>
      </c>
      <c r="I20" s="144" t="s">
        <v>172</v>
      </c>
      <c r="J20" s="145" t="s">
        <v>172</v>
      </c>
      <c r="K20" s="143">
        <v>40.369999999999997</v>
      </c>
      <c r="L20" s="144" t="s">
        <v>172</v>
      </c>
      <c r="M20" s="145" t="s">
        <v>172</v>
      </c>
      <c r="N20" s="143">
        <v>18.43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37.64</v>
      </c>
      <c r="C21" s="144" t="s">
        <v>172</v>
      </c>
      <c r="D21" s="145" t="s">
        <v>172</v>
      </c>
      <c r="E21" s="143">
        <v>40.65</v>
      </c>
      <c r="F21" s="144" t="s">
        <v>172</v>
      </c>
      <c r="G21" s="145" t="s">
        <v>172</v>
      </c>
      <c r="H21" s="143">
        <v>44.7</v>
      </c>
      <c r="I21" s="144" t="s">
        <v>172</v>
      </c>
      <c r="J21" s="145" t="s">
        <v>172</v>
      </c>
      <c r="K21" s="143">
        <v>39.4</v>
      </c>
      <c r="L21" s="144" t="s">
        <v>172</v>
      </c>
      <c r="M21" s="145" t="s">
        <v>172</v>
      </c>
      <c r="N21" s="143">
        <v>18.96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38.24</v>
      </c>
      <c r="C22" s="144" t="s">
        <v>172</v>
      </c>
      <c r="D22" s="145" t="s">
        <v>172</v>
      </c>
      <c r="E22" s="143">
        <v>41.21</v>
      </c>
      <c r="F22" s="144" t="s">
        <v>172</v>
      </c>
      <c r="G22" s="145" t="s">
        <v>172</v>
      </c>
      <c r="H22" s="143">
        <v>44.8</v>
      </c>
      <c r="I22" s="144" t="s">
        <v>172</v>
      </c>
      <c r="J22" s="145" t="s">
        <v>172</v>
      </c>
      <c r="K22" s="143">
        <v>40.299999999999997</v>
      </c>
      <c r="L22" s="144" t="s">
        <v>172</v>
      </c>
      <c r="M22" s="145" t="s">
        <v>172</v>
      </c>
      <c r="N22" s="143">
        <f>N21</f>
        <v>18.96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38.22</v>
      </c>
      <c r="C23" s="144" t="s">
        <v>172</v>
      </c>
      <c r="D23" s="145" t="s">
        <v>172</v>
      </c>
      <c r="E23" s="143">
        <v>41.15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41.49</v>
      </c>
      <c r="L23" s="144" t="s">
        <v>172</v>
      </c>
      <c r="M23" s="145" t="s">
        <v>172</v>
      </c>
      <c r="N23" s="143">
        <v>17.309999999999999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28.75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33.57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12.1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1.27</v>
      </c>
      <c r="I25" s="144" t="s">
        <v>172</v>
      </c>
      <c r="J25" s="145" t="s">
        <v>172</v>
      </c>
      <c r="K25" s="153">
        <v>1.1299999999999999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4.7699999999999996</v>
      </c>
      <c r="F27" s="158" t="s">
        <v>172</v>
      </c>
      <c r="G27" s="159" t="s">
        <v>172</v>
      </c>
      <c r="H27" s="160">
        <v>5.0999999999999996</v>
      </c>
      <c r="I27" s="158" t="s">
        <v>172</v>
      </c>
      <c r="J27" s="159" t="s">
        <v>172</v>
      </c>
      <c r="K27" s="160">
        <v>4.68</v>
      </c>
      <c r="L27" s="158" t="s">
        <v>172</v>
      </c>
      <c r="M27" s="159" t="s">
        <v>172</v>
      </c>
      <c r="N27" s="160">
        <v>2.02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7.6578999999999997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2.0034999999999998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2.4702000000000002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5.9089999999999998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3.2694000000000001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43215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0.6339223320355396</v>
      </c>
      <c r="C6" s="103" t="s">
        <v>172</v>
      </c>
      <c r="D6" s="104" t="s">
        <v>172</v>
      </c>
      <c r="E6" s="102">
        <f>E19/$B$32</f>
        <v>0.67385444743935308</v>
      </c>
      <c r="F6" s="103" t="s">
        <v>172</v>
      </c>
      <c r="G6" s="104" t="s">
        <v>172</v>
      </c>
      <c r="H6" s="102">
        <f>H19/$B$32</f>
        <v>0.77867625037436361</v>
      </c>
      <c r="I6" s="103" t="s">
        <v>172</v>
      </c>
      <c r="J6" s="104" t="s">
        <v>172</v>
      </c>
      <c r="K6" s="102">
        <f>K19/$B$32</f>
        <v>0.67884596186482982</v>
      </c>
      <c r="L6" s="103" t="s">
        <v>172</v>
      </c>
      <c r="M6" s="104" t="s">
        <v>172</v>
      </c>
      <c r="N6" s="102">
        <f>N19/$B$32</f>
        <v>0.36937206748527501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0.62862629529799341</v>
      </c>
      <c r="C7" s="107">
        <f>B7-B$6</f>
        <v>-5.2960367375461948E-3</v>
      </c>
      <c r="D7" s="108">
        <f>B7/B$6*100</f>
        <v>99.164560629921255</v>
      </c>
      <c r="E7" s="102">
        <f t="shared" ref="E7:E10" si="0">E20*$B$35/100/$B$32</f>
        <v>0.68133618847958455</v>
      </c>
      <c r="F7" s="107">
        <f>E7-E$6</f>
        <v>7.481741040231471E-3</v>
      </c>
      <c r="G7" s="108">
        <f>E7/E$6*100</f>
        <v>101.11029037037036</v>
      </c>
      <c r="H7" s="102">
        <f t="shared" ref="H7:H10" si="1">H20*$B$35/100/$B$32</f>
        <v>0.77248375761205956</v>
      </c>
      <c r="I7" s="107">
        <f t="shared" ref="I7:I14" si="2">H7-H$6</f>
        <v>-6.1924927623040471E-3</v>
      </c>
      <c r="J7" s="108">
        <f t="shared" ref="J7:J14" si="3">H7/H$6*100</f>
        <v>99.204741025641027</v>
      </c>
      <c r="K7" s="102">
        <f t="shared" ref="K7:K10" si="4">K20*$B$35/100/$B$32</f>
        <v>0.65490014974543276</v>
      </c>
      <c r="L7" s="107">
        <f t="shared" ref="L7:L14" si="5">K7-K$6</f>
        <v>-2.3945812119397059E-2</v>
      </c>
      <c r="M7" s="108">
        <f t="shared" ref="M7:M14" si="6">K7/K$6*100</f>
        <v>96.472570588235286</v>
      </c>
      <c r="N7" s="102">
        <f t="shared" ref="N7:N10" si="7">N20*$B$35/100/$B$32</f>
        <v>0.2989056404113008</v>
      </c>
      <c r="O7" s="107">
        <f t="shared" ref="O7:O14" si="8">N7-N$6</f>
        <v>-7.0466427073974214E-2</v>
      </c>
      <c r="P7" s="108">
        <f t="shared" ref="P7:P14" si="9">N7/N$6*100</f>
        <v>80.922643243243257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0.61094820804632133</v>
      </c>
      <c r="C8" s="107">
        <f t="shared" ref="C8:C11" si="11">B8-B$6</f>
        <v>-2.2974123989218276E-2</v>
      </c>
      <c r="D8" s="108">
        <f t="shared" ref="D8:D11" si="12">B8/B$6*100</f>
        <v>96.375877165354339</v>
      </c>
      <c r="E8" s="102">
        <f t="shared" si="0"/>
        <v>0.65960349406009788</v>
      </c>
      <c r="F8" s="107">
        <f t="shared" ref="F8:F14" si="13">E8-E$6</f>
        <v>-1.4250953379255193E-2</v>
      </c>
      <c r="G8" s="108">
        <f t="shared" ref="G8:G14" si="14">E8/E$6*100</f>
        <v>97.885158518518537</v>
      </c>
      <c r="H8" s="102">
        <f t="shared" si="1"/>
        <v>0.73501918738145156</v>
      </c>
      <c r="I8" s="107">
        <f t="shared" si="2"/>
        <v>-4.3657062992912055E-2</v>
      </c>
      <c r="J8" s="108">
        <f t="shared" si="3"/>
        <v>94.393425641025644</v>
      </c>
      <c r="K8" s="102">
        <f t="shared" si="4"/>
        <v>0.63916827393431164</v>
      </c>
      <c r="L8" s="107">
        <f t="shared" si="5"/>
        <v>-3.967768793051818E-2</v>
      </c>
      <c r="M8" s="108">
        <f t="shared" si="6"/>
        <v>94.155126470588229</v>
      </c>
      <c r="N8" s="102">
        <f t="shared" si="7"/>
        <v>0.31350222621543372</v>
      </c>
      <c r="O8" s="107">
        <f t="shared" si="8"/>
        <v>-5.5869841269841292E-2</v>
      </c>
      <c r="P8" s="108">
        <f t="shared" si="9"/>
        <v>84.874372972972964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0.62084144953578912</v>
      </c>
      <c r="C9" s="107">
        <f t="shared" si="11"/>
        <v>-1.3080882499750479E-2</v>
      </c>
      <c r="D9" s="108">
        <f t="shared" si="12"/>
        <v>97.936516535433057</v>
      </c>
      <c r="E9" s="102">
        <f t="shared" si="0"/>
        <v>0.66917236697614058</v>
      </c>
      <c r="F9" s="107">
        <f t="shared" si="13"/>
        <v>-4.6820804632125013E-3</v>
      </c>
      <c r="G9" s="108">
        <f t="shared" si="14"/>
        <v>99.305179259259262</v>
      </c>
      <c r="H9" s="102">
        <f t="shared" si="1"/>
        <v>0.72707215733253461</v>
      </c>
      <c r="I9" s="107">
        <f t="shared" si="2"/>
        <v>-5.1604093041829002E-2</v>
      </c>
      <c r="J9" s="108">
        <f t="shared" si="3"/>
        <v>93.372843589743567</v>
      </c>
      <c r="K9" s="102">
        <f t="shared" si="4"/>
        <v>0.65538670260557053</v>
      </c>
      <c r="L9" s="107">
        <f t="shared" si="5"/>
        <v>-2.3459259259259291E-2</v>
      </c>
      <c r="M9" s="108">
        <f t="shared" si="6"/>
        <v>96.544244117647054</v>
      </c>
      <c r="N9" s="102">
        <f t="shared" si="7"/>
        <v>0.31350222621543372</v>
      </c>
      <c r="O9" s="107">
        <f t="shared" si="8"/>
        <v>-5.5869841269841292E-2</v>
      </c>
      <c r="P9" s="108">
        <f t="shared" si="9"/>
        <v>84.874372972972964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0.61954397524208848</v>
      </c>
      <c r="C10" s="107">
        <f t="shared" si="11"/>
        <v>-1.4378356793451119E-2</v>
      </c>
      <c r="D10" s="108">
        <f t="shared" si="12"/>
        <v>97.731842519685046</v>
      </c>
      <c r="E10" s="102">
        <f t="shared" si="0"/>
        <v>0.66706397124887695</v>
      </c>
      <c r="F10" s="107">
        <f t="shared" si="13"/>
        <v>-6.7904761904761246E-3</v>
      </c>
      <c r="G10" s="108">
        <f t="shared" si="14"/>
        <v>98.99229333333335</v>
      </c>
      <c r="H10" s="102">
        <f t="shared" si="1"/>
        <v>0.77037536188479594</v>
      </c>
      <c r="I10" s="107">
        <f t="shared" si="2"/>
        <v>-8.3008884895676704E-3</v>
      </c>
      <c r="J10" s="108">
        <f t="shared" si="3"/>
        <v>98.933974358974368</v>
      </c>
      <c r="K10" s="102">
        <f t="shared" si="4"/>
        <v>0.67257823699710495</v>
      </c>
      <c r="L10" s="107">
        <f t="shared" si="5"/>
        <v>-6.2677248677248665E-3</v>
      </c>
      <c r="M10" s="108">
        <f t="shared" si="6"/>
        <v>99.076708823529415</v>
      </c>
      <c r="N10" s="102">
        <f t="shared" si="7"/>
        <v>0.28122755315962861</v>
      </c>
      <c r="O10" s="107">
        <f t="shared" si="8"/>
        <v>-8.8144514325646406E-2</v>
      </c>
      <c r="P10" s="108">
        <f t="shared" si="9"/>
        <v>76.136659459459452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1.0989919636617749</v>
      </c>
      <c r="C11" s="107">
        <f t="shared" si="11"/>
        <v>0.46506963162623527</v>
      </c>
      <c r="D11" s="108">
        <f t="shared" si="12"/>
        <v>173.36381889763777</v>
      </c>
      <c r="E11" s="102">
        <f>E24*$B$31/100/$B$32</f>
        <v>1.1372843665768193</v>
      </c>
      <c r="F11" s="107">
        <f t="shared" si="13"/>
        <v>0.46342991913746623</v>
      </c>
      <c r="G11" s="108">
        <f t="shared" si="14"/>
        <v>168.773</v>
      </c>
      <c r="H11" s="102">
        <f>H24*$B$31/100/$B$32</f>
        <v>1.2854759658580412</v>
      </c>
      <c r="I11" s="107">
        <f t="shared" si="2"/>
        <v>0.50679971548367764</v>
      </c>
      <c r="J11" s="108">
        <f t="shared" si="3"/>
        <v>165.08477884615382</v>
      </c>
      <c r="K11" s="102">
        <f>K24*$B$31/100/$B$32</f>
        <v>0.97990259059598672</v>
      </c>
      <c r="L11" s="107">
        <f t="shared" si="5"/>
        <v>0.30105662873115691</v>
      </c>
      <c r="M11" s="108">
        <f t="shared" si="6"/>
        <v>144.34829779411763</v>
      </c>
      <c r="N11" s="102">
        <f>N24*$B$31/100/$B$32</f>
        <v>0.4679331636218429</v>
      </c>
      <c r="O11" s="107">
        <f t="shared" si="8"/>
        <v>9.8561096136567883E-2</v>
      </c>
      <c r="P11" s="108">
        <f t="shared" si="9"/>
        <v>126.68341891891895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1.4881271837875611</v>
      </c>
      <c r="F12" s="107">
        <f t="shared" si="13"/>
        <v>0.81427273634820807</v>
      </c>
      <c r="G12" s="108">
        <f t="shared" si="14"/>
        <v>220.83807407407409</v>
      </c>
      <c r="H12" s="102">
        <f t="shared" ref="H12:H13" si="15">H25*$B$33/$B$32</f>
        <v>1.5491160027952482</v>
      </c>
      <c r="I12" s="107">
        <f t="shared" si="2"/>
        <v>0.77043975242088458</v>
      </c>
      <c r="J12" s="108">
        <f t="shared" si="3"/>
        <v>198.94224358974358</v>
      </c>
      <c r="K12" s="102">
        <f t="shared" ref="K12:K13" si="16">K25*$B$33/$B$32</f>
        <v>1.3783473095737246</v>
      </c>
      <c r="L12" s="107">
        <f t="shared" si="5"/>
        <v>0.69950134770889483</v>
      </c>
      <c r="M12" s="108">
        <f t="shared" si="6"/>
        <v>203.04272058823528</v>
      </c>
      <c r="N12" s="102">
        <f t="shared" ref="N12:N13" si="17">N25*$B$33/$B$32</f>
        <v>0.64648148148148155</v>
      </c>
      <c r="O12" s="107">
        <f t="shared" si="8"/>
        <v>0.27710941399620653</v>
      </c>
      <c r="P12" s="108">
        <f t="shared" si="9"/>
        <v>175.02175675675679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1.4637316561844864</v>
      </c>
      <c r="F13" s="107">
        <f t="shared" si="13"/>
        <v>0.78987720874513334</v>
      </c>
      <c r="G13" s="108">
        <f t="shared" si="14"/>
        <v>217.21777777777777</v>
      </c>
      <c r="H13" s="102">
        <f t="shared" si="15"/>
        <v>1.5491160027952482</v>
      </c>
      <c r="I13" s="107">
        <f t="shared" si="2"/>
        <v>0.77043975242088458</v>
      </c>
      <c r="J13" s="108">
        <f t="shared" si="3"/>
        <v>198.94224358974358</v>
      </c>
      <c r="K13" s="102">
        <f t="shared" si="16"/>
        <v>1.3783473095737246</v>
      </c>
      <c r="L13" s="107">
        <f t="shared" si="5"/>
        <v>0.69950134770889483</v>
      </c>
      <c r="M13" s="108">
        <f t="shared" si="6"/>
        <v>203.04272058823528</v>
      </c>
      <c r="N13" s="102">
        <f t="shared" si="17"/>
        <v>0.67087700908455639</v>
      </c>
      <c r="O13" s="107">
        <f t="shared" si="8"/>
        <v>0.30150494159928137</v>
      </c>
      <c r="P13" s="108">
        <f t="shared" si="9"/>
        <v>181.62635135135139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1.3899077568134175</v>
      </c>
      <c r="F14" s="119">
        <f t="shared" si="13"/>
        <v>0.71605330937406442</v>
      </c>
      <c r="G14" s="120">
        <f t="shared" si="14"/>
        <v>206.26231111111116</v>
      </c>
      <c r="H14" s="118">
        <f>H27*$B$34/10/$B$32</f>
        <v>1.491679245283019</v>
      </c>
      <c r="I14" s="119">
        <f t="shared" si="2"/>
        <v>0.71300299490865537</v>
      </c>
      <c r="J14" s="120">
        <f t="shared" si="3"/>
        <v>191.56603846153848</v>
      </c>
      <c r="K14" s="118">
        <f>K27*$B$34/10/$B$32</f>
        <v>1.3666457023060796</v>
      </c>
      <c r="L14" s="119">
        <f t="shared" si="5"/>
        <v>0.68779974044124981</v>
      </c>
      <c r="M14" s="120">
        <f t="shared" si="6"/>
        <v>201.31897058823526</v>
      </c>
      <c r="N14" s="118">
        <f>N27*$B$34/10/$B$32</f>
        <v>0.58736687631027251</v>
      </c>
      <c r="O14" s="119">
        <f t="shared" si="8"/>
        <v>0.2179948088249975</v>
      </c>
      <c r="P14" s="120">
        <f t="shared" si="9"/>
        <v>159.01767567567569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1.36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38.76</v>
      </c>
      <c r="C20" s="144" t="s">
        <v>172</v>
      </c>
      <c r="D20" s="145" t="s">
        <v>172</v>
      </c>
      <c r="E20" s="143">
        <v>42.01</v>
      </c>
      <c r="F20" s="144" t="s">
        <v>172</v>
      </c>
      <c r="G20" s="145" t="s">
        <v>172</v>
      </c>
      <c r="H20" s="143">
        <v>47.63</v>
      </c>
      <c r="I20" s="144" t="s">
        <v>172</v>
      </c>
      <c r="J20" s="145" t="s">
        <v>172</v>
      </c>
      <c r="K20" s="143">
        <v>40.380000000000003</v>
      </c>
      <c r="L20" s="144" t="s">
        <v>172</v>
      </c>
      <c r="M20" s="145" t="s">
        <v>172</v>
      </c>
      <c r="N20" s="143">
        <v>18.43</v>
      </c>
      <c r="O20" s="144" t="s">
        <v>172</v>
      </c>
      <c r="P20" s="145" t="s">
        <v>172</v>
      </c>
      <c r="Q20" s="147" t="s">
        <v>187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37.67</v>
      </c>
      <c r="C21" s="144" t="s">
        <v>172</v>
      </c>
      <c r="D21" s="145" t="s">
        <v>172</v>
      </c>
      <c r="E21" s="143">
        <v>40.67</v>
      </c>
      <c r="F21" s="144" t="s">
        <v>172</v>
      </c>
      <c r="G21" s="145" t="s">
        <v>172</v>
      </c>
      <c r="H21" s="143">
        <v>45.32</v>
      </c>
      <c r="I21" s="144" t="s">
        <v>172</v>
      </c>
      <c r="J21" s="145" t="s">
        <v>172</v>
      </c>
      <c r="K21" s="143">
        <v>39.409999999999997</v>
      </c>
      <c r="L21" s="144" t="s">
        <v>172</v>
      </c>
      <c r="M21" s="145" t="s">
        <v>172</v>
      </c>
      <c r="N21" s="143">
        <v>19.329999999999998</v>
      </c>
      <c r="O21" s="144" t="s">
        <v>172</v>
      </c>
      <c r="P21" s="145" t="s">
        <v>172</v>
      </c>
      <c r="Q21" s="147" t="s">
        <v>189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38.28</v>
      </c>
      <c r="C22" s="144" t="s">
        <v>172</v>
      </c>
      <c r="D22" s="145" t="s">
        <v>172</v>
      </c>
      <c r="E22" s="143">
        <v>41.26</v>
      </c>
      <c r="F22" s="144" t="s">
        <v>172</v>
      </c>
      <c r="G22" s="145" t="s">
        <v>172</v>
      </c>
      <c r="H22" s="143">
        <v>44.83</v>
      </c>
      <c r="I22" s="144" t="s">
        <v>172</v>
      </c>
      <c r="J22" s="145" t="s">
        <v>172</v>
      </c>
      <c r="K22" s="143">
        <v>40.409999999999997</v>
      </c>
      <c r="L22" s="144" t="s">
        <v>172</v>
      </c>
      <c r="M22" s="145" t="s">
        <v>172</v>
      </c>
      <c r="N22" s="143">
        <f>N21</f>
        <v>19.329999999999998</v>
      </c>
      <c r="O22" s="144" t="s">
        <v>172</v>
      </c>
      <c r="P22" s="145" t="s">
        <v>172</v>
      </c>
      <c r="Q22" s="147" t="s">
        <v>191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38.200000000000003</v>
      </c>
      <c r="C23" s="144" t="s">
        <v>172</v>
      </c>
      <c r="D23" s="145" t="s">
        <v>172</v>
      </c>
      <c r="E23" s="143">
        <v>41.13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41.47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193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33.57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12.22</v>
      </c>
      <c r="O24" s="144" t="s">
        <v>172</v>
      </c>
      <c r="P24" s="145" t="s">
        <v>172</v>
      </c>
      <c r="Q24" s="147" t="s">
        <v>41</v>
      </c>
      <c r="R24" s="148"/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</v>
      </c>
      <c r="F25" s="144" t="s">
        <v>172</v>
      </c>
      <c r="G25" s="145" t="s">
        <v>172</v>
      </c>
      <c r="H25" s="153">
        <v>1.27</v>
      </c>
      <c r="I25" s="144" t="s">
        <v>172</v>
      </c>
      <c r="J25" s="145" t="s">
        <v>172</v>
      </c>
      <c r="K25" s="153">
        <v>1.1299999999999999</v>
      </c>
      <c r="L25" s="144" t="s">
        <v>172</v>
      </c>
      <c r="M25" s="145" t="s">
        <v>172</v>
      </c>
      <c r="N25" s="153">
        <v>0.53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1.27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0.55000000000000004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4.78</v>
      </c>
      <c r="F27" s="158" t="s">
        <v>172</v>
      </c>
      <c r="G27" s="159" t="s">
        <v>172</v>
      </c>
      <c r="H27" s="160">
        <v>5.13</v>
      </c>
      <c r="I27" s="158" t="s">
        <v>172</v>
      </c>
      <c r="J27" s="159" t="s">
        <v>172</v>
      </c>
      <c r="K27" s="160">
        <v>4.7</v>
      </c>
      <c r="L27" s="158" t="s">
        <v>172</v>
      </c>
      <c r="M27" s="159" t="s">
        <v>172</v>
      </c>
      <c r="N27" s="160">
        <v>2.02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7.6715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2.0034000000000001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2.4437000000000002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5.8254000000000001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3.2492000000000001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</hyperlinks>
  <pageMargins left="0.25" right="0.25" top="0.75" bottom="0.75" header="0.3" footer="0.3"/>
  <pageSetup paperSize="9" orientation="landscape" r:id="rId3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43222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0.63500000000000001</v>
      </c>
      <c r="C6" s="103" t="s">
        <v>172</v>
      </c>
      <c r="D6" s="104" t="s">
        <v>172</v>
      </c>
      <c r="E6" s="102">
        <f>E19/$B$32</f>
        <v>0.67500000000000004</v>
      </c>
      <c r="F6" s="103" t="s">
        <v>172</v>
      </c>
      <c r="G6" s="104" t="s">
        <v>172</v>
      </c>
      <c r="H6" s="102">
        <f>H19/$B$32</f>
        <v>0.78</v>
      </c>
      <c r="I6" s="103" t="s">
        <v>172</v>
      </c>
      <c r="J6" s="104" t="s">
        <v>172</v>
      </c>
      <c r="K6" s="102">
        <f>K19/$B$32</f>
        <v>0.67500000000000004</v>
      </c>
      <c r="L6" s="103" t="s">
        <v>172</v>
      </c>
      <c r="M6" s="104" t="s">
        <v>172</v>
      </c>
      <c r="N6" s="102">
        <f>N19/$B$32</f>
        <v>0.37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0.62893929999999998</v>
      </c>
      <c r="C7" s="107">
        <f>B7-B$6</f>
        <v>-6.06070000000003E-3</v>
      </c>
      <c r="D7" s="108">
        <f>B7/B$6*100</f>
        <v>99.045559055118105</v>
      </c>
      <c r="E7" s="102">
        <f t="shared" ref="E7:E10" si="0">E20*$B$35/100/$B$32</f>
        <v>0.68176698000000002</v>
      </c>
      <c r="F7" s="107">
        <f>E7-E$6</f>
        <v>6.766979999999978E-3</v>
      </c>
      <c r="G7" s="108">
        <f>E7/E$6*100</f>
        <v>101.00251555555555</v>
      </c>
      <c r="H7" s="102">
        <f t="shared" ref="H7:H10" si="1">H20*$B$35/100/$B$32</f>
        <v>0.77357118000000002</v>
      </c>
      <c r="I7" s="107">
        <f t="shared" ref="I7:I14" si="2">H7-H$6</f>
        <v>-6.4288200000000018E-3</v>
      </c>
      <c r="J7" s="108">
        <f t="shared" ref="J7:J14" si="3">H7/H$6*100</f>
        <v>99.175792307692319</v>
      </c>
      <c r="K7" s="102">
        <f t="shared" ref="K7:K10" si="4">K20*$B$35/100/$B$32</f>
        <v>0.65680267999999997</v>
      </c>
      <c r="L7" s="107">
        <f t="shared" ref="L7:L14" si="5">K7-K$6</f>
        <v>-1.8197320000000072E-2</v>
      </c>
      <c r="M7" s="108">
        <f t="shared" ref="M7:M14" si="6">K7/K$6*100</f>
        <v>97.304100740740722</v>
      </c>
      <c r="N7" s="102">
        <f t="shared" ref="N7:N10" si="7">N20*$B$35/100/$B$32</f>
        <v>0.30005478000000002</v>
      </c>
      <c r="O7" s="107">
        <f t="shared" ref="O7:O14" si="8">N7-N$6</f>
        <v>-6.9945219999999975E-2</v>
      </c>
      <c r="P7" s="108">
        <f t="shared" ref="P7:P14" si="9">N7/N$6*100</f>
        <v>81.095886486486492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0.61299436000000007</v>
      </c>
      <c r="C8" s="107">
        <f t="shared" ref="C8:C11" si="11">B8-B$6</f>
        <v>-2.2005639999999937E-2</v>
      </c>
      <c r="D8" s="108">
        <f t="shared" ref="D8:D11" si="12">B8/B$6*100</f>
        <v>96.534544881889772</v>
      </c>
      <c r="E8" s="102">
        <f t="shared" si="0"/>
        <v>0.65954069999999998</v>
      </c>
      <c r="F8" s="107">
        <f t="shared" ref="F8:F14" si="13">E8-E$6</f>
        <v>-1.5459300000000065E-2</v>
      </c>
      <c r="G8" s="108">
        <f t="shared" ref="G8:G14" si="14">E8/E$6*100</f>
        <v>97.709733333333332</v>
      </c>
      <c r="H8" s="102">
        <f t="shared" si="1"/>
        <v>0.72992391999999995</v>
      </c>
      <c r="I8" s="107">
        <f t="shared" si="2"/>
        <v>-5.0076080000000078E-2</v>
      </c>
      <c r="J8" s="108">
        <f t="shared" si="3"/>
        <v>93.579989743589735</v>
      </c>
      <c r="K8" s="102">
        <f t="shared" si="4"/>
        <v>0.63892502000000007</v>
      </c>
      <c r="L8" s="107">
        <f t="shared" si="5"/>
        <v>-3.6074979999999979E-2</v>
      </c>
      <c r="M8" s="108">
        <f t="shared" si="6"/>
        <v>94.655558518518518</v>
      </c>
      <c r="N8" s="102">
        <f t="shared" si="7"/>
        <v>0.30778566000000002</v>
      </c>
      <c r="O8" s="107">
        <f t="shared" si="8"/>
        <v>-6.2214339999999979E-2</v>
      </c>
      <c r="P8" s="108">
        <f t="shared" si="9"/>
        <v>83.18531351351352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0.62008099999999999</v>
      </c>
      <c r="C9" s="107">
        <f t="shared" si="11"/>
        <v>-1.4919000000000016E-2</v>
      </c>
      <c r="D9" s="108">
        <f t="shared" si="12"/>
        <v>97.650551181102358</v>
      </c>
      <c r="E9" s="102">
        <f t="shared" si="0"/>
        <v>0.66839899999999997</v>
      </c>
      <c r="F9" s="107">
        <f t="shared" si="13"/>
        <v>-6.601000000000079E-3</v>
      </c>
      <c r="G9" s="108">
        <f t="shared" si="14"/>
        <v>99.022074074074055</v>
      </c>
      <c r="H9" s="102">
        <f t="shared" si="1"/>
        <v>0.72621954</v>
      </c>
      <c r="I9" s="107">
        <f t="shared" si="2"/>
        <v>-5.378046000000003E-2</v>
      </c>
      <c r="J9" s="108">
        <f t="shared" si="3"/>
        <v>93.105069230769217</v>
      </c>
      <c r="K9" s="102">
        <f t="shared" si="4"/>
        <v>0.65583631999999992</v>
      </c>
      <c r="L9" s="107">
        <f t="shared" si="5"/>
        <v>-1.9163680000000127E-2</v>
      </c>
      <c r="M9" s="108">
        <f t="shared" si="6"/>
        <v>97.160936296296271</v>
      </c>
      <c r="N9" s="102">
        <f t="shared" si="7"/>
        <v>0.30778566000000002</v>
      </c>
      <c r="O9" s="107">
        <f t="shared" si="8"/>
        <v>-6.2214339999999979E-2</v>
      </c>
      <c r="P9" s="108">
        <f t="shared" si="9"/>
        <v>83.18531351351352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0.61508814000000001</v>
      </c>
      <c r="C10" s="107">
        <f t="shared" si="11"/>
        <v>-1.9911860000000003E-2</v>
      </c>
      <c r="D10" s="108">
        <f t="shared" si="12"/>
        <v>96.864274015748038</v>
      </c>
      <c r="E10" s="102">
        <f t="shared" si="0"/>
        <v>0.66082918000000002</v>
      </c>
      <c r="F10" s="107">
        <f t="shared" si="13"/>
        <v>-1.4170820000000028E-2</v>
      </c>
      <c r="G10" s="108">
        <f t="shared" si="14"/>
        <v>97.900619259259258</v>
      </c>
      <c r="H10" s="102">
        <f t="shared" si="1"/>
        <v>0.76503500000000002</v>
      </c>
      <c r="I10" s="107">
        <f t="shared" si="2"/>
        <v>-1.4965000000000006E-2</v>
      </c>
      <c r="J10" s="108">
        <f t="shared" si="3"/>
        <v>98.081410256410251</v>
      </c>
      <c r="K10" s="102">
        <f t="shared" si="4"/>
        <v>0.66566097999999996</v>
      </c>
      <c r="L10" s="107">
        <f t="shared" si="5"/>
        <v>-9.3390200000000867E-3</v>
      </c>
      <c r="M10" s="108">
        <f t="shared" si="6"/>
        <v>98.616441481481459</v>
      </c>
      <c r="N10" s="102">
        <f t="shared" si="7"/>
        <v>0.27927804000000001</v>
      </c>
      <c r="O10" s="107">
        <f t="shared" si="8"/>
        <v>-9.072195999999999E-2</v>
      </c>
      <c r="P10" s="108">
        <f t="shared" si="9"/>
        <v>75.480551351351352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1.07129845</v>
      </c>
      <c r="C11" s="107">
        <f t="shared" si="11"/>
        <v>0.43629845</v>
      </c>
      <c r="D11" s="108">
        <f t="shared" si="12"/>
        <v>168.70841732283463</v>
      </c>
      <c r="E11" s="102">
        <f>E24*$B$31/100/$B$32</f>
        <v>1.099891825</v>
      </c>
      <c r="F11" s="107">
        <f t="shared" si="13"/>
        <v>0.424891825</v>
      </c>
      <c r="G11" s="108">
        <f t="shared" si="14"/>
        <v>162.94693703703703</v>
      </c>
      <c r="H11" s="102">
        <f>H24*$B$31/100/$B$32</f>
        <v>1.279839465</v>
      </c>
      <c r="I11" s="107">
        <f t="shared" si="2"/>
        <v>0.49983946499999998</v>
      </c>
      <c r="J11" s="108">
        <f t="shared" si="3"/>
        <v>164.08198269230769</v>
      </c>
      <c r="K11" s="102">
        <f>K24*$B$31/100/$B$32</f>
        <v>0.97560595500000002</v>
      </c>
      <c r="L11" s="107">
        <f t="shared" si="5"/>
        <v>0.30060595499999998</v>
      </c>
      <c r="M11" s="108">
        <f t="shared" si="6"/>
        <v>144.53421555555553</v>
      </c>
      <c r="N11" s="102">
        <f>N24*$B$31/100/$B$32</f>
        <v>0.47274379999999999</v>
      </c>
      <c r="O11" s="107">
        <f t="shared" si="8"/>
        <v>0.1027438</v>
      </c>
      <c r="P11" s="108">
        <f t="shared" si="9"/>
        <v>127.7685945945946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1.4906541000000002</v>
      </c>
      <c r="F12" s="107">
        <f t="shared" si="13"/>
        <v>0.81565410000000016</v>
      </c>
      <c r="G12" s="108">
        <f t="shared" si="14"/>
        <v>220.83764444444446</v>
      </c>
      <c r="H12" s="102">
        <f t="shared" ref="H12:H13" si="15">H25*$B$33/$B$32</f>
        <v>1.5573636000000002</v>
      </c>
      <c r="I12" s="107">
        <f t="shared" si="2"/>
        <v>0.77736360000000015</v>
      </c>
      <c r="J12" s="108">
        <f t="shared" si="3"/>
        <v>199.66200000000001</v>
      </c>
      <c r="K12" s="102">
        <f t="shared" ref="K12:K13" si="16">K25*$B$33/$B$32</f>
        <v>1.3608738000000002</v>
      </c>
      <c r="L12" s="107">
        <f t="shared" si="5"/>
        <v>0.6858738000000002</v>
      </c>
      <c r="M12" s="108">
        <f t="shared" si="6"/>
        <v>201.61093333333335</v>
      </c>
      <c r="N12" s="102">
        <f t="shared" ref="N12:N13" si="17">N25*$B$33/$B$32</f>
        <v>0.62464350000000002</v>
      </c>
      <c r="O12" s="107">
        <f t="shared" si="8"/>
        <v>0.25464350000000002</v>
      </c>
      <c r="P12" s="108">
        <f t="shared" si="9"/>
        <v>168.82256756756757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1.4991444</v>
      </c>
      <c r="F13" s="107">
        <f t="shared" si="13"/>
        <v>0.8241444</v>
      </c>
      <c r="G13" s="108">
        <f t="shared" si="14"/>
        <v>222.09546666666665</v>
      </c>
      <c r="H13" s="102">
        <f t="shared" si="15"/>
        <v>1.5816216000000001</v>
      </c>
      <c r="I13" s="107">
        <f t="shared" si="2"/>
        <v>0.80162160000000005</v>
      </c>
      <c r="J13" s="108">
        <f t="shared" si="3"/>
        <v>202.77199999999999</v>
      </c>
      <c r="K13" s="102">
        <f t="shared" si="16"/>
        <v>1.4130285000000002</v>
      </c>
      <c r="L13" s="107">
        <f t="shared" si="5"/>
        <v>0.7380285000000002</v>
      </c>
      <c r="M13" s="108">
        <f t="shared" si="6"/>
        <v>209.33755555555558</v>
      </c>
      <c r="N13" s="102">
        <f t="shared" si="17"/>
        <v>0.6707337000000001</v>
      </c>
      <c r="O13" s="107">
        <f t="shared" si="8"/>
        <v>0.3007337000000001</v>
      </c>
      <c r="P13" s="108">
        <f t="shared" si="9"/>
        <v>181.2793783783784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1.3976972499999998</v>
      </c>
      <c r="F14" s="119">
        <f t="shared" si="13"/>
        <v>0.72269724999999974</v>
      </c>
      <c r="G14" s="120">
        <f t="shared" si="14"/>
        <v>207.06625925925923</v>
      </c>
      <c r="H14" s="118">
        <f>H27*$B$34/10/$B$32</f>
        <v>1.4812708999999999</v>
      </c>
      <c r="I14" s="119">
        <f t="shared" si="2"/>
        <v>0.70127089999999992</v>
      </c>
      <c r="J14" s="120">
        <f t="shared" si="3"/>
        <v>189.90652564102564</v>
      </c>
      <c r="K14" s="118">
        <f>K27*$B$34/10/$B$32</f>
        <v>1.3775243000000001</v>
      </c>
      <c r="L14" s="119">
        <f t="shared" si="5"/>
        <v>0.7025243000000001</v>
      </c>
      <c r="M14" s="120">
        <f t="shared" si="6"/>
        <v>204.07767407407408</v>
      </c>
      <c r="N14" s="118">
        <f>N27*$B$34/10/$B$32</f>
        <v>0.59366110000000005</v>
      </c>
      <c r="O14" s="119">
        <f t="shared" si="8"/>
        <v>0.22366110000000006</v>
      </c>
      <c r="P14" s="120">
        <f t="shared" si="9"/>
        <v>160.44894594594595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1.35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39.049999999999997</v>
      </c>
      <c r="C20" s="144" t="s">
        <v>172</v>
      </c>
      <c r="D20" s="145" t="s">
        <v>172</v>
      </c>
      <c r="E20" s="143">
        <v>42.33</v>
      </c>
      <c r="F20" s="144" t="s">
        <v>172</v>
      </c>
      <c r="G20" s="145" t="s">
        <v>172</v>
      </c>
      <c r="H20" s="143">
        <v>48.03</v>
      </c>
      <c r="I20" s="144" t="s">
        <v>172</v>
      </c>
      <c r="J20" s="145" t="s">
        <v>172</v>
      </c>
      <c r="K20" s="143">
        <v>40.78</v>
      </c>
      <c r="L20" s="144" t="s">
        <v>172</v>
      </c>
      <c r="M20" s="145" t="s">
        <v>172</v>
      </c>
      <c r="N20" s="143">
        <v>18.63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38.06</v>
      </c>
      <c r="C21" s="144" t="s">
        <v>172</v>
      </c>
      <c r="D21" s="145" t="s">
        <v>172</v>
      </c>
      <c r="E21" s="143">
        <v>40.950000000000003</v>
      </c>
      <c r="F21" s="144" t="s">
        <v>172</v>
      </c>
      <c r="G21" s="145" t="s">
        <v>172</v>
      </c>
      <c r="H21" s="143">
        <v>45.32</v>
      </c>
      <c r="I21" s="144" t="s">
        <v>172</v>
      </c>
      <c r="J21" s="145" t="s">
        <v>172</v>
      </c>
      <c r="K21" s="143">
        <v>39.67</v>
      </c>
      <c r="L21" s="144" t="s">
        <v>172</v>
      </c>
      <c r="M21" s="145" t="s">
        <v>172</v>
      </c>
      <c r="N21" s="143">
        <v>19.11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38.5</v>
      </c>
      <c r="C22" s="144" t="s">
        <v>172</v>
      </c>
      <c r="D22" s="145" t="s">
        <v>172</v>
      </c>
      <c r="E22" s="143">
        <v>41.5</v>
      </c>
      <c r="F22" s="144" t="s">
        <v>172</v>
      </c>
      <c r="G22" s="145" t="s">
        <v>172</v>
      </c>
      <c r="H22" s="143">
        <v>45.09</v>
      </c>
      <c r="I22" s="144" t="s">
        <v>172</v>
      </c>
      <c r="J22" s="145" t="s">
        <v>172</v>
      </c>
      <c r="K22" s="143">
        <v>40.72</v>
      </c>
      <c r="L22" s="144" t="s">
        <v>172</v>
      </c>
      <c r="M22" s="145" t="s">
        <v>172</v>
      </c>
      <c r="N22" s="143">
        <f>N21</f>
        <v>19.11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38.19</v>
      </c>
      <c r="C23" s="144" t="s">
        <v>172</v>
      </c>
      <c r="D23" s="145" t="s">
        <v>172</v>
      </c>
      <c r="E23" s="143">
        <v>41.03</v>
      </c>
      <c r="F23" s="144" t="s">
        <v>172</v>
      </c>
      <c r="G23" s="145" t="s">
        <v>172</v>
      </c>
      <c r="H23" s="143">
        <v>47.5</v>
      </c>
      <c r="I23" s="144" t="s">
        <v>172</v>
      </c>
      <c r="J23" s="145" t="s">
        <v>172</v>
      </c>
      <c r="K23" s="143">
        <v>41.33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28.1</v>
      </c>
      <c r="C24" s="144" t="s">
        <v>172</v>
      </c>
      <c r="D24" s="145" t="s">
        <v>172</v>
      </c>
      <c r="E24" s="143">
        <v>28.85</v>
      </c>
      <c r="F24" s="144" t="s">
        <v>172</v>
      </c>
      <c r="G24" s="145" t="s">
        <v>172</v>
      </c>
      <c r="H24" s="143">
        <v>33.57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12.4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1.2290000000000001</v>
      </c>
      <c r="F25" s="144" t="s">
        <v>172</v>
      </c>
      <c r="G25" s="145" t="s">
        <v>172</v>
      </c>
      <c r="H25" s="153">
        <v>1.284</v>
      </c>
      <c r="I25" s="144" t="s">
        <v>172</v>
      </c>
      <c r="J25" s="145" t="s">
        <v>172</v>
      </c>
      <c r="K25" s="153">
        <v>1.1220000000000001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1.236</v>
      </c>
      <c r="F26" s="144" t="s">
        <v>172</v>
      </c>
      <c r="G26" s="145" t="s">
        <v>172</v>
      </c>
      <c r="H26" s="153">
        <v>1.304</v>
      </c>
      <c r="I26" s="144" t="s">
        <v>172</v>
      </c>
      <c r="J26" s="145" t="s">
        <v>172</v>
      </c>
      <c r="K26" s="153">
        <v>1.165</v>
      </c>
      <c r="L26" s="144" t="s">
        <v>172</v>
      </c>
      <c r="M26" s="145" t="s">
        <v>172</v>
      </c>
      <c r="N26" s="153">
        <v>0.55300000000000005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4.8499999999999996</v>
      </c>
      <c r="F27" s="158" t="s">
        <v>172</v>
      </c>
      <c r="G27" s="159" t="s">
        <v>172</v>
      </c>
      <c r="H27" s="160">
        <v>5.14</v>
      </c>
      <c r="I27" s="158" t="s">
        <v>172</v>
      </c>
      <c r="J27" s="159" t="s">
        <v>172</v>
      </c>
      <c r="K27" s="160">
        <v>4.78</v>
      </c>
      <c r="L27" s="158" t="s">
        <v>172</v>
      </c>
      <c r="M27" s="159" t="s">
        <v>172</v>
      </c>
      <c r="N27" s="160">
        <v>2.06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7.6249000000000002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2.4258000000000002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5.7637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3.2212000000000001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43227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0.62765641988731835</v>
      </c>
      <c r="C6" s="103" t="s">
        <v>172</v>
      </c>
      <c r="D6" s="104" t="s">
        <v>172</v>
      </c>
      <c r="E6" s="102">
        <f>E19/$B$32</f>
        <v>0.66719383216368489</v>
      </c>
      <c r="F6" s="103" t="s">
        <v>172</v>
      </c>
      <c r="G6" s="104" t="s">
        <v>172</v>
      </c>
      <c r="H6" s="102">
        <f>H19/$B$32</f>
        <v>0.77097953938914698</v>
      </c>
      <c r="I6" s="103" t="s">
        <v>172</v>
      </c>
      <c r="J6" s="104" t="s">
        <v>172</v>
      </c>
      <c r="K6" s="102">
        <f>K19/$B$32</f>
        <v>0.66719383216368489</v>
      </c>
      <c r="L6" s="103" t="s">
        <v>172</v>
      </c>
      <c r="M6" s="104" t="s">
        <v>172</v>
      </c>
      <c r="N6" s="102">
        <f>N19/$B$32</f>
        <v>0.36572106355639022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0.62354729662943553</v>
      </c>
      <c r="C7" s="107">
        <f>B7-B$6</f>
        <v>-4.1091232578828185E-3</v>
      </c>
      <c r="D7" s="108">
        <f>B7/B$6*100</f>
        <v>99.345322834645671</v>
      </c>
      <c r="E7" s="102">
        <f t="shared" ref="E7:E10" si="0">E20*$B$35/100/$B$32</f>
        <v>0.67540417119699503</v>
      </c>
      <c r="F7" s="107">
        <f>E7-E$6</f>
        <v>8.2103390333101434E-3</v>
      </c>
      <c r="G7" s="108">
        <f>E7/E$6*100</f>
        <v>101.23057777777775</v>
      </c>
      <c r="H7" s="102">
        <f t="shared" ref="H7:H10" si="1">H20*$B$35/100/$B$32</f>
        <v>0.77105480873776799</v>
      </c>
      <c r="I7" s="107">
        <f t="shared" ref="I7:I14" si="2">H7-H$6</f>
        <v>7.5269348621009868E-5</v>
      </c>
      <c r="J7" s="108">
        <f t="shared" ref="J7:J14" si="3">H7/H$6*100</f>
        <v>100.00976282051282</v>
      </c>
      <c r="K7" s="102">
        <f t="shared" ref="K7:K10" si="4">K20*$B$35/100/$B$32</f>
        <v>0.65042433527725607</v>
      </c>
      <c r="L7" s="107">
        <f t="shared" ref="L7:L14" si="5">K7-K$6</f>
        <v>-1.6769496886428814E-2</v>
      </c>
      <c r="M7" s="108">
        <f t="shared" ref="M7:M14" si="6">K7/K$6*100</f>
        <v>97.486562962962964</v>
      </c>
      <c r="N7" s="102">
        <f t="shared" ref="N7:N10" si="7">N20*$B$35/100/$B$32</f>
        <v>0.29454072353464461</v>
      </c>
      <c r="O7" s="107">
        <f t="shared" ref="O7:O14" si="8">N7-N$6</f>
        <v>-7.1180340021745614E-2</v>
      </c>
      <c r="P7" s="108">
        <f t="shared" ref="P7:P14" si="9">N7/N$6*100</f>
        <v>80.53698648648647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0.60267806662053969</v>
      </c>
      <c r="C8" s="107">
        <f t="shared" ref="C8:C11" si="11">B8-B$6</f>
        <v>-2.4978353266778663E-2</v>
      </c>
      <c r="D8" s="108">
        <f t="shared" ref="D8:D11" si="12">B8/B$6*100</f>
        <v>96.020377952755908</v>
      </c>
      <c r="E8" s="102">
        <f t="shared" si="0"/>
        <v>0.6501081348225759</v>
      </c>
      <c r="F8" s="107">
        <f t="shared" ref="F8:F14" si="13">E8-E$6</f>
        <v>-1.7085697341108985E-2</v>
      </c>
      <c r="G8" s="108">
        <f t="shared" ref="G8:G14" si="14">E8/E$6*100</f>
        <v>97.439170370370377</v>
      </c>
      <c r="H8" s="102">
        <f t="shared" si="1"/>
        <v>0.71651023030542649</v>
      </c>
      <c r="I8" s="107">
        <f t="shared" si="2"/>
        <v>-5.4469309083720496E-2</v>
      </c>
      <c r="J8" s="108">
        <f t="shared" si="3"/>
        <v>92.93505128205129</v>
      </c>
      <c r="K8" s="102">
        <f t="shared" si="4"/>
        <v>0.64062212118216855</v>
      </c>
      <c r="L8" s="107">
        <f t="shared" si="5"/>
        <v>-2.6571710981516339E-2</v>
      </c>
      <c r="M8" s="108">
        <f t="shared" si="6"/>
        <v>96.017392592592572</v>
      </c>
      <c r="N8" s="102">
        <f t="shared" si="7"/>
        <v>0.30212953444697038</v>
      </c>
      <c r="O8" s="107">
        <f t="shared" si="8"/>
        <v>-6.3591529109419842E-2</v>
      </c>
      <c r="P8" s="108">
        <f t="shared" si="9"/>
        <v>82.612013513513489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0.61121547889690608</v>
      </c>
      <c r="C9" s="107">
        <f t="shared" si="11"/>
        <v>-1.6440940990412267E-2</v>
      </c>
      <c r="D9" s="108">
        <f t="shared" si="12"/>
        <v>97.380582677165336</v>
      </c>
      <c r="E9" s="102">
        <f t="shared" si="0"/>
        <v>0.65896174755362247</v>
      </c>
      <c r="F9" s="107">
        <f t="shared" si="13"/>
        <v>-8.2320846100624179E-3</v>
      </c>
      <c r="G9" s="108">
        <f t="shared" si="14"/>
        <v>98.766162962962937</v>
      </c>
      <c r="H9" s="102">
        <f t="shared" si="1"/>
        <v>0.71287392507660374</v>
      </c>
      <c r="I9" s="107">
        <f t="shared" si="2"/>
        <v>-5.8105614312543241E-2</v>
      </c>
      <c r="J9" s="108">
        <f t="shared" si="3"/>
        <v>92.463403846153852</v>
      </c>
      <c r="K9" s="102">
        <f t="shared" si="4"/>
        <v>0.64520702777503203</v>
      </c>
      <c r="L9" s="107">
        <f t="shared" si="5"/>
        <v>-2.1986804388652859E-2</v>
      </c>
      <c r="M9" s="108">
        <f t="shared" si="6"/>
        <v>96.704585185185167</v>
      </c>
      <c r="N9" s="102">
        <f t="shared" si="7"/>
        <v>0.30212953444697038</v>
      </c>
      <c r="O9" s="107">
        <f t="shared" si="8"/>
        <v>-6.3591529109419842E-2</v>
      </c>
      <c r="P9" s="108">
        <f t="shared" si="9"/>
        <v>82.612013513513489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0.60947637639616481</v>
      </c>
      <c r="C10" s="107">
        <f t="shared" si="11"/>
        <v>-1.8180043491153541E-2</v>
      </c>
      <c r="D10" s="108">
        <f t="shared" si="12"/>
        <v>97.103503937007872</v>
      </c>
      <c r="E10" s="102">
        <f t="shared" si="0"/>
        <v>0.65643214391618065</v>
      </c>
      <c r="F10" s="107">
        <f t="shared" si="13"/>
        <v>-1.0761688247504231E-2</v>
      </c>
      <c r="G10" s="108">
        <f t="shared" si="14"/>
        <v>98.387022222222214</v>
      </c>
      <c r="H10" s="102">
        <f t="shared" si="1"/>
        <v>0.75413808441237518</v>
      </c>
      <c r="I10" s="107">
        <f t="shared" si="2"/>
        <v>-1.6841454976771808E-2</v>
      </c>
      <c r="J10" s="108">
        <f t="shared" si="3"/>
        <v>97.815576923076918</v>
      </c>
      <c r="K10" s="102">
        <f t="shared" si="4"/>
        <v>0.66054274982702377</v>
      </c>
      <c r="L10" s="107">
        <f t="shared" si="5"/>
        <v>-6.6510823366611183E-3</v>
      </c>
      <c r="M10" s="108">
        <f t="shared" si="6"/>
        <v>99.003125925925914</v>
      </c>
      <c r="N10" s="102">
        <f t="shared" si="7"/>
        <v>0.27414579420776908</v>
      </c>
      <c r="O10" s="107">
        <f t="shared" si="8"/>
        <v>-9.1575269348621147E-2</v>
      </c>
      <c r="P10" s="108">
        <f t="shared" si="9"/>
        <v>74.960351351351349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1.0759631511317582</v>
      </c>
      <c r="C11" s="107">
        <f t="shared" si="11"/>
        <v>0.44830673124443987</v>
      </c>
      <c r="D11" s="108">
        <f t="shared" si="12"/>
        <v>171.4254992125984</v>
      </c>
      <c r="E11" s="102">
        <f>E24*$B$31/100/$B$32</f>
        <v>1.1120438074528023</v>
      </c>
      <c r="F11" s="107">
        <f t="shared" si="13"/>
        <v>0.44484997528911741</v>
      </c>
      <c r="G11" s="108">
        <f t="shared" si="14"/>
        <v>166.67477333333335</v>
      </c>
      <c r="H11" s="102">
        <f>H24*$B$31/100/$B$32</f>
        <v>1.2707986952653949</v>
      </c>
      <c r="I11" s="107">
        <f t="shared" si="2"/>
        <v>0.49981915587624792</v>
      </c>
      <c r="J11" s="108">
        <f t="shared" si="3"/>
        <v>164.8291076923077</v>
      </c>
      <c r="K11" s="102">
        <f>K24*$B$31/100/$B$32</f>
        <v>1.0265896214292773</v>
      </c>
      <c r="L11" s="107">
        <f t="shared" si="5"/>
        <v>0.35939578926559246</v>
      </c>
      <c r="M11" s="108">
        <f t="shared" si="6"/>
        <v>153.86677333333333</v>
      </c>
      <c r="N11" s="102">
        <f>N24*$B$31/100/$B$32</f>
        <v>0.48424038746664028</v>
      </c>
      <c r="O11" s="107">
        <f t="shared" si="8"/>
        <v>0.11851932391025005</v>
      </c>
      <c r="P11" s="108">
        <f t="shared" si="9"/>
        <v>132.40702702702703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1.4706818720964712</v>
      </c>
      <c r="F12" s="107">
        <f t="shared" si="13"/>
        <v>0.80348803993278628</v>
      </c>
      <c r="G12" s="108">
        <f t="shared" si="14"/>
        <v>220.42797777777773</v>
      </c>
      <c r="H12" s="102">
        <f t="shared" ref="H12:H13" si="15">H25*$B$33/$B$32</f>
        <v>1.536497578333498</v>
      </c>
      <c r="I12" s="107">
        <f t="shared" si="2"/>
        <v>0.765518038944351</v>
      </c>
      <c r="J12" s="108">
        <f t="shared" si="3"/>
        <v>199.29161538461537</v>
      </c>
      <c r="K12" s="102">
        <f t="shared" ref="K12:K13" si="16">K25*$B$33/$B$32</f>
        <v>1.3426404072353466</v>
      </c>
      <c r="L12" s="107">
        <f t="shared" si="5"/>
        <v>0.67544657507166173</v>
      </c>
      <c r="M12" s="108">
        <f t="shared" si="6"/>
        <v>201.23693333333335</v>
      </c>
      <c r="N12" s="102">
        <f t="shared" ref="N12:N13" si="17">N25*$B$33/$B$32</f>
        <v>0.61627434021943261</v>
      </c>
      <c r="O12" s="107">
        <f t="shared" si="8"/>
        <v>0.25055327666304239</v>
      </c>
      <c r="P12" s="108">
        <f t="shared" si="9"/>
        <v>168.50939189189188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1.4934182069783533</v>
      </c>
      <c r="F13" s="107">
        <f t="shared" si="13"/>
        <v>0.82622437481466837</v>
      </c>
      <c r="G13" s="108">
        <f t="shared" si="14"/>
        <v>223.83573333333337</v>
      </c>
      <c r="H13" s="102">
        <f t="shared" si="15"/>
        <v>1.5723970544627854</v>
      </c>
      <c r="I13" s="107">
        <f t="shared" si="2"/>
        <v>0.80141751507363845</v>
      </c>
      <c r="J13" s="108">
        <f t="shared" si="3"/>
        <v>203.94796153846153</v>
      </c>
      <c r="K13" s="102">
        <f t="shared" si="16"/>
        <v>1.3964896214292775</v>
      </c>
      <c r="L13" s="107">
        <f t="shared" si="5"/>
        <v>0.72929578926559258</v>
      </c>
      <c r="M13" s="108">
        <f t="shared" si="6"/>
        <v>209.30793333333332</v>
      </c>
      <c r="N13" s="102">
        <f t="shared" si="17"/>
        <v>0.68448334486507856</v>
      </c>
      <c r="O13" s="107">
        <f t="shared" si="8"/>
        <v>0.31876228130868833</v>
      </c>
      <c r="P13" s="108">
        <f t="shared" si="9"/>
        <v>187.15994594594594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1.3669257685084513</v>
      </c>
      <c r="F14" s="119">
        <f t="shared" si="13"/>
        <v>0.69973193634476638</v>
      </c>
      <c r="G14" s="120">
        <f t="shared" si="14"/>
        <v>204.87685925925928</v>
      </c>
      <c r="H14" s="118">
        <f>H27*$B$34/10/$B$32</f>
        <v>1.4397537807650487</v>
      </c>
      <c r="I14" s="119">
        <f t="shared" si="2"/>
        <v>0.66877424137590169</v>
      </c>
      <c r="J14" s="120">
        <f t="shared" si="3"/>
        <v>186.74344871794867</v>
      </c>
      <c r="K14" s="118">
        <f>K27*$B$34/10/$B$32</f>
        <v>1.3473182267470594</v>
      </c>
      <c r="L14" s="119">
        <f t="shared" si="5"/>
        <v>0.68012439458337448</v>
      </c>
      <c r="M14" s="120">
        <f t="shared" si="6"/>
        <v>201.93805185185184</v>
      </c>
      <c r="N14" s="118">
        <f>N27*$B$34/10/$B$32</f>
        <v>0.57422086586932874</v>
      </c>
      <c r="O14" s="119">
        <f t="shared" si="8"/>
        <v>0.20849980231293852</v>
      </c>
      <c r="P14" s="120">
        <f t="shared" si="9"/>
        <v>157.01060810810807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1.27</v>
      </c>
      <c r="C19" s="135" t="s">
        <v>172</v>
      </c>
      <c r="D19" s="136" t="s">
        <v>172</v>
      </c>
      <c r="E19" s="134">
        <v>1.35</v>
      </c>
      <c r="F19" s="135" t="s">
        <v>172</v>
      </c>
      <c r="G19" s="136" t="s">
        <v>172</v>
      </c>
      <c r="H19" s="134">
        <v>1.56</v>
      </c>
      <c r="I19" s="135" t="s">
        <v>172</v>
      </c>
      <c r="J19" s="136" t="s">
        <v>172</v>
      </c>
      <c r="K19" s="134">
        <v>1.35</v>
      </c>
      <c r="L19" s="135" t="s">
        <v>172</v>
      </c>
      <c r="M19" s="136" t="s">
        <v>172</v>
      </c>
      <c r="N19" s="134">
        <v>0.74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39.44</v>
      </c>
      <c r="C20" s="144" t="s">
        <v>172</v>
      </c>
      <c r="D20" s="145" t="s">
        <v>172</v>
      </c>
      <c r="E20" s="143">
        <v>42.72</v>
      </c>
      <c r="F20" s="144" t="s">
        <v>172</v>
      </c>
      <c r="G20" s="145" t="s">
        <v>172</v>
      </c>
      <c r="H20" s="143">
        <v>48.77</v>
      </c>
      <c r="I20" s="144" t="s">
        <v>172</v>
      </c>
      <c r="J20" s="145" t="s">
        <v>172</v>
      </c>
      <c r="K20" s="143">
        <v>41.14</v>
      </c>
      <c r="L20" s="144" t="s">
        <v>172</v>
      </c>
      <c r="M20" s="145" t="s">
        <v>172</v>
      </c>
      <c r="N20" s="143">
        <v>18.63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38.119999999999997</v>
      </c>
      <c r="C21" s="144" t="s">
        <v>172</v>
      </c>
      <c r="D21" s="145" t="s">
        <v>172</v>
      </c>
      <c r="E21" s="143">
        <v>41.12</v>
      </c>
      <c r="F21" s="144" t="s">
        <v>172</v>
      </c>
      <c r="G21" s="145" t="s">
        <v>172</v>
      </c>
      <c r="H21" s="143">
        <v>45.32</v>
      </c>
      <c r="I21" s="144" t="s">
        <v>172</v>
      </c>
      <c r="J21" s="145" t="s">
        <v>172</v>
      </c>
      <c r="K21" s="143">
        <v>40.520000000000003</v>
      </c>
      <c r="L21" s="144" t="s">
        <v>172</v>
      </c>
      <c r="M21" s="145" t="s">
        <v>172</v>
      </c>
      <c r="N21" s="143">
        <v>19.11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38.659999999999997</v>
      </c>
      <c r="C22" s="144" t="s">
        <v>172</v>
      </c>
      <c r="D22" s="145" t="s">
        <v>172</v>
      </c>
      <c r="E22" s="143">
        <v>41.68</v>
      </c>
      <c r="F22" s="144" t="s">
        <v>172</v>
      </c>
      <c r="G22" s="145" t="s">
        <v>172</v>
      </c>
      <c r="H22" s="143">
        <v>45.09</v>
      </c>
      <c r="I22" s="144" t="s">
        <v>172</v>
      </c>
      <c r="J22" s="145" t="s">
        <v>172</v>
      </c>
      <c r="K22" s="143">
        <v>40.81</v>
      </c>
      <c r="L22" s="144" t="s">
        <v>172</v>
      </c>
      <c r="M22" s="145" t="s">
        <v>172</v>
      </c>
      <c r="N22" s="143">
        <f>N21</f>
        <v>19.11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38.549999999999997</v>
      </c>
      <c r="C23" s="144" t="s">
        <v>172</v>
      </c>
      <c r="D23" s="145" t="s">
        <v>172</v>
      </c>
      <c r="E23" s="143">
        <v>41.52</v>
      </c>
      <c r="F23" s="144" t="s">
        <v>172</v>
      </c>
      <c r="G23" s="145" t="s">
        <v>172</v>
      </c>
      <c r="H23" s="143">
        <v>47.7</v>
      </c>
      <c r="I23" s="144" t="s">
        <v>172</v>
      </c>
      <c r="J23" s="145" t="s">
        <v>172</v>
      </c>
      <c r="K23" s="143">
        <v>41.78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28.33</v>
      </c>
      <c r="C24" s="144" t="s">
        <v>172</v>
      </c>
      <c r="D24" s="145" t="s">
        <v>172</v>
      </c>
      <c r="E24" s="143">
        <v>29.28</v>
      </c>
      <c r="F24" s="144" t="s">
        <v>172</v>
      </c>
      <c r="G24" s="145" t="s">
        <v>172</v>
      </c>
      <c r="H24" s="143">
        <v>33.46</v>
      </c>
      <c r="I24" s="144" t="s">
        <v>172</v>
      </c>
      <c r="J24" s="145" t="s">
        <v>172</v>
      </c>
      <c r="K24" s="143">
        <v>27.03</v>
      </c>
      <c r="L24" s="144" t="s">
        <v>172</v>
      </c>
      <c r="M24" s="145" t="s">
        <v>172</v>
      </c>
      <c r="N24" s="143">
        <v>12.75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1.2290000000000001</v>
      </c>
      <c r="F25" s="144" t="s">
        <v>172</v>
      </c>
      <c r="G25" s="145" t="s">
        <v>172</v>
      </c>
      <c r="H25" s="153">
        <v>1.284</v>
      </c>
      <c r="I25" s="144" t="s">
        <v>172</v>
      </c>
      <c r="J25" s="145" t="s">
        <v>172</v>
      </c>
      <c r="K25" s="153">
        <v>1.1220000000000001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1.248</v>
      </c>
      <c r="F26" s="144" t="s">
        <v>172</v>
      </c>
      <c r="G26" s="145" t="s">
        <v>172</v>
      </c>
      <c r="H26" s="153">
        <v>1.3140000000000001</v>
      </c>
      <c r="I26" s="144" t="s">
        <v>172</v>
      </c>
      <c r="J26" s="145" t="s">
        <v>172</v>
      </c>
      <c r="K26" s="153">
        <v>1.167</v>
      </c>
      <c r="L26" s="144" t="s">
        <v>172</v>
      </c>
      <c r="M26" s="145" t="s">
        <v>172</v>
      </c>
      <c r="N26" s="153">
        <v>0.57199999999999995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4.88</v>
      </c>
      <c r="F27" s="158" t="s">
        <v>172</v>
      </c>
      <c r="G27" s="159" t="s">
        <v>172</v>
      </c>
      <c r="H27" s="160">
        <v>5.14</v>
      </c>
      <c r="I27" s="158" t="s">
        <v>172</v>
      </c>
      <c r="J27" s="159" t="s">
        <v>172</v>
      </c>
      <c r="K27" s="160">
        <v>4.8099999999999996</v>
      </c>
      <c r="L27" s="158" t="s">
        <v>172</v>
      </c>
      <c r="M27" s="159" t="s">
        <v>172</v>
      </c>
      <c r="N27" s="160">
        <v>2.0499999999999998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7.6848000000000001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2.0234000000000001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2.4213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5.6677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3.1989999999999998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43234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0.63872255489021956</v>
      </c>
      <c r="C6" s="103" t="s">
        <v>172</v>
      </c>
      <c r="D6" s="104" t="s">
        <v>172</v>
      </c>
      <c r="E6" s="102">
        <f>E19/$B$32</f>
        <v>0.67864271457085834</v>
      </c>
      <c r="F6" s="103" t="s">
        <v>172</v>
      </c>
      <c r="G6" s="104" t="s">
        <v>172</v>
      </c>
      <c r="H6" s="102">
        <f>H19/$B$32</f>
        <v>0.78343313373253498</v>
      </c>
      <c r="I6" s="103" t="s">
        <v>172</v>
      </c>
      <c r="J6" s="104" t="s">
        <v>172</v>
      </c>
      <c r="K6" s="102">
        <f>K19/$B$32</f>
        <v>0.67864271457085834</v>
      </c>
      <c r="L6" s="103" t="s">
        <v>172</v>
      </c>
      <c r="M6" s="104" t="s">
        <v>172</v>
      </c>
      <c r="N6" s="102">
        <f>N19/$B$32</f>
        <v>0.37425149700598803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0.64794176646706592</v>
      </c>
      <c r="C7" s="107">
        <f>B7-B$6</f>
        <v>9.2192115768463534E-3</v>
      </c>
      <c r="D7" s="108">
        <f>B7/B$6*100</f>
        <v>101.4433828125</v>
      </c>
      <c r="E7" s="102">
        <f t="shared" ref="E7:E10" si="0">E20*$B$35/100/$B$32</f>
        <v>0.70060019960079845</v>
      </c>
      <c r="F7" s="107">
        <f>E7-E$6</f>
        <v>2.1957485029940105E-2</v>
      </c>
      <c r="G7" s="108">
        <f>E7/E$6*100</f>
        <v>103.23549999999999</v>
      </c>
      <c r="H7" s="102">
        <f t="shared" ref="H7:H10" si="1">H20*$B$35/100/$B$32</f>
        <v>0.79279296407185629</v>
      </c>
      <c r="I7" s="107">
        <f t="shared" ref="I7:I14" si="2">H7-H$6</f>
        <v>9.3598303393213067E-3</v>
      </c>
      <c r="J7" s="108">
        <f t="shared" ref="J7:J14" si="3">H7/H$6*100</f>
        <v>101.19471974522291</v>
      </c>
      <c r="K7" s="102">
        <f t="shared" ref="K7:K10" si="4">K20*$B$35/100/$B$32</f>
        <v>0.67516212574850298</v>
      </c>
      <c r="L7" s="107">
        <f t="shared" ref="L7:L14" si="5">K7-K$6</f>
        <v>-3.4805888223553572E-3</v>
      </c>
      <c r="M7" s="108">
        <f t="shared" ref="M7:M14" si="6">K7/K$6*100</f>
        <v>99.487124999999992</v>
      </c>
      <c r="N7" s="102">
        <f t="shared" ref="N7:N10" si="7">N20*$B$35/100/$B$32</f>
        <v>0.30720119760479037</v>
      </c>
      <c r="O7" s="107">
        <f t="shared" ref="O7:O14" si="8">N7-N$6</f>
        <v>-6.7050299401197666E-2</v>
      </c>
      <c r="P7" s="108">
        <f t="shared" ref="P7:P14" si="9">N7/N$6*100</f>
        <v>82.084159999999983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0.61926317365269457</v>
      </c>
      <c r="C8" s="107">
        <f t="shared" ref="C8:C11" si="11">B8-B$6</f>
        <v>-1.9459381237524997E-2</v>
      </c>
      <c r="D8" s="108">
        <f t="shared" ref="D8:D11" si="12">B8/B$6*100</f>
        <v>96.953390624999997</v>
      </c>
      <c r="E8" s="102">
        <f t="shared" si="0"/>
        <v>0.66787095808383234</v>
      </c>
      <c r="F8" s="107">
        <f t="shared" ref="F8:F14" si="13">E8-E$6</f>
        <v>-1.0771756487025996E-2</v>
      </c>
      <c r="G8" s="108">
        <f t="shared" ref="G8:G14" si="14">E8/E$6*100</f>
        <v>98.412749999999988</v>
      </c>
      <c r="H8" s="102">
        <f t="shared" si="1"/>
        <v>0.73430159680638729</v>
      </c>
      <c r="I8" s="107">
        <f t="shared" si="2"/>
        <v>-4.913153692614769E-2</v>
      </c>
      <c r="J8" s="108">
        <f t="shared" si="3"/>
        <v>93.728687898089163</v>
      </c>
      <c r="K8" s="102">
        <f t="shared" si="4"/>
        <v>0.66236207584830342</v>
      </c>
      <c r="L8" s="107">
        <f t="shared" si="5"/>
        <v>-1.6280638722554919E-2</v>
      </c>
      <c r="M8" s="108">
        <f t="shared" si="6"/>
        <v>97.600999999999999</v>
      </c>
      <c r="N8" s="102">
        <f t="shared" si="7"/>
        <v>0.31125184630738523</v>
      </c>
      <c r="O8" s="107">
        <f t="shared" si="8"/>
        <v>-6.2999650698602805E-2</v>
      </c>
      <c r="P8" s="108">
        <f t="shared" si="9"/>
        <v>83.166493333333335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0.63238727544910178</v>
      </c>
      <c r="C9" s="107">
        <f t="shared" si="11"/>
        <v>-6.3352794411177804E-3</v>
      </c>
      <c r="D9" s="108">
        <f t="shared" si="12"/>
        <v>99.008132812499994</v>
      </c>
      <c r="E9" s="102">
        <f t="shared" si="0"/>
        <v>0.68067100798403191</v>
      </c>
      <c r="F9" s="107">
        <f t="shared" si="13"/>
        <v>2.0282934131735653E-3</v>
      </c>
      <c r="G9" s="108">
        <f t="shared" si="14"/>
        <v>100.29887499999998</v>
      </c>
      <c r="H9" s="102">
        <f t="shared" si="1"/>
        <v>0.73738008982035907</v>
      </c>
      <c r="I9" s="107">
        <f t="shared" si="2"/>
        <v>-4.6053043912175906E-2</v>
      </c>
      <c r="J9" s="108">
        <f t="shared" si="3"/>
        <v>94.121636942675124</v>
      </c>
      <c r="K9" s="102">
        <f t="shared" si="4"/>
        <v>0.66770893213572846</v>
      </c>
      <c r="L9" s="107">
        <f t="shared" si="5"/>
        <v>-1.093378243512988E-2</v>
      </c>
      <c r="M9" s="108">
        <f t="shared" si="6"/>
        <v>98.38887499999997</v>
      </c>
      <c r="N9" s="102">
        <f t="shared" si="7"/>
        <v>0.31125184630738523</v>
      </c>
      <c r="O9" s="107">
        <f t="shared" si="8"/>
        <v>-6.2999650698602805E-2</v>
      </c>
      <c r="P9" s="108">
        <f t="shared" si="9"/>
        <v>83.166493333333335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0.62574421157684623</v>
      </c>
      <c r="C10" s="107">
        <f t="shared" si="11"/>
        <v>-1.2978343313373331E-2</v>
      </c>
      <c r="D10" s="108">
        <f t="shared" si="12"/>
        <v>97.968078124999991</v>
      </c>
      <c r="E10" s="102">
        <f t="shared" si="0"/>
        <v>0.67597225548902184</v>
      </c>
      <c r="F10" s="107">
        <f t="shared" si="13"/>
        <v>-2.6704590818364959E-3</v>
      </c>
      <c r="G10" s="108">
        <f t="shared" si="14"/>
        <v>99.606499999999983</v>
      </c>
      <c r="H10" s="102">
        <f t="shared" si="1"/>
        <v>0.77286377245508975</v>
      </c>
      <c r="I10" s="107">
        <f t="shared" si="2"/>
        <v>-1.0569361277445233E-2</v>
      </c>
      <c r="J10" s="108">
        <f t="shared" si="3"/>
        <v>98.650891719745204</v>
      </c>
      <c r="K10" s="102">
        <f t="shared" si="4"/>
        <v>0.67905074850299385</v>
      </c>
      <c r="L10" s="107">
        <f t="shared" si="5"/>
        <v>4.0803393213550976E-4</v>
      </c>
      <c r="M10" s="108">
        <f t="shared" si="6"/>
        <v>100.06012499999997</v>
      </c>
      <c r="N10" s="102">
        <f t="shared" si="7"/>
        <v>0.28095299401197604</v>
      </c>
      <c r="O10" s="107">
        <f t="shared" si="8"/>
        <v>-9.3298502994011989E-2</v>
      </c>
      <c r="P10" s="108">
        <f t="shared" si="9"/>
        <v>75.070639999999997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1.0823359081836328</v>
      </c>
      <c r="C11" s="107">
        <f t="shared" si="11"/>
        <v>0.44361335329341323</v>
      </c>
      <c r="D11" s="108">
        <f t="shared" si="12"/>
        <v>169.45321562499998</v>
      </c>
      <c r="E11" s="102">
        <f>E24*$B$31/100/$B$32</f>
        <v>1.1182102295409182</v>
      </c>
      <c r="F11" s="107">
        <f t="shared" si="13"/>
        <v>0.43956751497005986</v>
      </c>
      <c r="G11" s="108">
        <f t="shared" si="14"/>
        <v>164.77156617647057</v>
      </c>
      <c r="H11" s="102">
        <f>H24*$B$31/100/$B$32</f>
        <v>1.2784997504990023</v>
      </c>
      <c r="I11" s="107">
        <f t="shared" si="2"/>
        <v>0.49506661676646735</v>
      </c>
      <c r="J11" s="108">
        <f t="shared" si="3"/>
        <v>163.19194267515925</v>
      </c>
      <c r="K11" s="102">
        <f>K24*$B$31/100/$B$32</f>
        <v>1.0338674101796408</v>
      </c>
      <c r="L11" s="107">
        <f t="shared" si="5"/>
        <v>0.35522469560878245</v>
      </c>
      <c r="M11" s="108">
        <f t="shared" si="6"/>
        <v>152.34340367647059</v>
      </c>
      <c r="N11" s="102">
        <f>N24*$B$31/100/$B$32</f>
        <v>0.49537094810379245</v>
      </c>
      <c r="O11" s="107">
        <f t="shared" si="8"/>
        <v>0.12111945109780442</v>
      </c>
      <c r="P11" s="108">
        <f t="shared" si="9"/>
        <v>132.36311733333335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1.4638837325349303</v>
      </c>
      <c r="F12" s="107">
        <f t="shared" si="13"/>
        <v>0.78524101796407197</v>
      </c>
      <c r="G12" s="108">
        <f t="shared" si="14"/>
        <v>215.70757352941177</v>
      </c>
      <c r="H12" s="102">
        <f t="shared" ref="H12:H13" si="15">H25*$B$33/$B$32</f>
        <v>1.5293952095808383</v>
      </c>
      <c r="I12" s="107">
        <f t="shared" si="2"/>
        <v>0.74596207584830332</v>
      </c>
      <c r="J12" s="108">
        <f t="shared" si="3"/>
        <v>195.21707006369425</v>
      </c>
      <c r="K12" s="102">
        <f t="shared" ref="K12:K13" si="16">K25*$B$33/$B$32</f>
        <v>1.3364341317365269</v>
      </c>
      <c r="L12" s="107">
        <f t="shared" si="5"/>
        <v>0.65779141716566858</v>
      </c>
      <c r="M12" s="108">
        <f t="shared" si="6"/>
        <v>196.92749999999998</v>
      </c>
      <c r="N12" s="102">
        <f t="shared" ref="N12:N13" si="17">N25*$B$33/$B$32</f>
        <v>0.61342564870259486</v>
      </c>
      <c r="O12" s="107">
        <f t="shared" si="8"/>
        <v>0.23917415169660683</v>
      </c>
      <c r="P12" s="108">
        <f t="shared" si="9"/>
        <v>163.90733333333333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1.5234396207584828</v>
      </c>
      <c r="F13" s="107">
        <f t="shared" si="13"/>
        <v>0.84479690618762449</v>
      </c>
      <c r="G13" s="108">
        <f t="shared" si="14"/>
        <v>224.48330882352937</v>
      </c>
      <c r="H13" s="102">
        <f t="shared" si="15"/>
        <v>1.6068178642714572</v>
      </c>
      <c r="I13" s="107">
        <f t="shared" si="2"/>
        <v>0.82338473053892225</v>
      </c>
      <c r="J13" s="108">
        <f t="shared" si="3"/>
        <v>205.0995541401274</v>
      </c>
      <c r="K13" s="102">
        <f t="shared" si="16"/>
        <v>1.4281501996007984</v>
      </c>
      <c r="L13" s="107">
        <f t="shared" si="5"/>
        <v>0.74950748502994002</v>
      </c>
      <c r="M13" s="108">
        <f t="shared" si="6"/>
        <v>210.44213235294114</v>
      </c>
      <c r="N13" s="102">
        <f t="shared" si="17"/>
        <v>0.72300848303393217</v>
      </c>
      <c r="O13" s="107">
        <f t="shared" si="8"/>
        <v>0.34875698602794414</v>
      </c>
      <c r="P13" s="108">
        <f t="shared" si="9"/>
        <v>193.18786666666668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1.3914730538922155</v>
      </c>
      <c r="F14" s="119">
        <f t="shared" si="13"/>
        <v>0.7128303393213572</v>
      </c>
      <c r="G14" s="120">
        <f t="shared" si="14"/>
        <v>205.0376470588235</v>
      </c>
      <c r="H14" s="118">
        <f>H27*$B$34/10/$B$32</f>
        <v>1.4616077844311377</v>
      </c>
      <c r="I14" s="119">
        <f t="shared" si="2"/>
        <v>0.67817465069860272</v>
      </c>
      <c r="J14" s="120">
        <f t="shared" si="3"/>
        <v>186.56445859872611</v>
      </c>
      <c r="K14" s="118">
        <f>K27*$B$34/10/$B$32</f>
        <v>1.380251497005988</v>
      </c>
      <c r="L14" s="119">
        <f t="shared" si="5"/>
        <v>0.7016087824351297</v>
      </c>
      <c r="M14" s="120">
        <f t="shared" si="6"/>
        <v>203.38411764705882</v>
      </c>
      <c r="N14" s="118">
        <f>N27*$B$34/10/$B$32</f>
        <v>0.58352095808383242</v>
      </c>
      <c r="O14" s="119">
        <f t="shared" si="8"/>
        <v>0.20926946107784439</v>
      </c>
      <c r="P14" s="120">
        <f t="shared" si="9"/>
        <v>155.91680000000002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1.28</v>
      </c>
      <c r="C19" s="135" t="s">
        <v>172</v>
      </c>
      <c r="D19" s="136" t="s">
        <v>172</v>
      </c>
      <c r="E19" s="134">
        <v>1.36</v>
      </c>
      <c r="F19" s="135" t="s">
        <v>172</v>
      </c>
      <c r="G19" s="136" t="s">
        <v>172</v>
      </c>
      <c r="H19" s="134">
        <v>1.57</v>
      </c>
      <c r="I19" s="135" t="s">
        <v>172</v>
      </c>
      <c r="J19" s="136" t="s">
        <v>172</v>
      </c>
      <c r="K19" s="134">
        <v>1.36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39.99</v>
      </c>
      <c r="C20" s="144" t="s">
        <v>172</v>
      </c>
      <c r="D20" s="145" t="s">
        <v>172</v>
      </c>
      <c r="E20" s="143">
        <v>43.24</v>
      </c>
      <c r="F20" s="144" t="s">
        <v>172</v>
      </c>
      <c r="G20" s="145" t="s">
        <v>172</v>
      </c>
      <c r="H20" s="143">
        <v>48.93</v>
      </c>
      <c r="I20" s="144" t="s">
        <v>172</v>
      </c>
      <c r="J20" s="145" t="s">
        <v>172</v>
      </c>
      <c r="K20" s="143">
        <v>41.67</v>
      </c>
      <c r="L20" s="144" t="s">
        <v>172</v>
      </c>
      <c r="M20" s="145" t="s">
        <v>172</v>
      </c>
      <c r="N20" s="143">
        <v>18.96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38.22</v>
      </c>
      <c r="C21" s="144" t="s">
        <v>172</v>
      </c>
      <c r="D21" s="145" t="s">
        <v>172</v>
      </c>
      <c r="E21" s="143">
        <v>41.22</v>
      </c>
      <c r="F21" s="144" t="s">
        <v>172</v>
      </c>
      <c r="G21" s="145" t="s">
        <v>172</v>
      </c>
      <c r="H21" s="143">
        <v>45.32</v>
      </c>
      <c r="I21" s="144" t="s">
        <v>172</v>
      </c>
      <c r="J21" s="145" t="s">
        <v>172</v>
      </c>
      <c r="K21" s="143">
        <v>40.880000000000003</v>
      </c>
      <c r="L21" s="144" t="s">
        <v>172</v>
      </c>
      <c r="M21" s="145" t="s">
        <v>172</v>
      </c>
      <c r="N21" s="143">
        <v>19.21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39.03</v>
      </c>
      <c r="C22" s="144" t="s">
        <v>172</v>
      </c>
      <c r="D22" s="145" t="s">
        <v>172</v>
      </c>
      <c r="E22" s="143">
        <v>42.01</v>
      </c>
      <c r="F22" s="144" t="s">
        <v>172</v>
      </c>
      <c r="G22" s="145" t="s">
        <v>172</v>
      </c>
      <c r="H22" s="143">
        <v>45.51</v>
      </c>
      <c r="I22" s="144" t="s">
        <v>172</v>
      </c>
      <c r="J22" s="145" t="s">
        <v>172</v>
      </c>
      <c r="K22" s="143">
        <v>41.21</v>
      </c>
      <c r="L22" s="144" t="s">
        <v>172</v>
      </c>
      <c r="M22" s="145" t="s">
        <v>172</v>
      </c>
      <c r="N22" s="143">
        <f>N21</f>
        <v>19.21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38.619999999999997</v>
      </c>
      <c r="C23" s="144" t="s">
        <v>172</v>
      </c>
      <c r="D23" s="145" t="s">
        <v>172</v>
      </c>
      <c r="E23" s="143">
        <v>41.72</v>
      </c>
      <c r="F23" s="144" t="s">
        <v>172</v>
      </c>
      <c r="G23" s="145" t="s">
        <v>172</v>
      </c>
      <c r="H23" s="143">
        <v>47.7</v>
      </c>
      <c r="I23" s="144" t="s">
        <v>172</v>
      </c>
      <c r="J23" s="145" t="s">
        <v>172</v>
      </c>
      <c r="K23" s="143">
        <v>41.91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28.36</v>
      </c>
      <c r="C24" s="144" t="s">
        <v>172</v>
      </c>
      <c r="D24" s="145" t="s">
        <v>172</v>
      </c>
      <c r="E24" s="143">
        <v>29.3</v>
      </c>
      <c r="F24" s="144" t="s">
        <v>172</v>
      </c>
      <c r="G24" s="145" t="s">
        <v>172</v>
      </c>
      <c r="H24" s="143">
        <v>33.5</v>
      </c>
      <c r="I24" s="144" t="s">
        <v>172</v>
      </c>
      <c r="J24" s="145" t="s">
        <v>172</v>
      </c>
      <c r="K24" s="143">
        <v>27.09</v>
      </c>
      <c r="L24" s="144" t="s">
        <v>172</v>
      </c>
      <c r="M24" s="145" t="s">
        <v>172</v>
      </c>
      <c r="N24" s="143">
        <v>12.98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1.2290000000000001</v>
      </c>
      <c r="F25" s="144" t="s">
        <v>172</v>
      </c>
      <c r="G25" s="145" t="s">
        <v>172</v>
      </c>
      <c r="H25" s="153">
        <v>1.284</v>
      </c>
      <c r="I25" s="144" t="s">
        <v>172</v>
      </c>
      <c r="J25" s="145" t="s">
        <v>172</v>
      </c>
      <c r="K25" s="153">
        <v>1.1220000000000001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1.2789999999999999</v>
      </c>
      <c r="F26" s="144" t="s">
        <v>172</v>
      </c>
      <c r="G26" s="145" t="s">
        <v>172</v>
      </c>
      <c r="H26" s="153">
        <v>1.349</v>
      </c>
      <c r="I26" s="144" t="s">
        <v>172</v>
      </c>
      <c r="J26" s="145" t="s">
        <v>172</v>
      </c>
      <c r="K26" s="153">
        <v>1.1990000000000001</v>
      </c>
      <c r="L26" s="144" t="s">
        <v>172</v>
      </c>
      <c r="M26" s="145" t="s">
        <v>172</v>
      </c>
      <c r="N26" s="153">
        <v>0.60699999999999998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4.96</v>
      </c>
      <c r="F27" s="158" t="s">
        <v>172</v>
      </c>
      <c r="G27" s="159" t="s">
        <v>172</v>
      </c>
      <c r="H27" s="160">
        <v>5.21</v>
      </c>
      <c r="I27" s="158" t="s">
        <v>172</v>
      </c>
      <c r="J27" s="159" t="s">
        <v>172</v>
      </c>
      <c r="K27" s="160">
        <v>4.92</v>
      </c>
      <c r="L27" s="158" t="s">
        <v>172</v>
      </c>
      <c r="M27" s="159" t="s">
        <v>172</v>
      </c>
      <c r="N27" s="160">
        <v>2.08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7.6481000000000003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2.004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2.387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5.6219999999999999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3.2469999999999999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43237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0.64400179721431783</v>
      </c>
      <c r="C6" s="103" t="s">
        <v>172</v>
      </c>
      <c r="D6" s="104" t="s">
        <v>172</v>
      </c>
      <c r="E6" s="102">
        <f>E19/$B$32</f>
        <v>0.68393989316559345</v>
      </c>
      <c r="F6" s="103" t="s">
        <v>172</v>
      </c>
      <c r="G6" s="104" t="s">
        <v>172</v>
      </c>
      <c r="H6" s="102">
        <f>H19/$B$32</f>
        <v>0.78877739503769162</v>
      </c>
      <c r="I6" s="103" t="s">
        <v>172</v>
      </c>
      <c r="J6" s="104" t="s">
        <v>172</v>
      </c>
      <c r="K6" s="102">
        <f>K19/$B$32</f>
        <v>0.68393989316559345</v>
      </c>
      <c r="L6" s="103" t="s">
        <v>172</v>
      </c>
      <c r="M6" s="104" t="s">
        <v>172</v>
      </c>
      <c r="N6" s="102">
        <f>N19/$B$32</f>
        <v>0.37441964954320806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0.64160612051320443</v>
      </c>
      <c r="C7" s="107">
        <f>B7-B$6</f>
        <v>-2.3956767011134028E-3</v>
      </c>
      <c r="D7" s="108">
        <f>B7/B$6*100</f>
        <v>99.62800155038758</v>
      </c>
      <c r="E7" s="102">
        <f t="shared" ref="E7:E10" si="0">E20*$B$35/100/$B$32</f>
        <v>0.69372358843792115</v>
      </c>
      <c r="F7" s="107">
        <f>E7-E$6</f>
        <v>9.7836952723276971E-3</v>
      </c>
      <c r="G7" s="108">
        <f>E7/E$6*100</f>
        <v>101.43049051094889</v>
      </c>
      <c r="H7" s="102">
        <f t="shared" ref="H7:H10" si="1">H20*$B$35/100/$B$32</f>
        <v>0.78577105486495946</v>
      </c>
      <c r="I7" s="107">
        <f t="shared" ref="I7:I14" si="2">H7-H$6</f>
        <v>-3.0063401727321581E-3</v>
      </c>
      <c r="J7" s="108">
        <f t="shared" ref="J7:J14" si="3">H7/H$6*100</f>
        <v>99.618860759493685</v>
      </c>
      <c r="K7" s="102">
        <f t="shared" ref="K7:K10" si="4">K20*$B$35/100/$B$32</f>
        <v>0.66870720383405735</v>
      </c>
      <c r="L7" s="107">
        <f t="shared" ref="L7:L14" si="5">K7-K$6</f>
        <v>-1.5232689331536098E-2</v>
      </c>
      <c r="M7" s="108">
        <f t="shared" ref="M7:M14" si="6">K7/K$6*100</f>
        <v>97.772802919708042</v>
      </c>
      <c r="N7" s="102">
        <f t="shared" ref="N7:N10" si="7">N20*$B$35/100/$B$32</f>
        <v>0.3040452898008088</v>
      </c>
      <c r="O7" s="107">
        <f t="shared" ref="O7:O14" si="8">N7-N$6</f>
        <v>-7.0374359742399251E-2</v>
      </c>
      <c r="P7" s="108">
        <f t="shared" ref="P7:P14" si="9">N7/N$6*100</f>
        <v>81.204416000000009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0.61338250711397346</v>
      </c>
      <c r="C8" s="107">
        <f t="shared" ref="C8:C11" si="11">B8-B$6</f>
        <v>-3.0619290100344365E-2</v>
      </c>
      <c r="D8" s="108">
        <f t="shared" ref="D8:D11" si="12">B8/B$6*100</f>
        <v>95.245465116279078</v>
      </c>
      <c r="E8" s="102">
        <f t="shared" si="0"/>
        <v>0.66149093904448109</v>
      </c>
      <c r="F8" s="107">
        <f t="shared" ref="F8:F14" si="13">E8-E$6</f>
        <v>-2.2448954121112363E-2</v>
      </c>
      <c r="G8" s="108">
        <f t="shared" ref="G8:G14" si="14">E8/E$6*100</f>
        <v>96.717700729926989</v>
      </c>
      <c r="H8" s="102">
        <f t="shared" si="1"/>
        <v>0.74038876741051385</v>
      </c>
      <c r="I8" s="107">
        <f t="shared" si="2"/>
        <v>-4.8388627627177772E-2</v>
      </c>
      <c r="J8" s="108">
        <f t="shared" si="3"/>
        <v>93.865363291139261</v>
      </c>
      <c r="K8" s="102">
        <f t="shared" si="4"/>
        <v>0.65603865009235685</v>
      </c>
      <c r="L8" s="107">
        <f t="shared" si="5"/>
        <v>-2.7901243073236603E-2</v>
      </c>
      <c r="M8" s="108">
        <f t="shared" si="6"/>
        <v>95.920512408759109</v>
      </c>
      <c r="N8" s="102">
        <f t="shared" si="7"/>
        <v>0.30821468723478612</v>
      </c>
      <c r="O8" s="107">
        <f t="shared" si="8"/>
        <v>-6.6204962308421933E-2</v>
      </c>
      <c r="P8" s="108">
        <f t="shared" si="9"/>
        <v>82.317978666666676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0.62621142229544202</v>
      </c>
      <c r="C9" s="107">
        <f t="shared" si="11"/>
        <v>-1.7790374918875806E-2</v>
      </c>
      <c r="D9" s="108">
        <f t="shared" si="12"/>
        <v>97.237527131782926</v>
      </c>
      <c r="E9" s="102">
        <f t="shared" si="0"/>
        <v>0.67399913134641309</v>
      </c>
      <c r="F9" s="107">
        <f t="shared" si="13"/>
        <v>-9.9407618191803548E-3</v>
      </c>
      <c r="G9" s="108">
        <f t="shared" si="14"/>
        <v>98.546544525547432</v>
      </c>
      <c r="H9" s="102">
        <f t="shared" si="1"/>
        <v>0.73012563526533891</v>
      </c>
      <c r="I9" s="107">
        <f t="shared" si="2"/>
        <v>-5.8651759772352707E-2</v>
      </c>
      <c r="J9" s="108">
        <f t="shared" si="3"/>
        <v>92.564218987341789</v>
      </c>
      <c r="K9" s="102">
        <f t="shared" si="4"/>
        <v>0.66149093904448109</v>
      </c>
      <c r="L9" s="107">
        <f t="shared" si="5"/>
        <v>-2.2448954121112363E-2</v>
      </c>
      <c r="M9" s="108">
        <f t="shared" si="6"/>
        <v>96.717700729926989</v>
      </c>
      <c r="N9" s="102">
        <f t="shared" si="7"/>
        <v>0.30821468723478612</v>
      </c>
      <c r="O9" s="107">
        <f t="shared" si="8"/>
        <v>-6.6204962308421933E-2</v>
      </c>
      <c r="P9" s="108">
        <f t="shared" si="9"/>
        <v>82.317978666666676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0.62204202486146476</v>
      </c>
      <c r="C10" s="107">
        <f t="shared" si="11"/>
        <v>-2.1959772352853069E-2</v>
      </c>
      <c r="D10" s="108">
        <f t="shared" si="12"/>
        <v>96.590106976744181</v>
      </c>
      <c r="E10" s="102">
        <f t="shared" si="0"/>
        <v>0.66966937247266733</v>
      </c>
      <c r="F10" s="107">
        <f t="shared" si="13"/>
        <v>-1.4270520692926114E-2</v>
      </c>
      <c r="G10" s="108">
        <f t="shared" si="14"/>
        <v>97.913483211678809</v>
      </c>
      <c r="H10" s="102">
        <f t="shared" si="1"/>
        <v>0.76492406769507282</v>
      </c>
      <c r="I10" s="107">
        <f t="shared" si="2"/>
        <v>-2.3853327342618802E-2</v>
      </c>
      <c r="J10" s="108">
        <f t="shared" si="3"/>
        <v>96.975911392405081</v>
      </c>
      <c r="K10" s="102">
        <f t="shared" si="4"/>
        <v>0.67464057710548653</v>
      </c>
      <c r="L10" s="107">
        <f t="shared" si="5"/>
        <v>-9.2993160601069214E-3</v>
      </c>
      <c r="M10" s="108">
        <f t="shared" si="6"/>
        <v>98.640331386861305</v>
      </c>
      <c r="N10" s="102">
        <f t="shared" si="7"/>
        <v>0.27806673655833458</v>
      </c>
      <c r="O10" s="107">
        <f t="shared" si="8"/>
        <v>-9.6352912984873473E-2</v>
      </c>
      <c r="P10" s="108">
        <f t="shared" si="9"/>
        <v>74.266064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1.1029390993959365</v>
      </c>
      <c r="C11" s="107">
        <f t="shared" si="11"/>
        <v>0.45893730218161866</v>
      </c>
      <c r="D11" s="108">
        <f t="shared" si="12"/>
        <v>171.26335736434112</v>
      </c>
      <c r="E11" s="102">
        <f>E24*$B$31/100/$B$32</f>
        <v>1.1410635065648247</v>
      </c>
      <c r="F11" s="107">
        <f t="shared" si="13"/>
        <v>0.45712361339923124</v>
      </c>
      <c r="G11" s="108">
        <f t="shared" si="14"/>
        <v>166.83681094890511</v>
      </c>
      <c r="H11" s="102">
        <f>H24*$B$31/100/$B$32</f>
        <v>1.2893674504517998</v>
      </c>
      <c r="I11" s="107">
        <f t="shared" si="2"/>
        <v>0.50059005541410817</v>
      </c>
      <c r="J11" s="108">
        <f t="shared" si="3"/>
        <v>163.46404683544304</v>
      </c>
      <c r="K11" s="102">
        <f>K24*$B$31/100/$B$32</f>
        <v>0.98437219310069402</v>
      </c>
      <c r="L11" s="107">
        <f t="shared" si="5"/>
        <v>0.30043229993510057</v>
      </c>
      <c r="M11" s="108">
        <f t="shared" si="6"/>
        <v>143.92671094890511</v>
      </c>
      <c r="N11" s="102">
        <f>N24*$B$31/100/$B$32</f>
        <v>0.49561729319554698</v>
      </c>
      <c r="O11" s="107">
        <f t="shared" si="8"/>
        <v>0.12119764365233893</v>
      </c>
      <c r="P11" s="108">
        <f t="shared" si="9"/>
        <v>132.36946666666668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1.4673735709650044</v>
      </c>
      <c r="F12" s="107">
        <f t="shared" si="13"/>
        <v>0.78343367779941098</v>
      </c>
      <c r="G12" s="108">
        <f t="shared" si="14"/>
        <v>214.54715328467154</v>
      </c>
      <c r="H12" s="102">
        <f t="shared" ref="H12:H13" si="15">H25*$B$33/$B$32</f>
        <v>1.5324586890320004</v>
      </c>
      <c r="I12" s="107">
        <f t="shared" si="2"/>
        <v>0.74368129399430882</v>
      </c>
      <c r="J12" s="108">
        <f t="shared" si="3"/>
        <v>194.28278481012657</v>
      </c>
      <c r="K12" s="102">
        <f t="shared" ref="K12:K13" si="16">K25*$B$33/$B$32</f>
        <v>1.3632373820578103</v>
      </c>
      <c r="L12" s="107">
        <f t="shared" si="5"/>
        <v>0.67929748889221686</v>
      </c>
      <c r="M12" s="108">
        <f t="shared" si="6"/>
        <v>199.3212262773722</v>
      </c>
      <c r="N12" s="102">
        <f t="shared" ref="N12:N13" si="17">N25*$B$33/$B$32</f>
        <v>0.60943337826369137</v>
      </c>
      <c r="O12" s="107">
        <f t="shared" si="8"/>
        <v>0.23501372872048332</v>
      </c>
      <c r="P12" s="108">
        <f t="shared" si="9"/>
        <v>162.76746666666668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1.5312753232489644</v>
      </c>
      <c r="F13" s="107">
        <f t="shared" si="13"/>
        <v>0.84733543008337098</v>
      </c>
      <c r="G13" s="108">
        <f t="shared" si="14"/>
        <v>223.89033576642339</v>
      </c>
      <c r="H13" s="102">
        <f t="shared" si="15"/>
        <v>1.6129275622784685</v>
      </c>
      <c r="I13" s="107">
        <f t="shared" si="2"/>
        <v>0.82415016724077683</v>
      </c>
      <c r="J13" s="108">
        <f t="shared" si="3"/>
        <v>204.48450632911391</v>
      </c>
      <c r="K13" s="102">
        <f t="shared" si="16"/>
        <v>1.4354226948230244</v>
      </c>
      <c r="L13" s="107">
        <f t="shared" si="5"/>
        <v>0.75148280165743098</v>
      </c>
      <c r="M13" s="108">
        <f t="shared" si="6"/>
        <v>209.87556204379558</v>
      </c>
      <c r="N13" s="102">
        <f t="shared" si="17"/>
        <v>0.73487015126553845</v>
      </c>
      <c r="O13" s="107">
        <f t="shared" si="8"/>
        <v>0.3604505017223304</v>
      </c>
      <c r="P13" s="108">
        <f t="shared" si="9"/>
        <v>196.26911999999999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1.3796416554340771</v>
      </c>
      <c r="F14" s="119">
        <f t="shared" si="13"/>
        <v>0.69570176226848368</v>
      </c>
      <c r="G14" s="120">
        <f t="shared" si="14"/>
        <v>201.71972262773718</v>
      </c>
      <c r="H14" s="118">
        <f>H27*$B$34/10/$B$32</f>
        <v>1.4456006190404873</v>
      </c>
      <c r="I14" s="119">
        <f t="shared" si="2"/>
        <v>0.65682322400279569</v>
      </c>
      <c r="J14" s="120">
        <f t="shared" si="3"/>
        <v>183.27105063291137</v>
      </c>
      <c r="K14" s="118">
        <f>K27*$B$34/10/$B$32</f>
        <v>1.3659002046827418</v>
      </c>
      <c r="L14" s="119">
        <f t="shared" si="5"/>
        <v>0.68196031151714831</v>
      </c>
      <c r="M14" s="120">
        <f t="shared" si="6"/>
        <v>199.71056204379559</v>
      </c>
      <c r="N14" s="118">
        <f>N27*$B$34/10/$B$32</f>
        <v>0.57988922170635515</v>
      </c>
      <c r="O14" s="119">
        <f t="shared" si="8"/>
        <v>0.2054695721631471</v>
      </c>
      <c r="P14" s="120">
        <f t="shared" si="9"/>
        <v>154.87681333333333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40.01</v>
      </c>
      <c r="C20" s="144" t="s">
        <v>172</v>
      </c>
      <c r="D20" s="145" t="s">
        <v>172</v>
      </c>
      <c r="E20" s="143">
        <v>43.26</v>
      </c>
      <c r="F20" s="144" t="s">
        <v>172</v>
      </c>
      <c r="G20" s="145" t="s">
        <v>172</v>
      </c>
      <c r="H20" s="143">
        <v>49</v>
      </c>
      <c r="I20" s="144" t="s">
        <v>172</v>
      </c>
      <c r="J20" s="145" t="s">
        <v>172</v>
      </c>
      <c r="K20" s="143">
        <v>41.7</v>
      </c>
      <c r="L20" s="144" t="s">
        <v>172</v>
      </c>
      <c r="M20" s="145" t="s">
        <v>172</v>
      </c>
      <c r="N20" s="143">
        <v>18.96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38.25</v>
      </c>
      <c r="C21" s="144" t="s">
        <v>172</v>
      </c>
      <c r="D21" s="145" t="s">
        <v>172</v>
      </c>
      <c r="E21" s="143">
        <v>41.25</v>
      </c>
      <c r="F21" s="144" t="s">
        <v>172</v>
      </c>
      <c r="G21" s="145" t="s">
        <v>172</v>
      </c>
      <c r="H21" s="143">
        <v>46.17</v>
      </c>
      <c r="I21" s="144" t="s">
        <v>172</v>
      </c>
      <c r="J21" s="145" t="s">
        <v>172</v>
      </c>
      <c r="K21" s="143">
        <v>40.909999999999997</v>
      </c>
      <c r="L21" s="144" t="s">
        <v>172</v>
      </c>
      <c r="M21" s="145" t="s">
        <v>172</v>
      </c>
      <c r="N21" s="143">
        <v>19.22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39.049999999999997</v>
      </c>
      <c r="C22" s="144" t="s">
        <v>172</v>
      </c>
      <c r="D22" s="145" t="s">
        <v>172</v>
      </c>
      <c r="E22" s="143">
        <v>42.03</v>
      </c>
      <c r="F22" s="144" t="s">
        <v>172</v>
      </c>
      <c r="G22" s="145" t="s">
        <v>172</v>
      </c>
      <c r="H22" s="143">
        <v>45.53</v>
      </c>
      <c r="I22" s="144" t="s">
        <v>172</v>
      </c>
      <c r="J22" s="145" t="s">
        <v>172</v>
      </c>
      <c r="K22" s="143">
        <v>41.25</v>
      </c>
      <c r="L22" s="144" t="s">
        <v>172</v>
      </c>
      <c r="M22" s="145" t="s">
        <v>172</v>
      </c>
      <c r="N22" s="143">
        <f>N21</f>
        <v>19.22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38.79</v>
      </c>
      <c r="C23" s="144" t="s">
        <v>172</v>
      </c>
      <c r="D23" s="145" t="s">
        <v>172</v>
      </c>
      <c r="E23" s="143">
        <v>41.76</v>
      </c>
      <c r="F23" s="144" t="s">
        <v>172</v>
      </c>
      <c r="G23" s="145" t="s">
        <v>172</v>
      </c>
      <c r="H23" s="143">
        <v>47.7</v>
      </c>
      <c r="I23" s="144" t="s">
        <v>172</v>
      </c>
      <c r="J23" s="145" t="s">
        <v>172</v>
      </c>
      <c r="K23" s="143">
        <v>42.07</v>
      </c>
      <c r="L23" s="144" t="s">
        <v>172</v>
      </c>
      <c r="M23" s="145" t="s">
        <v>172</v>
      </c>
      <c r="N23" s="143">
        <v>17.34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28.93</v>
      </c>
      <c r="C24" s="144" t="s">
        <v>172</v>
      </c>
      <c r="D24" s="145" t="s">
        <v>172</v>
      </c>
      <c r="E24" s="143">
        <v>29.93</v>
      </c>
      <c r="F24" s="144" t="s">
        <v>172</v>
      </c>
      <c r="G24" s="145" t="s">
        <v>172</v>
      </c>
      <c r="H24" s="143">
        <v>33.82</v>
      </c>
      <c r="I24" s="144" t="s">
        <v>172</v>
      </c>
      <c r="J24" s="145" t="s">
        <v>172</v>
      </c>
      <c r="K24" s="143">
        <v>25.82</v>
      </c>
      <c r="L24" s="144" t="s">
        <v>172</v>
      </c>
      <c r="M24" s="145" t="s">
        <v>172</v>
      </c>
      <c r="N24" s="143">
        <v>13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1.24</v>
      </c>
      <c r="F25" s="144" t="s">
        <v>172</v>
      </c>
      <c r="G25" s="145" t="s">
        <v>172</v>
      </c>
      <c r="H25" s="153">
        <v>1.2949999999999999</v>
      </c>
      <c r="I25" s="144" t="s">
        <v>172</v>
      </c>
      <c r="J25" s="145" t="s">
        <v>172</v>
      </c>
      <c r="K25" s="153">
        <v>1.1519999999999999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1.294</v>
      </c>
      <c r="F26" s="144" t="s">
        <v>172</v>
      </c>
      <c r="G26" s="145" t="s">
        <v>172</v>
      </c>
      <c r="H26" s="153">
        <v>1.363</v>
      </c>
      <c r="I26" s="144" t="s">
        <v>172</v>
      </c>
      <c r="J26" s="145" t="s">
        <v>172</v>
      </c>
      <c r="K26" s="153">
        <v>1.2130000000000001</v>
      </c>
      <c r="L26" s="144" t="s">
        <v>172</v>
      </c>
      <c r="M26" s="145" t="s">
        <v>172</v>
      </c>
      <c r="N26" s="153">
        <v>0.621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5.0199999999999996</v>
      </c>
      <c r="F27" s="158" t="s">
        <v>172</v>
      </c>
      <c r="G27" s="159" t="s">
        <v>172</v>
      </c>
      <c r="H27" s="160">
        <v>5.26</v>
      </c>
      <c r="I27" s="158" t="s">
        <v>172</v>
      </c>
      <c r="J27" s="159" t="s">
        <v>172</v>
      </c>
      <c r="K27" s="160">
        <v>4.97</v>
      </c>
      <c r="L27" s="158" t="s">
        <v>172</v>
      </c>
      <c r="M27" s="159" t="s">
        <v>172</v>
      </c>
      <c r="N27" s="160">
        <v>2.11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7.6367000000000003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2.0030999999999999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2.3704000000000001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5.5050999999999997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3.2122000000000002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43241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0.6470057177249473</v>
      </c>
      <c r="C6" s="103" t="s">
        <v>172</v>
      </c>
      <c r="D6" s="104" t="s">
        <v>172</v>
      </c>
      <c r="E6" s="102">
        <f>E19/$B$32</f>
        <v>0.68713010332029301</v>
      </c>
      <c r="F6" s="103" t="s">
        <v>172</v>
      </c>
      <c r="G6" s="104" t="s">
        <v>172</v>
      </c>
      <c r="H6" s="102">
        <f>H19/$B$32</f>
        <v>0.79245661550807511</v>
      </c>
      <c r="I6" s="103" t="s">
        <v>172</v>
      </c>
      <c r="J6" s="104" t="s">
        <v>172</v>
      </c>
      <c r="K6" s="102">
        <f>K19/$B$32</f>
        <v>0.68713010332029301</v>
      </c>
      <c r="L6" s="103" t="s">
        <v>172</v>
      </c>
      <c r="M6" s="104" t="s">
        <v>172</v>
      </c>
      <c r="N6" s="102">
        <f>N19/$B$32</f>
        <v>0.37616611495636471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0.65649497442070404</v>
      </c>
      <c r="C7" s="107">
        <f>B7-B$6</f>
        <v>9.4892566957567315E-3</v>
      </c>
      <c r="D7" s="108">
        <f>B7/B$6*100</f>
        <v>101.4666418604651</v>
      </c>
      <c r="E7" s="102">
        <f t="shared" ref="E7:E10" si="0">E20*$B$35/100/$B$32</f>
        <v>0.70975046644598239</v>
      </c>
      <c r="F7" s="107">
        <f>E7-E$6</f>
        <v>2.262036312568938E-2</v>
      </c>
      <c r="G7" s="108">
        <f>E7/E$6*100</f>
        <v>103.29200583941602</v>
      </c>
      <c r="H7" s="102">
        <f t="shared" ref="H7:H10" si="1">H20*$B$35/100/$B$32</f>
        <v>0.80125308456214261</v>
      </c>
      <c r="I7" s="107">
        <f t="shared" ref="I7:I14" si="2">H7-H$6</f>
        <v>8.7964690540675017E-3</v>
      </c>
      <c r="J7" s="108">
        <f t="shared" ref="J7:J14" si="3">H7/H$6*100</f>
        <v>101.11002531645568</v>
      </c>
      <c r="K7" s="102">
        <f t="shared" ref="K7:K10" si="4">K20*$B$35/100/$B$32</f>
        <v>0.68538204433744598</v>
      </c>
      <c r="L7" s="107">
        <f t="shared" ref="L7:L14" si="5">K7-K$6</f>
        <v>-1.7480589828470228E-3</v>
      </c>
      <c r="M7" s="108">
        <f t="shared" ref="M7:M14" si="6">K7/K$6*100</f>
        <v>99.745599999999968</v>
      </c>
      <c r="N7" s="102">
        <f t="shared" ref="N7:N10" si="7">N20*$B$35/100/$B$32</f>
        <v>0.30533148761159601</v>
      </c>
      <c r="O7" s="107">
        <f t="shared" ref="O7:O14" si="8">N7-N$6</f>
        <v>-7.0834627344768697E-2</v>
      </c>
      <c r="P7" s="108">
        <f t="shared" ref="P7:P14" si="9">N7/N$6*100</f>
        <v>81.169322666666687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0.62938308757147154</v>
      </c>
      <c r="C8" s="107">
        <f t="shared" ref="C8:C11" si="11">B8-B$6</f>
        <v>-1.762263015347576E-2</v>
      </c>
      <c r="D8" s="108">
        <f t="shared" ref="D8:D11" si="12">B8/B$6*100</f>
        <v>97.27627906976744</v>
      </c>
      <c r="E8" s="102">
        <f t="shared" si="0"/>
        <v>0.67731303039422219</v>
      </c>
      <c r="F8" s="107">
        <f t="shared" ref="F8:F14" si="13">E8-E$6</f>
        <v>-9.8170729260708134E-3</v>
      </c>
      <c r="G8" s="108">
        <f t="shared" ref="G8:G14" si="14">E8/E$6*100</f>
        <v>98.571293430656937</v>
      </c>
      <c r="H8" s="102">
        <f t="shared" si="1"/>
        <v>0.75606660648008828</v>
      </c>
      <c r="I8" s="107">
        <f t="shared" si="2"/>
        <v>-3.6390009027986836E-2</v>
      </c>
      <c r="J8" s="108">
        <f t="shared" si="3"/>
        <v>95.407949367088591</v>
      </c>
      <c r="K8" s="102">
        <f t="shared" si="4"/>
        <v>0.67456956565352588</v>
      </c>
      <c r="L8" s="107">
        <f t="shared" si="5"/>
        <v>-1.2560537666767124E-2</v>
      </c>
      <c r="M8" s="108">
        <f t="shared" si="6"/>
        <v>98.172029197080263</v>
      </c>
      <c r="N8" s="102">
        <f t="shared" si="7"/>
        <v>0.31065703681412382</v>
      </c>
      <c r="O8" s="107">
        <f t="shared" si="8"/>
        <v>-6.5509078142240884E-2</v>
      </c>
      <c r="P8" s="108">
        <f t="shared" si="9"/>
        <v>82.585066666666691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0.63971142541879833</v>
      </c>
      <c r="C9" s="107">
        <f t="shared" si="11"/>
        <v>-7.2942923061489751E-3</v>
      </c>
      <c r="D9" s="108">
        <f t="shared" si="12"/>
        <v>98.872607751938006</v>
      </c>
      <c r="E9" s="102">
        <f t="shared" si="0"/>
        <v>0.68860964991473572</v>
      </c>
      <c r="F9" s="107">
        <f t="shared" si="13"/>
        <v>1.4795465944427155E-3</v>
      </c>
      <c r="G9" s="108">
        <f t="shared" si="14"/>
        <v>100.21532262773722</v>
      </c>
      <c r="H9" s="102">
        <f t="shared" si="1"/>
        <v>0.74412446584411684</v>
      </c>
      <c r="I9" s="107">
        <f t="shared" si="2"/>
        <v>-4.8332149663958268E-2</v>
      </c>
      <c r="J9" s="108">
        <f t="shared" si="3"/>
        <v>93.900972151898728</v>
      </c>
      <c r="K9" s="102">
        <f t="shared" si="4"/>
        <v>0.67715165011535772</v>
      </c>
      <c r="L9" s="107">
        <f t="shared" si="5"/>
        <v>-9.9784532049352892E-3</v>
      </c>
      <c r="M9" s="108">
        <f t="shared" si="6"/>
        <v>98.547807299270076</v>
      </c>
      <c r="N9" s="102">
        <f t="shared" si="7"/>
        <v>0.31065703681412382</v>
      </c>
      <c r="O9" s="107">
        <f t="shared" si="8"/>
        <v>-6.5509078142240884E-2</v>
      </c>
      <c r="P9" s="108">
        <f t="shared" si="9"/>
        <v>82.585066666666691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0.6324493128698967</v>
      </c>
      <c r="C10" s="107">
        <f t="shared" si="11"/>
        <v>-1.4556404855050609E-2</v>
      </c>
      <c r="D10" s="108">
        <f t="shared" si="12"/>
        <v>97.750189147286832</v>
      </c>
      <c r="E10" s="102">
        <f t="shared" si="0"/>
        <v>0.67699026983649313</v>
      </c>
      <c r="F10" s="107">
        <f t="shared" si="13"/>
        <v>-1.0139833483799876E-2</v>
      </c>
      <c r="G10" s="108">
        <f t="shared" si="14"/>
        <v>98.524321167883201</v>
      </c>
      <c r="H10" s="102">
        <f t="shared" si="1"/>
        <v>0.77268877520312984</v>
      </c>
      <c r="I10" s="107">
        <f t="shared" si="2"/>
        <v>-1.9767840304945272E-2</v>
      </c>
      <c r="J10" s="108">
        <f t="shared" si="3"/>
        <v>97.505498734177223</v>
      </c>
      <c r="K10" s="102">
        <f t="shared" si="4"/>
        <v>0.68505928377971714</v>
      </c>
      <c r="L10" s="107">
        <f t="shared" si="5"/>
        <v>-2.0708195405758634E-3</v>
      </c>
      <c r="M10" s="108">
        <f t="shared" si="6"/>
        <v>99.698627737226261</v>
      </c>
      <c r="N10" s="102">
        <f t="shared" si="7"/>
        <v>0.27886512187782125</v>
      </c>
      <c r="O10" s="107">
        <f t="shared" si="8"/>
        <v>-9.7300993078543452E-2</v>
      </c>
      <c r="P10" s="108">
        <f t="shared" si="9"/>
        <v>74.133504000000002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1.1111064048550507</v>
      </c>
      <c r="C11" s="107">
        <f t="shared" si="11"/>
        <v>0.46410068713010344</v>
      </c>
      <c r="D11" s="108">
        <f t="shared" si="12"/>
        <v>171.73053875968995</v>
      </c>
      <c r="E11" s="102">
        <f>E24*$B$31/100/$B$32</f>
        <v>1.1493544738689938</v>
      </c>
      <c r="F11" s="107">
        <f t="shared" si="13"/>
        <v>0.4622243705487008</v>
      </c>
      <c r="G11" s="108">
        <f t="shared" si="14"/>
        <v>167.26882846715324</v>
      </c>
      <c r="H11" s="102">
        <f>H24*$B$31/100/$B$32</f>
        <v>1.3050241147557426</v>
      </c>
      <c r="I11" s="107">
        <f t="shared" si="2"/>
        <v>0.51256749924766754</v>
      </c>
      <c r="J11" s="108">
        <f t="shared" si="3"/>
        <v>164.68082784810122</v>
      </c>
      <c r="K11" s="102">
        <f>K24*$B$31/100/$B$32</f>
        <v>0.99024250677099013</v>
      </c>
      <c r="L11" s="107">
        <f t="shared" si="5"/>
        <v>0.30311240345069712</v>
      </c>
      <c r="M11" s="108">
        <f t="shared" si="6"/>
        <v>144.11281094890509</v>
      </c>
      <c r="N11" s="102">
        <f>N24*$B$31/100/$B$32</f>
        <v>0.49148768682917038</v>
      </c>
      <c r="O11" s="107">
        <f t="shared" si="8"/>
        <v>0.11532157187280567</v>
      </c>
      <c r="P11" s="108">
        <f t="shared" si="9"/>
        <v>130.65708666666666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1.4646403851941017</v>
      </c>
      <c r="F12" s="107">
        <f t="shared" si="13"/>
        <v>0.77751028187380866</v>
      </c>
      <c r="G12" s="108">
        <f t="shared" si="14"/>
        <v>213.15328467153282</v>
      </c>
      <c r="H12" s="102">
        <f t="shared" ref="H12:H13" si="15">H25*$B$33/$B$32</f>
        <v>1.5296042732470658</v>
      </c>
      <c r="I12" s="107">
        <f t="shared" si="2"/>
        <v>0.73714765773899071</v>
      </c>
      <c r="J12" s="108">
        <f t="shared" si="3"/>
        <v>193.02056962025313</v>
      </c>
      <c r="K12" s="102">
        <f t="shared" ref="K12:K13" si="16">K25*$B$33/$B$32</f>
        <v>1.360698164309359</v>
      </c>
      <c r="L12" s="107">
        <f t="shared" si="5"/>
        <v>0.67356806098906596</v>
      </c>
      <c r="M12" s="108">
        <f t="shared" si="6"/>
        <v>198.02627737226274</v>
      </c>
      <c r="N12" s="102">
        <f t="shared" ref="N12:N13" si="17">N25*$B$33/$B$32</f>
        <v>0.6082982244959374</v>
      </c>
      <c r="O12" s="107">
        <f t="shared" si="8"/>
        <v>0.2321321095395727</v>
      </c>
      <c r="P12" s="108">
        <f t="shared" si="9"/>
        <v>161.71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1.5236984652422509</v>
      </c>
      <c r="F13" s="107">
        <f t="shared" si="13"/>
        <v>0.83656836192195794</v>
      </c>
      <c r="G13" s="108">
        <f t="shared" si="14"/>
        <v>221.74817518248173</v>
      </c>
      <c r="H13" s="102">
        <f t="shared" si="15"/>
        <v>1.6040174541077341</v>
      </c>
      <c r="I13" s="107">
        <f t="shared" si="2"/>
        <v>0.811560838599659</v>
      </c>
      <c r="J13" s="108">
        <f t="shared" si="3"/>
        <v>202.41075949367087</v>
      </c>
      <c r="K13" s="102">
        <f t="shared" si="16"/>
        <v>1.4280243755642492</v>
      </c>
      <c r="L13" s="107">
        <f t="shared" si="5"/>
        <v>0.74089427224395621</v>
      </c>
      <c r="M13" s="108">
        <f t="shared" si="6"/>
        <v>207.82445255474448</v>
      </c>
      <c r="N13" s="102">
        <f t="shared" si="17"/>
        <v>0.71578393018356912</v>
      </c>
      <c r="O13" s="107">
        <f t="shared" si="8"/>
        <v>0.33961781522720441</v>
      </c>
      <c r="P13" s="108">
        <f t="shared" si="9"/>
        <v>190.28400000000002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1.3834943324305344</v>
      </c>
      <c r="F14" s="119">
        <f t="shared" si="13"/>
        <v>0.69636422911024143</v>
      </c>
      <c r="G14" s="120">
        <f t="shared" si="14"/>
        <v>201.34386861313862</v>
      </c>
      <c r="H14" s="118">
        <f>H27*$B$34/10/$B$32</f>
        <v>1.4656821145551209</v>
      </c>
      <c r="I14" s="119">
        <f t="shared" si="2"/>
        <v>0.67322549904704576</v>
      </c>
      <c r="J14" s="120">
        <f t="shared" si="3"/>
        <v>184.95424050632909</v>
      </c>
      <c r="K14" s="118">
        <f>K27*$B$34/10/$B$32</f>
        <v>1.3697963687431036</v>
      </c>
      <c r="L14" s="119">
        <f t="shared" si="5"/>
        <v>0.68266626542281061</v>
      </c>
      <c r="M14" s="120">
        <f t="shared" si="6"/>
        <v>199.35036496350364</v>
      </c>
      <c r="N14" s="118">
        <f>N27*$B$34/10/$B$32</f>
        <v>0.58353325308456216</v>
      </c>
      <c r="O14" s="119">
        <f t="shared" si="8"/>
        <v>0.20736713812819746</v>
      </c>
      <c r="P14" s="120">
        <f t="shared" si="9"/>
        <v>155.12648000000002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40.68</v>
      </c>
      <c r="C20" s="144" t="s">
        <v>172</v>
      </c>
      <c r="D20" s="145" t="s">
        <v>172</v>
      </c>
      <c r="E20" s="143">
        <v>43.98</v>
      </c>
      <c r="F20" s="144" t="s">
        <v>172</v>
      </c>
      <c r="G20" s="145" t="s">
        <v>172</v>
      </c>
      <c r="H20" s="143">
        <v>49.65</v>
      </c>
      <c r="I20" s="144" t="s">
        <v>172</v>
      </c>
      <c r="J20" s="145" t="s">
        <v>172</v>
      </c>
      <c r="K20" s="143">
        <v>42.47</v>
      </c>
      <c r="L20" s="144" t="s">
        <v>172</v>
      </c>
      <c r="M20" s="145" t="s">
        <v>172</v>
      </c>
      <c r="N20" s="143">
        <v>18.920000000000002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39</v>
      </c>
      <c r="C21" s="144" t="s">
        <v>172</v>
      </c>
      <c r="D21" s="145" t="s">
        <v>172</v>
      </c>
      <c r="E21" s="143">
        <v>41.97</v>
      </c>
      <c r="F21" s="144" t="s">
        <v>172</v>
      </c>
      <c r="G21" s="145" t="s">
        <v>172</v>
      </c>
      <c r="H21" s="143">
        <v>46.85</v>
      </c>
      <c r="I21" s="144" t="s">
        <v>172</v>
      </c>
      <c r="J21" s="145" t="s">
        <v>172</v>
      </c>
      <c r="K21" s="143">
        <v>41.8</v>
      </c>
      <c r="L21" s="144" t="s">
        <v>172</v>
      </c>
      <c r="M21" s="145" t="s">
        <v>172</v>
      </c>
      <c r="N21" s="143">
        <v>19.25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39.64</v>
      </c>
      <c r="C22" s="144" t="s">
        <v>172</v>
      </c>
      <c r="D22" s="145" t="s">
        <v>172</v>
      </c>
      <c r="E22" s="143">
        <v>42.67</v>
      </c>
      <c r="F22" s="144" t="s">
        <v>172</v>
      </c>
      <c r="G22" s="145" t="s">
        <v>172</v>
      </c>
      <c r="H22" s="143">
        <v>46.11</v>
      </c>
      <c r="I22" s="144" t="s">
        <v>172</v>
      </c>
      <c r="J22" s="145" t="s">
        <v>172</v>
      </c>
      <c r="K22" s="143">
        <v>41.96</v>
      </c>
      <c r="L22" s="144" t="s">
        <v>172</v>
      </c>
      <c r="M22" s="145" t="s">
        <v>172</v>
      </c>
      <c r="N22" s="143">
        <f>N21</f>
        <v>19.25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39.19</v>
      </c>
      <c r="C23" s="144" t="s">
        <v>172</v>
      </c>
      <c r="D23" s="145" t="s">
        <v>172</v>
      </c>
      <c r="E23" s="143">
        <v>41.95</v>
      </c>
      <c r="F23" s="144" t="s">
        <v>172</v>
      </c>
      <c r="G23" s="145" t="s">
        <v>172</v>
      </c>
      <c r="H23" s="143">
        <v>47.88</v>
      </c>
      <c r="I23" s="144" t="s">
        <v>172</v>
      </c>
      <c r="J23" s="145" t="s">
        <v>172</v>
      </c>
      <c r="K23" s="143">
        <v>42.45</v>
      </c>
      <c r="L23" s="144" t="s">
        <v>172</v>
      </c>
      <c r="M23" s="145" t="s">
        <v>172</v>
      </c>
      <c r="N23" s="143">
        <v>17.28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29.05</v>
      </c>
      <c r="C24" s="144" t="s">
        <v>172</v>
      </c>
      <c r="D24" s="145" t="s">
        <v>172</v>
      </c>
      <c r="E24" s="143">
        <v>30.05</v>
      </c>
      <c r="F24" s="144" t="s">
        <v>172</v>
      </c>
      <c r="G24" s="145" t="s">
        <v>172</v>
      </c>
      <c r="H24" s="143">
        <v>34.119999999999997</v>
      </c>
      <c r="I24" s="144" t="s">
        <v>172</v>
      </c>
      <c r="J24" s="145" t="s">
        <v>172</v>
      </c>
      <c r="K24" s="143">
        <v>25.89</v>
      </c>
      <c r="L24" s="144" t="s">
        <v>172</v>
      </c>
      <c r="M24" s="145" t="s">
        <v>172</v>
      </c>
      <c r="N24" s="143">
        <v>12.85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1.24</v>
      </c>
      <c r="F25" s="144" t="s">
        <v>172</v>
      </c>
      <c r="G25" s="145" t="s">
        <v>172</v>
      </c>
      <c r="H25" s="153">
        <v>1.2949999999999999</v>
      </c>
      <c r="I25" s="144" t="s">
        <v>172</v>
      </c>
      <c r="J25" s="145" t="s">
        <v>172</v>
      </c>
      <c r="K25" s="153">
        <v>1.1519999999999999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1.29</v>
      </c>
      <c r="F26" s="144" t="s">
        <v>172</v>
      </c>
      <c r="G26" s="145" t="s">
        <v>172</v>
      </c>
      <c r="H26" s="153">
        <v>1.3580000000000001</v>
      </c>
      <c r="I26" s="144" t="s">
        <v>172</v>
      </c>
      <c r="J26" s="145" t="s">
        <v>172</v>
      </c>
      <c r="K26" s="153">
        <v>1.2090000000000001</v>
      </c>
      <c r="L26" s="144" t="s">
        <v>172</v>
      </c>
      <c r="M26" s="145" t="s">
        <v>172</v>
      </c>
      <c r="N26" s="153">
        <v>0.60599999999999998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5.05</v>
      </c>
      <c r="F27" s="158" t="s">
        <v>172</v>
      </c>
      <c r="G27" s="159" t="s">
        <v>172</v>
      </c>
      <c r="H27" s="160">
        <v>5.35</v>
      </c>
      <c r="I27" s="158" t="s">
        <v>172</v>
      </c>
      <c r="J27" s="159" t="s">
        <v>172</v>
      </c>
      <c r="K27" s="160">
        <v>5</v>
      </c>
      <c r="L27" s="158" t="s">
        <v>172</v>
      </c>
      <c r="M27" s="159" t="s">
        <v>172</v>
      </c>
      <c r="N27" s="160">
        <v>2.13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7.6258999999999997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1.9938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2.355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5.4622000000000002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3.2176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43248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0.64445221561672583</v>
      </c>
      <c r="C6" s="103" t="s">
        <v>172</v>
      </c>
      <c r="D6" s="104" t="s">
        <v>172</v>
      </c>
      <c r="E6" s="102">
        <f>E19/$B$32</f>
        <v>0.68441824449218169</v>
      </c>
      <c r="F6" s="103" t="s">
        <v>172</v>
      </c>
      <c r="G6" s="104" t="s">
        <v>172</v>
      </c>
      <c r="H6" s="102">
        <f>H19/$B$32</f>
        <v>0.78932907029025334</v>
      </c>
      <c r="I6" s="103" t="s">
        <v>172</v>
      </c>
      <c r="J6" s="104" t="s">
        <v>172</v>
      </c>
      <c r="K6" s="102">
        <f>K19/$B$32</f>
        <v>0.68441824449218169</v>
      </c>
      <c r="L6" s="103" t="s">
        <v>172</v>
      </c>
      <c r="M6" s="104" t="s">
        <v>172</v>
      </c>
      <c r="N6" s="102">
        <f>N19/$B$32</f>
        <v>0.37468152070739869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0.67133393115851536</v>
      </c>
      <c r="C7" s="107">
        <f>B7-B$6</f>
        <v>2.688171554178953E-2</v>
      </c>
      <c r="D7" s="108">
        <f>B7/B$6*100</f>
        <v>104.17125038759691</v>
      </c>
      <c r="E7" s="102">
        <f t="shared" ref="E7:E10" si="0">E20*$B$35/100/$B$32</f>
        <v>0.72566997052505378</v>
      </c>
      <c r="F7" s="107">
        <f>E7-E$6</f>
        <v>4.1251726032872083E-2</v>
      </c>
      <c r="G7" s="108">
        <f>E7/E$6*100</f>
        <v>106.02726861313869</v>
      </c>
      <c r="H7" s="102">
        <f t="shared" ref="H7:H10" si="1">H20*$B$35/100/$B$32</f>
        <v>0.80757952240595499</v>
      </c>
      <c r="I7" s="107">
        <f t="shared" ref="I7:I14" si="2">H7-H$6</f>
        <v>1.8250452115701643E-2</v>
      </c>
      <c r="J7" s="108">
        <f t="shared" ref="J7:J14" si="3">H7/H$6*100</f>
        <v>102.31214746835442</v>
      </c>
      <c r="K7" s="102">
        <f t="shared" ref="K7:K10" si="4">K20*$B$35/100/$B$32</f>
        <v>0.6998806264675026</v>
      </c>
      <c r="L7" s="107">
        <f t="shared" ref="L7:L14" si="5">K7-K$6</f>
        <v>1.5462381975320905E-2</v>
      </c>
      <c r="M7" s="108">
        <f t="shared" ref="M7:M14" si="6">K7/K$6*100</f>
        <v>102.259200729927</v>
      </c>
      <c r="N7" s="102">
        <f t="shared" ref="N7:N10" si="7">N20*$B$35/100/$B$32</f>
        <v>0.30687697457161417</v>
      </c>
      <c r="O7" s="107">
        <f t="shared" ref="O7:O14" si="8">N7-N$6</f>
        <v>-6.7804546135784516E-2</v>
      </c>
      <c r="P7" s="108">
        <f t="shared" ref="P7:P14" si="9">N7/N$6*100</f>
        <v>81.903418666666681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0.64651776989558885</v>
      </c>
      <c r="C8" s="107">
        <f t="shared" ref="C8:C11" si="11">B8-B$6</f>
        <v>2.0655542788630132E-3</v>
      </c>
      <c r="D8" s="108">
        <f t="shared" ref="D8:D11" si="12">B8/B$6*100</f>
        <v>100.32051317829458</v>
      </c>
      <c r="E8" s="102">
        <f t="shared" si="0"/>
        <v>0.69323054403756812</v>
      </c>
      <c r="F8" s="107">
        <f t="shared" ref="F8:F14" si="13">E8-E$6</f>
        <v>8.8122995453864261E-3</v>
      </c>
      <c r="G8" s="108">
        <f t="shared" ref="G8:G14" si="14">E8/E$6*100</f>
        <v>101.28756058394161</v>
      </c>
      <c r="H8" s="102">
        <f t="shared" si="1"/>
        <v>0.7733559274616576</v>
      </c>
      <c r="I8" s="107">
        <f t="shared" si="2"/>
        <v>-1.5973142828595743E-2</v>
      </c>
      <c r="J8" s="108">
        <f t="shared" si="3"/>
        <v>97.976364556962011</v>
      </c>
      <c r="K8" s="102">
        <f t="shared" si="4"/>
        <v>0.69339274117000549</v>
      </c>
      <c r="L8" s="107">
        <f t="shared" si="5"/>
        <v>8.9744966778237956E-3</v>
      </c>
      <c r="M8" s="108">
        <f t="shared" si="6"/>
        <v>101.31125912408758</v>
      </c>
      <c r="N8" s="102">
        <f t="shared" si="7"/>
        <v>0.31871736523954636</v>
      </c>
      <c r="O8" s="107">
        <f t="shared" si="8"/>
        <v>-5.5964155467852328E-2</v>
      </c>
      <c r="P8" s="108">
        <f t="shared" si="9"/>
        <v>85.063539999999989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0.65057269820652452</v>
      </c>
      <c r="C9" s="107">
        <f t="shared" si="11"/>
        <v>6.1204825897986925E-3</v>
      </c>
      <c r="D9" s="108">
        <f t="shared" si="12"/>
        <v>100.94971860465117</v>
      </c>
      <c r="E9" s="102">
        <f t="shared" si="0"/>
        <v>0.70085380926212715</v>
      </c>
      <c r="F9" s="107">
        <f t="shared" si="13"/>
        <v>1.6435564769945454E-2</v>
      </c>
      <c r="G9" s="108">
        <f t="shared" si="14"/>
        <v>102.40139197080292</v>
      </c>
      <c r="H9" s="102">
        <f t="shared" si="1"/>
        <v>0.75664962282060244</v>
      </c>
      <c r="I9" s="107">
        <f t="shared" si="2"/>
        <v>-3.2679447469650902E-2</v>
      </c>
      <c r="J9" s="108">
        <f t="shared" si="3"/>
        <v>95.859844936708853</v>
      </c>
      <c r="K9" s="102">
        <f t="shared" si="4"/>
        <v>0.6906353899185691</v>
      </c>
      <c r="L9" s="107">
        <f t="shared" si="5"/>
        <v>6.2171454263874049E-3</v>
      </c>
      <c r="M9" s="108">
        <f t="shared" si="6"/>
        <v>100.90838394160582</v>
      </c>
      <c r="N9" s="102">
        <f t="shared" si="7"/>
        <v>0.31871736523954636</v>
      </c>
      <c r="O9" s="107">
        <f t="shared" si="8"/>
        <v>-5.5964155467852328E-2</v>
      </c>
      <c r="P9" s="108">
        <f t="shared" si="9"/>
        <v>85.063539999999989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0.63970549033321666</v>
      </c>
      <c r="C10" s="107">
        <f t="shared" si="11"/>
        <v>-4.7467252835091678E-3</v>
      </c>
      <c r="D10" s="108">
        <f t="shared" si="12"/>
        <v>99.263448062015485</v>
      </c>
      <c r="E10" s="102">
        <f t="shared" si="0"/>
        <v>0.68268773042913522</v>
      </c>
      <c r="F10" s="107">
        <f t="shared" si="13"/>
        <v>-1.7305140630464733E-3</v>
      </c>
      <c r="G10" s="108">
        <f t="shared" si="14"/>
        <v>99.747155474452541</v>
      </c>
      <c r="H10" s="102">
        <f t="shared" si="1"/>
        <v>0.75664962282060244</v>
      </c>
      <c r="I10" s="107">
        <f t="shared" si="2"/>
        <v>-3.2679447469650902E-2</v>
      </c>
      <c r="J10" s="108">
        <f t="shared" si="3"/>
        <v>95.859844936708853</v>
      </c>
      <c r="K10" s="102">
        <f t="shared" si="4"/>
        <v>0.69290614977269327</v>
      </c>
      <c r="L10" s="107">
        <f t="shared" si="5"/>
        <v>8.4879052805115762E-3</v>
      </c>
      <c r="M10" s="108">
        <f t="shared" si="6"/>
        <v>101.24016350364964</v>
      </c>
      <c r="N10" s="102">
        <f t="shared" si="7"/>
        <v>0.29325241544687014</v>
      </c>
      <c r="O10" s="107">
        <f t="shared" si="8"/>
        <v>-8.1429105260528545E-2</v>
      </c>
      <c r="P10" s="108">
        <f t="shared" si="9"/>
        <v>78.267114666666671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1.1167391717040516</v>
      </c>
      <c r="C11" s="107">
        <f t="shared" si="11"/>
        <v>0.47228695608732574</v>
      </c>
      <c r="D11" s="108">
        <f t="shared" si="12"/>
        <v>173.28502325581394</v>
      </c>
      <c r="E11" s="102">
        <f>E24*$B$31/100/$B$32</f>
        <v>1.1549836638856972</v>
      </c>
      <c r="F11" s="107">
        <f t="shared" si="13"/>
        <v>0.47056541939351548</v>
      </c>
      <c r="G11" s="108">
        <f t="shared" si="14"/>
        <v>168.75407299270071</v>
      </c>
      <c r="H11" s="102">
        <f>H24*$B$31/100/$B$32</f>
        <v>1.3163754208922416</v>
      </c>
      <c r="I11" s="107">
        <f t="shared" si="2"/>
        <v>0.52704635060198823</v>
      </c>
      <c r="J11" s="108">
        <f t="shared" si="3"/>
        <v>166.77143544303797</v>
      </c>
      <c r="K11" s="102">
        <f>K24*$B$31/100/$B$32</f>
        <v>0.99779880101913376</v>
      </c>
      <c r="L11" s="107">
        <f t="shared" si="5"/>
        <v>0.31338055652695207</v>
      </c>
      <c r="M11" s="108">
        <f t="shared" si="6"/>
        <v>145.78787299270073</v>
      </c>
      <c r="N11" s="102">
        <f>N24*$B$31/100/$B$32</f>
        <v>0.50253262726682324</v>
      </c>
      <c r="O11" s="107">
        <f t="shared" si="8"/>
        <v>0.12785110655942455</v>
      </c>
      <c r="P11" s="108">
        <f t="shared" si="9"/>
        <v>134.12260800000001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1.4962002298046659</v>
      </c>
      <c r="F12" s="107">
        <f t="shared" si="13"/>
        <v>0.81178198531248424</v>
      </c>
      <c r="G12" s="108">
        <f t="shared" si="14"/>
        <v>218.60905109489045</v>
      </c>
      <c r="H12" s="102">
        <f t="shared" ref="H12:H13" si="15">H25*$B$33/$B$32</f>
        <v>1.5604900834290851</v>
      </c>
      <c r="I12" s="107">
        <f t="shared" si="2"/>
        <v>0.77116101313883179</v>
      </c>
      <c r="J12" s="108">
        <f t="shared" si="3"/>
        <v>197.69829113924047</v>
      </c>
      <c r="K12" s="102">
        <f t="shared" ref="K12:K13" si="16">K25*$B$33/$B$32</f>
        <v>1.393336464005595</v>
      </c>
      <c r="L12" s="107">
        <f t="shared" si="5"/>
        <v>0.70891821951341327</v>
      </c>
      <c r="M12" s="108">
        <f t="shared" si="6"/>
        <v>203.57967883211674</v>
      </c>
      <c r="N12" s="102">
        <f t="shared" ref="N12:N13" si="17">N25*$B$33/$B$32</f>
        <v>0.60198681121047104</v>
      </c>
      <c r="O12" s="107">
        <f t="shared" si="8"/>
        <v>0.22730529050307235</v>
      </c>
      <c r="P12" s="108">
        <f t="shared" si="9"/>
        <v>160.66626666666664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1.531267422690713</v>
      </c>
      <c r="F13" s="107">
        <f t="shared" si="13"/>
        <v>0.84684917819853134</v>
      </c>
      <c r="G13" s="108">
        <f t="shared" si="14"/>
        <v>223.73270072992702</v>
      </c>
      <c r="H13" s="102">
        <f t="shared" si="15"/>
        <v>1.6177664984762949</v>
      </c>
      <c r="I13" s="107">
        <f t="shared" si="2"/>
        <v>0.8284374281860416</v>
      </c>
      <c r="J13" s="108">
        <f t="shared" si="3"/>
        <v>204.95463291139237</v>
      </c>
      <c r="K13" s="102">
        <f t="shared" si="16"/>
        <v>1.4365860018983865</v>
      </c>
      <c r="L13" s="107">
        <f t="shared" si="5"/>
        <v>0.75216775740620478</v>
      </c>
      <c r="M13" s="108">
        <f t="shared" si="6"/>
        <v>209.89884671532849</v>
      </c>
      <c r="N13" s="102">
        <f t="shared" si="17"/>
        <v>0.7013438577209371</v>
      </c>
      <c r="O13" s="107">
        <f t="shared" si="8"/>
        <v>0.32666233701353842</v>
      </c>
      <c r="P13" s="108">
        <f t="shared" si="9"/>
        <v>187.184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1.394066243692861</v>
      </c>
      <c r="F14" s="119">
        <f t="shared" si="13"/>
        <v>0.70964799920067934</v>
      </c>
      <c r="G14" s="120">
        <f t="shared" si="14"/>
        <v>203.68630656934306</v>
      </c>
      <c r="H14" s="118">
        <f>H27*$B$34/10/$B$32</f>
        <v>1.4703042413948144</v>
      </c>
      <c r="I14" s="119">
        <f t="shared" si="2"/>
        <v>0.68097517110456107</v>
      </c>
      <c r="J14" s="120">
        <f t="shared" si="3"/>
        <v>186.2726582278481</v>
      </c>
      <c r="K14" s="118">
        <f>K27*$B$34/10/$B$32</f>
        <v>1.3831751011640105</v>
      </c>
      <c r="L14" s="119">
        <f t="shared" si="5"/>
        <v>0.69875685667182885</v>
      </c>
      <c r="M14" s="120">
        <f t="shared" si="6"/>
        <v>202.09500729927004</v>
      </c>
      <c r="N14" s="118">
        <f>N27*$B$34/10/$B$32</f>
        <v>0.58539891092571306</v>
      </c>
      <c r="O14" s="119">
        <f t="shared" si="8"/>
        <v>0.21071739021831437</v>
      </c>
      <c r="P14" s="120">
        <f t="shared" si="9"/>
        <v>156.23906666666664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41.39</v>
      </c>
      <c r="C20" s="144" t="s">
        <v>172</v>
      </c>
      <c r="D20" s="145" t="s">
        <v>172</v>
      </c>
      <c r="E20" s="143">
        <v>44.74</v>
      </c>
      <c r="F20" s="144" t="s">
        <v>172</v>
      </c>
      <c r="G20" s="145" t="s">
        <v>172</v>
      </c>
      <c r="H20" s="143">
        <v>49.79</v>
      </c>
      <c r="I20" s="144" t="s">
        <v>172</v>
      </c>
      <c r="J20" s="145" t="s">
        <v>172</v>
      </c>
      <c r="K20" s="143">
        <v>43.15</v>
      </c>
      <c r="L20" s="144" t="s">
        <v>172</v>
      </c>
      <c r="M20" s="145" t="s">
        <v>172</v>
      </c>
      <c r="N20" s="143">
        <v>18.920000000000002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39.86</v>
      </c>
      <c r="C21" s="144" t="s">
        <v>172</v>
      </c>
      <c r="D21" s="145" t="s">
        <v>172</v>
      </c>
      <c r="E21" s="143">
        <v>42.74</v>
      </c>
      <c r="F21" s="144" t="s">
        <v>172</v>
      </c>
      <c r="G21" s="145" t="s">
        <v>172</v>
      </c>
      <c r="H21" s="143">
        <v>47.68</v>
      </c>
      <c r="I21" s="144" t="s">
        <v>172</v>
      </c>
      <c r="J21" s="145" t="s">
        <v>172</v>
      </c>
      <c r="K21" s="143">
        <v>42.75</v>
      </c>
      <c r="L21" s="144" t="s">
        <v>172</v>
      </c>
      <c r="M21" s="145" t="s">
        <v>172</v>
      </c>
      <c r="N21" s="143">
        <v>19.649999999999999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40.11</v>
      </c>
      <c r="C22" s="144" t="s">
        <v>172</v>
      </c>
      <c r="D22" s="145" t="s">
        <v>172</v>
      </c>
      <c r="E22" s="143">
        <v>43.21</v>
      </c>
      <c r="F22" s="144" t="s">
        <v>172</v>
      </c>
      <c r="G22" s="145" t="s">
        <v>172</v>
      </c>
      <c r="H22" s="143">
        <v>46.65</v>
      </c>
      <c r="I22" s="144" t="s">
        <v>172</v>
      </c>
      <c r="J22" s="145" t="s">
        <v>172</v>
      </c>
      <c r="K22" s="143">
        <v>42.58</v>
      </c>
      <c r="L22" s="144" t="s">
        <v>172</v>
      </c>
      <c r="M22" s="145" t="s">
        <v>172</v>
      </c>
      <c r="N22" s="143">
        <f>N21</f>
        <v>19.649999999999999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39.44</v>
      </c>
      <c r="C23" s="144" t="s">
        <v>172</v>
      </c>
      <c r="D23" s="145" t="s">
        <v>172</v>
      </c>
      <c r="E23" s="143">
        <v>42.09</v>
      </c>
      <c r="F23" s="144" t="s">
        <v>172</v>
      </c>
      <c r="G23" s="145" t="s">
        <v>172</v>
      </c>
      <c r="H23" s="143">
        <f>H22</f>
        <v>46.65</v>
      </c>
      <c r="I23" s="144" t="s">
        <v>172</v>
      </c>
      <c r="J23" s="145" t="s">
        <v>172</v>
      </c>
      <c r="K23" s="143">
        <v>42.72</v>
      </c>
      <c r="L23" s="144" t="s">
        <v>172</v>
      </c>
      <c r="M23" s="145" t="s">
        <v>172</v>
      </c>
      <c r="N23" s="143">
        <v>18.079999999999998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29.2</v>
      </c>
      <c r="C24" s="144" t="s">
        <v>172</v>
      </c>
      <c r="D24" s="145" t="s">
        <v>172</v>
      </c>
      <c r="E24" s="143">
        <v>30.2</v>
      </c>
      <c r="F24" s="144" t="s">
        <v>172</v>
      </c>
      <c r="G24" s="145" t="s">
        <v>172</v>
      </c>
      <c r="H24" s="143">
        <v>34.42</v>
      </c>
      <c r="I24" s="144" t="s">
        <v>172</v>
      </c>
      <c r="J24" s="145" t="s">
        <v>172</v>
      </c>
      <c r="K24" s="143">
        <v>26.09</v>
      </c>
      <c r="L24" s="144" t="s">
        <v>172</v>
      </c>
      <c r="M24" s="145" t="s">
        <v>172</v>
      </c>
      <c r="N24" s="143">
        <v>13.14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</v>
      </c>
      <c r="F25" s="144" t="s">
        <v>172</v>
      </c>
      <c r="G25" s="145" t="s">
        <v>172</v>
      </c>
      <c r="H25" s="153">
        <v>1.335</v>
      </c>
      <c r="I25" s="144" t="s">
        <v>172</v>
      </c>
      <c r="J25" s="145" t="s">
        <v>172</v>
      </c>
      <c r="K25" s="153">
        <v>1.1919999999999999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1.31</v>
      </c>
      <c r="F26" s="144" t="s">
        <v>172</v>
      </c>
      <c r="G26" s="145" t="s">
        <v>172</v>
      </c>
      <c r="H26" s="153">
        <v>1.3839999999999999</v>
      </c>
      <c r="I26" s="144" t="s">
        <v>172</v>
      </c>
      <c r="J26" s="145" t="s">
        <v>172</v>
      </c>
      <c r="K26" s="153">
        <v>1.2290000000000001</v>
      </c>
      <c r="L26" s="144" t="s">
        <v>172</v>
      </c>
      <c r="M26" s="145" t="s">
        <v>172</v>
      </c>
      <c r="N26" s="153">
        <v>0.6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5.12</v>
      </c>
      <c r="F27" s="158" t="s">
        <v>172</v>
      </c>
      <c r="G27" s="159" t="s">
        <v>172</v>
      </c>
      <c r="H27" s="160">
        <v>5.4</v>
      </c>
      <c r="I27" s="158" t="s">
        <v>172</v>
      </c>
      <c r="J27" s="159" t="s">
        <v>172</v>
      </c>
      <c r="K27" s="160">
        <v>5.08</v>
      </c>
      <c r="L27" s="158" t="s">
        <v>172</v>
      </c>
      <c r="M27" s="159" t="s">
        <v>172</v>
      </c>
      <c r="N27" s="160">
        <v>2.15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7.6554000000000002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2.0017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2.3397999999999999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5.4501999999999997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3.2467000000000001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C31" r:id="rId1" display="www.nbrb.by"/>
    <hyperlink ref="C31:E35" r:id="rId2" display="http://www.nbrb.by/statistics/rates/ratesDaily.asp"/>
    <hyperlink ref="Q19" r:id="rId3"/>
    <hyperlink ref="Q20" r:id="rId4"/>
    <hyperlink ref="Q22" r:id="rId5"/>
    <hyperlink ref="Q23" r:id="rId6"/>
    <hyperlink ref="Q24" r:id="rId7"/>
    <hyperlink ref="Q21" r:id="rId8"/>
    <hyperlink ref="Q25" r:id="rId9" location=".WOOTMl7SnSs"/>
    <hyperlink ref="Q26" r:id="rId10" location=".Vs2LGH2LRkg"/>
    <hyperlink ref="Q27" r:id="rId11" location=".VyhQfdKLTcs"/>
    <hyperlink ref="R27" r:id="rId12"/>
    <hyperlink ref="R25" r:id="rId13"/>
    <hyperlink ref="R26" r:id="rId14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43251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0.63782447466007419</v>
      </c>
      <c r="C6" s="103" t="s">
        <v>172</v>
      </c>
      <c r="D6" s="104" t="s">
        <v>172</v>
      </c>
      <c r="E6" s="102">
        <f>E19/$B$32</f>
        <v>0.67737948084054389</v>
      </c>
      <c r="F6" s="103" t="s">
        <v>172</v>
      </c>
      <c r="G6" s="104" t="s">
        <v>172</v>
      </c>
      <c r="H6" s="102">
        <f>H19/$B$32</f>
        <v>0.78121137206427693</v>
      </c>
      <c r="I6" s="103" t="s">
        <v>172</v>
      </c>
      <c r="J6" s="104" t="s">
        <v>172</v>
      </c>
      <c r="K6" s="102">
        <f>K19/$B$32</f>
        <v>0.67737948084054389</v>
      </c>
      <c r="L6" s="103" t="s">
        <v>172</v>
      </c>
      <c r="M6" s="104" t="s">
        <v>172</v>
      </c>
      <c r="N6" s="102">
        <f>N19/$B$32</f>
        <v>0.37082818294190362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0.66356480098887505</v>
      </c>
      <c r="C7" s="107">
        <f>B7-B$6</f>
        <v>2.5740326328800855E-2</v>
      </c>
      <c r="D7" s="108">
        <f>B7/B$6*100</f>
        <v>104.0356441860465</v>
      </c>
      <c r="E7" s="102">
        <f t="shared" ref="E7:E10" si="0">E20*$B$35/100/$B$32</f>
        <v>0.71663719653893687</v>
      </c>
      <c r="F7" s="107">
        <f>E7-E$6</f>
        <v>3.9257715698392981E-2</v>
      </c>
      <c r="G7" s="108">
        <f>E7/E$6*100</f>
        <v>105.79552773722627</v>
      </c>
      <c r="H7" s="102">
        <f t="shared" ref="H7:H10" si="1">H20*$B$35/100/$B$32</f>
        <v>0.79688521631643994</v>
      </c>
      <c r="I7" s="107">
        <f t="shared" ref="I7:I14" si="2">H7-H$6</f>
        <v>1.5673844252163005E-2</v>
      </c>
      <c r="J7" s="108">
        <f t="shared" ref="J7:J14" si="3">H7/H$6*100</f>
        <v>102.00635126582276</v>
      </c>
      <c r="K7" s="102">
        <f t="shared" ref="K7:K10" si="4">K20*$B$35/100/$B$32</f>
        <v>0.69153970828182931</v>
      </c>
      <c r="L7" s="107">
        <f t="shared" ref="L7:L14" si="5">K7-K$6</f>
        <v>1.4160227441285422E-2</v>
      </c>
      <c r="M7" s="108">
        <f t="shared" ref="M7:M14" si="6">K7/K$6*100</f>
        <v>102.09044233576641</v>
      </c>
      <c r="N7" s="102">
        <f t="shared" ref="N7:N10" si="7">N20*$B$35/100/$B$32</f>
        <v>0.32131179233621754</v>
      </c>
      <c r="O7" s="107">
        <f t="shared" ref="O7:O14" si="8">N7-N$6</f>
        <v>-4.9516390605686078E-2</v>
      </c>
      <c r="P7" s="108">
        <f t="shared" ref="P7:P14" si="9">N7/N$6*100</f>
        <v>86.647079999999988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0.63926659579728073</v>
      </c>
      <c r="C8" s="107">
        <f t="shared" ref="C8:C11" si="11">B8-B$6</f>
        <v>1.4421211372065423E-3</v>
      </c>
      <c r="D8" s="108">
        <f t="shared" ref="D8:D11" si="12">B8/B$6*100</f>
        <v>100.22610000000003</v>
      </c>
      <c r="E8" s="102">
        <f t="shared" si="0"/>
        <v>0.68530530037082815</v>
      </c>
      <c r="F8" s="107">
        <f t="shared" ref="F8:F14" si="13">E8-E$6</f>
        <v>7.9258195302842616E-3</v>
      </c>
      <c r="G8" s="108">
        <f t="shared" ref="G8:G14" si="14">E8/E$6*100</f>
        <v>101.17007080291971</v>
      </c>
      <c r="H8" s="102">
        <f t="shared" si="1"/>
        <v>0.76251604449938204</v>
      </c>
      <c r="I8" s="107">
        <f t="shared" si="2"/>
        <v>-1.8695327564894892E-2</v>
      </c>
      <c r="J8" s="108">
        <f t="shared" si="3"/>
        <v>97.606879746835446</v>
      </c>
      <c r="K8" s="102">
        <f t="shared" si="4"/>
        <v>0.68562501359703332</v>
      </c>
      <c r="L8" s="107">
        <f t="shared" si="5"/>
        <v>8.2455327564894265E-3</v>
      </c>
      <c r="M8" s="108">
        <f t="shared" si="6"/>
        <v>101.21726934306568</v>
      </c>
      <c r="N8" s="102">
        <f t="shared" si="7"/>
        <v>0.31571681087762665</v>
      </c>
      <c r="O8" s="107">
        <f t="shared" si="8"/>
        <v>-5.5111372064276964E-2</v>
      </c>
      <c r="P8" s="108">
        <f t="shared" si="9"/>
        <v>85.138299999999973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0.64294329789864024</v>
      </c>
      <c r="C9" s="107">
        <f t="shared" si="11"/>
        <v>5.1188232385660504E-3</v>
      </c>
      <c r="D9" s="108">
        <f t="shared" si="12"/>
        <v>100.8025441860465</v>
      </c>
      <c r="E9" s="102">
        <f t="shared" si="0"/>
        <v>0.6926587045735475</v>
      </c>
      <c r="F9" s="107">
        <f t="shared" si="13"/>
        <v>1.5279223733003611E-2</v>
      </c>
      <c r="G9" s="108">
        <f t="shared" si="14"/>
        <v>102.25563722627736</v>
      </c>
      <c r="H9" s="102">
        <f t="shared" si="1"/>
        <v>0.74685009641532751</v>
      </c>
      <c r="I9" s="107">
        <f t="shared" si="2"/>
        <v>-3.4361275648949419E-2</v>
      </c>
      <c r="J9" s="108">
        <f t="shared" si="3"/>
        <v>95.601539240506312</v>
      </c>
      <c r="K9" s="102">
        <f t="shared" si="4"/>
        <v>0.68226802472187886</v>
      </c>
      <c r="L9" s="107">
        <f t="shared" si="5"/>
        <v>4.8885438813349724E-3</v>
      </c>
      <c r="M9" s="108">
        <f t="shared" si="6"/>
        <v>100.72168467153284</v>
      </c>
      <c r="N9" s="102">
        <f t="shared" si="7"/>
        <v>0.31571681087762665</v>
      </c>
      <c r="O9" s="107">
        <f t="shared" si="8"/>
        <v>-5.5111372064276964E-2</v>
      </c>
      <c r="P9" s="108">
        <f t="shared" si="9"/>
        <v>85.138299999999973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0.63287233127317677</v>
      </c>
      <c r="C10" s="107">
        <f t="shared" si="11"/>
        <v>-4.9521433868974229E-3</v>
      </c>
      <c r="D10" s="108">
        <f t="shared" si="12"/>
        <v>99.223588372093019</v>
      </c>
      <c r="E10" s="102">
        <f t="shared" si="0"/>
        <v>0.67459490729295435</v>
      </c>
      <c r="F10" s="107">
        <f t="shared" si="13"/>
        <v>-2.7845735475895417E-3</v>
      </c>
      <c r="G10" s="108">
        <f t="shared" si="14"/>
        <v>99.588919708029209</v>
      </c>
      <c r="H10" s="102">
        <f t="shared" si="1"/>
        <v>0.77450529048207672</v>
      </c>
      <c r="I10" s="107">
        <f t="shared" si="2"/>
        <v>-6.7060815822002073E-3</v>
      </c>
      <c r="J10" s="108">
        <f t="shared" si="3"/>
        <v>99.141579113924067</v>
      </c>
      <c r="K10" s="102">
        <f t="shared" si="4"/>
        <v>0.68546515698393096</v>
      </c>
      <c r="L10" s="107">
        <f t="shared" si="5"/>
        <v>8.0856761433870661E-3</v>
      </c>
      <c r="M10" s="108">
        <f t="shared" si="6"/>
        <v>101.19367007299273</v>
      </c>
      <c r="N10" s="102">
        <f t="shared" si="7"/>
        <v>0.2875820469715698</v>
      </c>
      <c r="O10" s="107">
        <f t="shared" si="8"/>
        <v>-8.3246135970333812E-2</v>
      </c>
      <c r="P10" s="108">
        <f t="shared" si="9"/>
        <v>77.551291999999989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1.1174829171817058</v>
      </c>
      <c r="C11" s="107">
        <f t="shared" si="11"/>
        <v>0.47965844252163159</v>
      </c>
      <c r="D11" s="108">
        <f t="shared" si="12"/>
        <v>175.20226356589146</v>
      </c>
      <c r="E11" s="102">
        <f>E24*$B$31/100/$B$32</f>
        <v>1.1557528800988874</v>
      </c>
      <c r="F11" s="107">
        <f t="shared" si="13"/>
        <v>0.47837339925834355</v>
      </c>
      <c r="G11" s="108">
        <f t="shared" si="14"/>
        <v>170.62118248175182</v>
      </c>
      <c r="H11" s="102">
        <f>H24*$B$31/100/$B$32</f>
        <v>1.3172521236093944</v>
      </c>
      <c r="I11" s="107">
        <f t="shared" si="2"/>
        <v>0.53604075154511743</v>
      </c>
      <c r="J11" s="108">
        <f t="shared" si="3"/>
        <v>168.6166088607595</v>
      </c>
      <c r="K11" s="102">
        <f>K24*$B$31/100/$B$32</f>
        <v>0.99846333250927077</v>
      </c>
      <c r="L11" s="107">
        <f t="shared" si="5"/>
        <v>0.32108385166872688</v>
      </c>
      <c r="M11" s="108">
        <f t="shared" si="6"/>
        <v>147.40088248175184</v>
      </c>
      <c r="N11" s="102">
        <f>N24*$B$31/100/$B$32</f>
        <v>0.50478081087762661</v>
      </c>
      <c r="O11" s="107">
        <f t="shared" si="8"/>
        <v>0.13395262793572299</v>
      </c>
      <c r="P11" s="108">
        <f t="shared" si="9"/>
        <v>136.12255866666663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1.4835975278121136</v>
      </c>
      <c r="F12" s="107">
        <f t="shared" si="13"/>
        <v>0.80621804697156974</v>
      </c>
      <c r="G12" s="108">
        <f t="shared" si="14"/>
        <v>219.02014598540146</v>
      </c>
      <c r="H12" s="102">
        <f t="shared" ref="H12:H13" si="15">H25*$B$33/$B$32</f>
        <v>1.5473458590852904</v>
      </c>
      <c r="I12" s="107">
        <f t="shared" si="2"/>
        <v>0.7661344870210135</v>
      </c>
      <c r="J12" s="108">
        <f t="shared" si="3"/>
        <v>198.07006329113923</v>
      </c>
      <c r="K12" s="102">
        <f t="shared" ref="K12:K13" si="16">K25*$B$33/$B$32</f>
        <v>1.3816001977750307</v>
      </c>
      <c r="L12" s="107">
        <f t="shared" si="5"/>
        <v>0.70422071693448685</v>
      </c>
      <c r="M12" s="108">
        <f t="shared" si="6"/>
        <v>203.96251094890508</v>
      </c>
      <c r="N12" s="102">
        <f t="shared" ref="N12:N13" si="17">N25*$B$33/$B$32</f>
        <v>0.59691619283065511</v>
      </c>
      <c r="O12" s="107">
        <f t="shared" si="8"/>
        <v>0.2260880098887515</v>
      </c>
      <c r="P12" s="108">
        <f t="shared" si="9"/>
        <v>160.9684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1.5172102843016069</v>
      </c>
      <c r="F13" s="107">
        <f t="shared" si="13"/>
        <v>0.83983080346106298</v>
      </c>
      <c r="G13" s="108">
        <f t="shared" si="14"/>
        <v>223.98232116788321</v>
      </c>
      <c r="H13" s="102">
        <f t="shared" si="15"/>
        <v>1.5983445241038319</v>
      </c>
      <c r="I13" s="107">
        <f t="shared" si="2"/>
        <v>0.81713315203955494</v>
      </c>
      <c r="J13" s="108">
        <f t="shared" si="3"/>
        <v>204.5982151898734</v>
      </c>
      <c r="K13" s="102">
        <f t="shared" si="16"/>
        <v>1.4221673176761433</v>
      </c>
      <c r="L13" s="107">
        <f t="shared" si="5"/>
        <v>0.74478783683559946</v>
      </c>
      <c r="M13" s="108">
        <f t="shared" si="6"/>
        <v>209.95134306569341</v>
      </c>
      <c r="N13" s="102">
        <f t="shared" si="17"/>
        <v>0.69543634116192821</v>
      </c>
      <c r="O13" s="107">
        <f t="shared" si="8"/>
        <v>0.32460815822002459</v>
      </c>
      <c r="P13" s="108">
        <f t="shared" si="9"/>
        <v>187.53599999999994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1.3772483559950559</v>
      </c>
      <c r="F14" s="119">
        <f t="shared" si="13"/>
        <v>0.69986887515451202</v>
      </c>
      <c r="G14" s="120">
        <f t="shared" si="14"/>
        <v>203.32005839416061</v>
      </c>
      <c r="H14" s="118">
        <f>H27*$B$34/10/$B$32</f>
        <v>1.4579465018541409</v>
      </c>
      <c r="I14" s="119">
        <f t="shared" si="2"/>
        <v>0.67673512978986394</v>
      </c>
      <c r="J14" s="120">
        <f t="shared" si="3"/>
        <v>186.62637974683543</v>
      </c>
      <c r="K14" s="118">
        <f>K27*$B$34/10/$B$32</f>
        <v>1.3691785414091473</v>
      </c>
      <c r="L14" s="119">
        <f t="shared" si="5"/>
        <v>0.69179906056860341</v>
      </c>
      <c r="M14" s="120">
        <f t="shared" si="6"/>
        <v>202.12872992700733</v>
      </c>
      <c r="N14" s="118">
        <f>N27*$B$34/10/$B$32</f>
        <v>0.57833671199011127</v>
      </c>
      <c r="O14" s="119">
        <f t="shared" si="8"/>
        <v>0.20750852904820766</v>
      </c>
      <c r="P14" s="120">
        <f t="shared" si="9"/>
        <v>155.95813333333334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41.51</v>
      </c>
      <c r="C20" s="144" t="s">
        <v>172</v>
      </c>
      <c r="D20" s="145" t="s">
        <v>172</v>
      </c>
      <c r="E20" s="143">
        <v>44.83</v>
      </c>
      <c r="F20" s="144" t="s">
        <v>172</v>
      </c>
      <c r="G20" s="145" t="s">
        <v>172</v>
      </c>
      <c r="H20" s="143">
        <v>49.85</v>
      </c>
      <c r="I20" s="144" t="s">
        <v>172</v>
      </c>
      <c r="J20" s="145" t="s">
        <v>172</v>
      </c>
      <c r="K20" s="143">
        <v>43.26</v>
      </c>
      <c r="L20" s="144" t="s">
        <v>172</v>
      </c>
      <c r="M20" s="145" t="s">
        <v>172</v>
      </c>
      <c r="N20" s="143">
        <v>20.100000000000001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39.99</v>
      </c>
      <c r="C21" s="144" t="s">
        <v>172</v>
      </c>
      <c r="D21" s="145" t="s">
        <v>172</v>
      </c>
      <c r="E21" s="143">
        <v>42.87</v>
      </c>
      <c r="F21" s="144" t="s">
        <v>172</v>
      </c>
      <c r="G21" s="145" t="s">
        <v>172</v>
      </c>
      <c r="H21" s="143">
        <v>47.7</v>
      </c>
      <c r="I21" s="144" t="s">
        <v>172</v>
      </c>
      <c r="J21" s="145" t="s">
        <v>172</v>
      </c>
      <c r="K21" s="143">
        <v>42.89</v>
      </c>
      <c r="L21" s="144" t="s">
        <v>172</v>
      </c>
      <c r="M21" s="145" t="s">
        <v>172</v>
      </c>
      <c r="N21" s="143">
        <v>19.75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40.22</v>
      </c>
      <c r="C22" s="144" t="s">
        <v>172</v>
      </c>
      <c r="D22" s="145" t="s">
        <v>172</v>
      </c>
      <c r="E22" s="143">
        <v>43.33</v>
      </c>
      <c r="F22" s="144" t="s">
        <v>172</v>
      </c>
      <c r="G22" s="145" t="s">
        <v>172</v>
      </c>
      <c r="H22" s="143">
        <v>46.72</v>
      </c>
      <c r="I22" s="144" t="s">
        <v>172</v>
      </c>
      <c r="J22" s="145" t="s">
        <v>172</v>
      </c>
      <c r="K22" s="143">
        <v>42.68</v>
      </c>
      <c r="L22" s="144" t="s">
        <v>172</v>
      </c>
      <c r="M22" s="145" t="s">
        <v>172</v>
      </c>
      <c r="N22" s="143">
        <f>N21</f>
        <v>19.75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39.590000000000003</v>
      </c>
      <c r="C23" s="144" t="s">
        <v>172</v>
      </c>
      <c r="D23" s="145" t="s">
        <v>172</v>
      </c>
      <c r="E23" s="143">
        <v>42.2</v>
      </c>
      <c r="F23" s="144" t="s">
        <v>172</v>
      </c>
      <c r="G23" s="145" t="s">
        <v>172</v>
      </c>
      <c r="H23" s="143">
        <v>48.45</v>
      </c>
      <c r="I23" s="144" t="s">
        <v>172</v>
      </c>
      <c r="J23" s="145" t="s">
        <v>172</v>
      </c>
      <c r="K23" s="143">
        <v>42.88</v>
      </c>
      <c r="L23" s="144" t="s">
        <v>172</v>
      </c>
      <c r="M23" s="145" t="s">
        <v>172</v>
      </c>
      <c r="N23" s="143">
        <v>17.989999999999998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29.2</v>
      </c>
      <c r="C24" s="144" t="s">
        <v>172</v>
      </c>
      <c r="D24" s="145" t="s">
        <v>172</v>
      </c>
      <c r="E24" s="143">
        <v>30.2</v>
      </c>
      <c r="F24" s="144" t="s">
        <v>172</v>
      </c>
      <c r="G24" s="145" t="s">
        <v>172</v>
      </c>
      <c r="H24" s="143">
        <v>34.42</v>
      </c>
      <c r="I24" s="144" t="s">
        <v>172</v>
      </c>
      <c r="J24" s="145" t="s">
        <v>172</v>
      </c>
      <c r="K24" s="143">
        <v>26.09</v>
      </c>
      <c r="L24" s="144" t="s">
        <v>172</v>
      </c>
      <c r="M24" s="145" t="s">
        <v>172</v>
      </c>
      <c r="N24" s="143">
        <v>13.19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</v>
      </c>
      <c r="F25" s="144" t="s">
        <v>172</v>
      </c>
      <c r="G25" s="145" t="s">
        <v>172</v>
      </c>
      <c r="H25" s="153">
        <v>1.335</v>
      </c>
      <c r="I25" s="144" t="s">
        <v>172</v>
      </c>
      <c r="J25" s="145" t="s">
        <v>172</v>
      </c>
      <c r="K25" s="153">
        <v>1.1919999999999999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1.3089999999999999</v>
      </c>
      <c r="F26" s="144" t="s">
        <v>172</v>
      </c>
      <c r="G26" s="145" t="s">
        <v>172</v>
      </c>
      <c r="H26" s="153">
        <v>1.379</v>
      </c>
      <c r="I26" s="144" t="s">
        <v>172</v>
      </c>
      <c r="J26" s="145" t="s">
        <v>172</v>
      </c>
      <c r="K26" s="153">
        <v>1.2270000000000001</v>
      </c>
      <c r="L26" s="144" t="s">
        <v>172</v>
      </c>
      <c r="M26" s="145" t="s">
        <v>172</v>
      </c>
      <c r="N26" s="153">
        <v>0.6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5.12</v>
      </c>
      <c r="F27" s="158" t="s">
        <v>172</v>
      </c>
      <c r="G27" s="159" t="s">
        <v>172</v>
      </c>
      <c r="H27" s="160">
        <v>5.42</v>
      </c>
      <c r="I27" s="158" t="s">
        <v>172</v>
      </c>
      <c r="J27" s="159" t="s">
        <v>172</v>
      </c>
      <c r="K27" s="160">
        <v>5.09</v>
      </c>
      <c r="L27" s="158" t="s">
        <v>172</v>
      </c>
      <c r="M27" s="159" t="s">
        <v>172</v>
      </c>
      <c r="N27" s="160">
        <v>2.15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7.7401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2.0225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2.3441999999999998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5.4404000000000003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3.2330999999999999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43254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0.64201463196137953</v>
      </c>
      <c r="C6" s="103" t="s">
        <v>172</v>
      </c>
      <c r="D6" s="104" t="s">
        <v>172</v>
      </c>
      <c r="E6" s="102">
        <f>E19/$B$32</f>
        <v>0.68182949285820937</v>
      </c>
      <c r="F6" s="103" t="s">
        <v>172</v>
      </c>
      <c r="G6" s="104" t="s">
        <v>172</v>
      </c>
      <c r="H6" s="102">
        <f>H19/$B$32</f>
        <v>0.7863435027123874</v>
      </c>
      <c r="I6" s="103" t="s">
        <v>172</v>
      </c>
      <c r="J6" s="104" t="s">
        <v>172</v>
      </c>
      <c r="K6" s="102">
        <f>K19/$B$32</f>
        <v>0.68182949285820937</v>
      </c>
      <c r="L6" s="103" t="s">
        <v>172</v>
      </c>
      <c r="M6" s="104" t="s">
        <v>172</v>
      </c>
      <c r="N6" s="102">
        <f>N19/$B$32</f>
        <v>0.37326432090777883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0.67809622754193</v>
      </c>
      <c r="C7" s="107">
        <f>B7-B$6</f>
        <v>3.6081595580550463E-2</v>
      </c>
      <c r="D7" s="108">
        <f>B7/B$6*100</f>
        <v>105.62005813953488</v>
      </c>
      <c r="E7" s="102">
        <f t="shared" ref="E7:E10" si="0">E20*$B$35/100/$B$32</f>
        <v>0.73408139650624593</v>
      </c>
      <c r="F7" s="107">
        <f>E7-E$6</f>
        <v>5.2251903648036557E-2</v>
      </c>
      <c r="G7" s="108">
        <f>E7/E$6*100</f>
        <v>107.66348540145985</v>
      </c>
      <c r="H7" s="102">
        <f t="shared" ref="H7:H10" si="1">H20*$B$35/100/$B$32</f>
        <v>0.75258224257203998</v>
      </c>
      <c r="I7" s="107">
        <f t="shared" ref="I7:I14" si="2">H7-H$6</f>
        <v>-3.3761260140347416E-2</v>
      </c>
      <c r="J7" s="108">
        <f t="shared" ref="J7:J14" si="3">H7/H$6*100</f>
        <v>95.706550632911387</v>
      </c>
      <c r="K7" s="102">
        <f t="shared" ref="K7:K10" si="4">K20*$B$35/100/$B$32</f>
        <v>0.70914547354800173</v>
      </c>
      <c r="L7" s="107">
        <f t="shared" ref="L7:L14" si="5">K7-K$6</f>
        <v>2.7315980689792352E-2</v>
      </c>
      <c r="M7" s="108">
        <f t="shared" ref="M7:M14" si="6">K7/K$6*100</f>
        <v>104.00627737226276</v>
      </c>
      <c r="N7" s="102">
        <f t="shared" ref="N7:N10" si="7">N20*$B$35/100/$B$32</f>
        <v>0.33542838301896183</v>
      </c>
      <c r="O7" s="107">
        <f t="shared" ref="O7:O14" si="8">N7-N$6</f>
        <v>-3.7835937888817006E-2</v>
      </c>
      <c r="P7" s="108">
        <f t="shared" ref="P7:P14" si="9">N7/N$6*100</f>
        <v>89.863500000000002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0.67745271985268507</v>
      </c>
      <c r="C8" s="107">
        <f t="shared" ref="C8:C11" si="11">B8-B$6</f>
        <v>3.5438087891305536E-2</v>
      </c>
      <c r="D8" s="108">
        <f t="shared" ref="D8:D11" si="12">B8/B$6*100</f>
        <v>105.51982558139537</v>
      </c>
      <c r="E8" s="102">
        <f t="shared" si="0"/>
        <v>0.72571579654606078</v>
      </c>
      <c r="F8" s="107">
        <f t="shared" ref="F8:F14" si="13">E8-E$6</f>
        <v>4.3886303687851402E-2</v>
      </c>
      <c r="G8" s="108">
        <f t="shared" ref="G8:G14" si="14">E8/E$6*100</f>
        <v>106.43655109489049</v>
      </c>
      <c r="H8" s="102">
        <f t="shared" si="1"/>
        <v>0.76738291942467518</v>
      </c>
      <c r="I8" s="107">
        <f t="shared" si="2"/>
        <v>-1.8960583287712218E-2</v>
      </c>
      <c r="J8" s="108">
        <f t="shared" si="3"/>
        <v>97.588765822784794</v>
      </c>
      <c r="K8" s="102">
        <f t="shared" si="4"/>
        <v>0.72475053501219322</v>
      </c>
      <c r="L8" s="107">
        <f t="shared" si="5"/>
        <v>4.2921042153983846E-2</v>
      </c>
      <c r="M8" s="108">
        <f t="shared" si="6"/>
        <v>106.29498175182479</v>
      </c>
      <c r="N8" s="102">
        <f t="shared" si="7"/>
        <v>0.31773192156472402</v>
      </c>
      <c r="O8" s="107">
        <f t="shared" si="8"/>
        <v>-5.5532399343054817E-2</v>
      </c>
      <c r="P8" s="108">
        <f t="shared" si="9"/>
        <v>85.122499999999988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0.65798661225302335</v>
      </c>
      <c r="C9" s="107">
        <f t="shared" si="11"/>
        <v>1.5971980291643817E-2</v>
      </c>
      <c r="D9" s="108">
        <f t="shared" si="12"/>
        <v>102.48779069767441</v>
      </c>
      <c r="E9" s="102">
        <f t="shared" si="0"/>
        <v>0.7096281043149355</v>
      </c>
      <c r="F9" s="107">
        <f t="shared" si="13"/>
        <v>2.779861145672613E-2</v>
      </c>
      <c r="G9" s="108">
        <f t="shared" si="14"/>
        <v>104.07706204379561</v>
      </c>
      <c r="H9" s="102">
        <f t="shared" si="1"/>
        <v>0.7657741502015627</v>
      </c>
      <c r="I9" s="107">
        <f t="shared" si="2"/>
        <v>-2.0569352510824701E-2</v>
      </c>
      <c r="J9" s="108">
        <f t="shared" si="3"/>
        <v>97.384177215189865</v>
      </c>
      <c r="K9" s="102">
        <f t="shared" si="4"/>
        <v>0.69981461205394913</v>
      </c>
      <c r="L9" s="107">
        <f t="shared" si="5"/>
        <v>1.7985119195739752E-2</v>
      </c>
      <c r="M9" s="108">
        <f t="shared" si="6"/>
        <v>102.63777372262773</v>
      </c>
      <c r="N9" s="102">
        <f t="shared" si="7"/>
        <v>0.31773192156472402</v>
      </c>
      <c r="O9" s="107">
        <f t="shared" si="8"/>
        <v>-5.5532399343054817E-2</v>
      </c>
      <c r="P9" s="108">
        <f t="shared" si="9"/>
        <v>85.122499999999988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0.63691173543024937</v>
      </c>
      <c r="C10" s="107">
        <f t="shared" si="11"/>
        <v>-5.1028965311301633E-3</v>
      </c>
      <c r="D10" s="108">
        <f t="shared" si="12"/>
        <v>99.20517441860467</v>
      </c>
      <c r="E10" s="102">
        <f t="shared" si="0"/>
        <v>0.6789006121534864</v>
      </c>
      <c r="F10" s="107">
        <f t="shared" si="13"/>
        <v>-2.9288807047229692E-3</v>
      </c>
      <c r="G10" s="108">
        <f t="shared" si="14"/>
        <v>99.570437956204387</v>
      </c>
      <c r="H10" s="102">
        <f t="shared" si="1"/>
        <v>0.77944868859801919</v>
      </c>
      <c r="I10" s="107">
        <f t="shared" si="2"/>
        <v>-6.8948141143682085E-3</v>
      </c>
      <c r="J10" s="108">
        <f t="shared" si="3"/>
        <v>99.123180379746827</v>
      </c>
      <c r="K10" s="102">
        <f t="shared" si="4"/>
        <v>0.68984024287065149</v>
      </c>
      <c r="L10" s="107">
        <f t="shared" si="5"/>
        <v>8.0107500124421138E-3</v>
      </c>
      <c r="M10" s="108">
        <f t="shared" si="6"/>
        <v>101.1748905109489</v>
      </c>
      <c r="N10" s="102">
        <f t="shared" si="7"/>
        <v>0.28941758323794353</v>
      </c>
      <c r="O10" s="107">
        <f t="shared" si="8"/>
        <v>-8.3846737669835303E-2</v>
      </c>
      <c r="P10" s="108">
        <f t="shared" si="9"/>
        <v>77.536899999999989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1.1161085701488078</v>
      </c>
      <c r="C11" s="107">
        <f t="shared" si="11"/>
        <v>0.47409393818742829</v>
      </c>
      <c r="D11" s="108">
        <f t="shared" si="12"/>
        <v>173.84472480620153</v>
      </c>
      <c r="E11" s="102">
        <f>E24*$B$31/100/$B$32</f>
        <v>1.1543970288160055</v>
      </c>
      <c r="F11" s="107">
        <f t="shared" si="13"/>
        <v>0.4725675359577961</v>
      </c>
      <c r="G11" s="108">
        <f t="shared" si="14"/>
        <v>169.30875547445251</v>
      </c>
      <c r="H11" s="102">
        <f>H24*$B$31/100/$B$32</f>
        <v>1.3083166326581397</v>
      </c>
      <c r="I11" s="107">
        <f t="shared" si="2"/>
        <v>0.52197312994575229</v>
      </c>
      <c r="J11" s="108">
        <f t="shared" si="3"/>
        <v>166.37978544303797</v>
      </c>
      <c r="K11" s="102">
        <f>K24*$B$31/100/$B$32</f>
        <v>0.9951170407604637</v>
      </c>
      <c r="L11" s="107">
        <f t="shared" si="5"/>
        <v>0.31328754790225433</v>
      </c>
      <c r="M11" s="108">
        <f t="shared" si="6"/>
        <v>145.94807810218975</v>
      </c>
      <c r="N11" s="102">
        <f>N24*$B$31/100/$B$32</f>
        <v>0.5050247698203354</v>
      </c>
      <c r="O11" s="107">
        <f t="shared" si="8"/>
        <v>0.13176044891255656</v>
      </c>
      <c r="P11" s="108">
        <f t="shared" si="9"/>
        <v>135.29950266666665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1.4940446921813568</v>
      </c>
      <c r="F12" s="107">
        <f t="shared" si="13"/>
        <v>0.81221519932314745</v>
      </c>
      <c r="G12" s="108">
        <f t="shared" si="14"/>
        <v>219.1229197080292</v>
      </c>
      <c r="H12" s="102">
        <f t="shared" ref="H12:H13" si="15">H25*$B$33/$B$32</f>
        <v>1.5582419250485242</v>
      </c>
      <c r="I12" s="107">
        <f t="shared" si="2"/>
        <v>0.77189842233613681</v>
      </c>
      <c r="J12" s="108">
        <f t="shared" si="3"/>
        <v>198.1630063291139</v>
      </c>
      <c r="K12" s="102">
        <f t="shared" ref="K12:K13" si="16">K25*$B$33/$B$32</f>
        <v>1.3994996765042553</v>
      </c>
      <c r="L12" s="107">
        <f t="shared" si="5"/>
        <v>0.71767018364604596</v>
      </c>
      <c r="M12" s="108">
        <f t="shared" si="6"/>
        <v>205.25654744525551</v>
      </c>
      <c r="N12" s="102">
        <f t="shared" ref="N12:N13" si="17">N25*$B$33/$B$32</f>
        <v>0.60111954411984281</v>
      </c>
      <c r="O12" s="107">
        <f t="shared" si="8"/>
        <v>0.22785522321206397</v>
      </c>
      <c r="P12" s="108">
        <f t="shared" si="9"/>
        <v>161.04393333333334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1.5278941422385903</v>
      </c>
      <c r="F13" s="107">
        <f t="shared" si="13"/>
        <v>0.84606464938038095</v>
      </c>
      <c r="G13" s="108">
        <f t="shared" si="14"/>
        <v>224.08742335766419</v>
      </c>
      <c r="H13" s="102">
        <f t="shared" si="15"/>
        <v>1.610766933758025</v>
      </c>
      <c r="I13" s="107">
        <f t="shared" si="2"/>
        <v>0.82442343104563764</v>
      </c>
      <c r="J13" s="108">
        <f t="shared" si="3"/>
        <v>204.84265822784806</v>
      </c>
      <c r="K13" s="102">
        <f t="shared" si="16"/>
        <v>1.4321819041457224</v>
      </c>
      <c r="L13" s="107">
        <f t="shared" si="5"/>
        <v>0.75035241128751307</v>
      </c>
      <c r="M13" s="108">
        <f t="shared" si="6"/>
        <v>210.0498613138686</v>
      </c>
      <c r="N13" s="102">
        <f t="shared" si="17"/>
        <v>0.69566455979694408</v>
      </c>
      <c r="O13" s="107">
        <f t="shared" si="8"/>
        <v>0.32240023888916525</v>
      </c>
      <c r="P13" s="108">
        <f t="shared" si="9"/>
        <v>186.37317333333328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1.3933185188871744</v>
      </c>
      <c r="F14" s="119">
        <f t="shared" si="13"/>
        <v>0.71148902602896502</v>
      </c>
      <c r="G14" s="120">
        <f t="shared" si="14"/>
        <v>204.34999270072987</v>
      </c>
      <c r="H14" s="118">
        <f>H27*$B$34/10/$B$32</f>
        <v>1.4530709699895485</v>
      </c>
      <c r="I14" s="119">
        <f t="shared" si="2"/>
        <v>0.66672746727716115</v>
      </c>
      <c r="J14" s="120">
        <f t="shared" si="3"/>
        <v>184.78832278481013</v>
      </c>
      <c r="K14" s="118">
        <f>K27*$B$34/10/$B$32</f>
        <v>1.382454436868561</v>
      </c>
      <c r="L14" s="119">
        <f t="shared" si="5"/>
        <v>0.70062494401035158</v>
      </c>
      <c r="M14" s="120">
        <f t="shared" si="6"/>
        <v>202.75662043795614</v>
      </c>
      <c r="N14" s="118">
        <f>N27*$B$34/10/$B$32</f>
        <v>0.58122838799581944</v>
      </c>
      <c r="O14" s="119">
        <f t="shared" si="8"/>
        <v>0.20796406708804061</v>
      </c>
      <c r="P14" s="120">
        <f t="shared" si="9"/>
        <v>155.71495999999999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42.15</v>
      </c>
      <c r="C20" s="144" t="s">
        <v>172</v>
      </c>
      <c r="D20" s="145" t="s">
        <v>172</v>
      </c>
      <c r="E20" s="143">
        <v>45.63</v>
      </c>
      <c r="F20" s="144" t="s">
        <v>172</v>
      </c>
      <c r="G20" s="145" t="s">
        <v>172</v>
      </c>
      <c r="H20" s="143">
        <v>46.78</v>
      </c>
      <c r="I20" s="144" t="s">
        <v>172</v>
      </c>
      <c r="J20" s="145" t="s">
        <v>172</v>
      </c>
      <c r="K20" s="143">
        <v>44.08</v>
      </c>
      <c r="L20" s="144" t="s">
        <v>172</v>
      </c>
      <c r="M20" s="145" t="s">
        <v>172</v>
      </c>
      <c r="N20" s="143">
        <v>20.85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42.11</v>
      </c>
      <c r="C21" s="144" t="s">
        <v>172</v>
      </c>
      <c r="D21" s="145" t="s">
        <v>172</v>
      </c>
      <c r="E21" s="143">
        <v>45.11</v>
      </c>
      <c r="F21" s="144" t="s">
        <v>172</v>
      </c>
      <c r="G21" s="145" t="s">
        <v>172</v>
      </c>
      <c r="H21" s="143">
        <v>47.7</v>
      </c>
      <c r="I21" s="144" t="s">
        <v>172</v>
      </c>
      <c r="J21" s="145" t="s">
        <v>172</v>
      </c>
      <c r="K21" s="143">
        <v>45.05</v>
      </c>
      <c r="L21" s="144" t="s">
        <v>172</v>
      </c>
      <c r="M21" s="145" t="s">
        <v>172</v>
      </c>
      <c r="N21" s="143">
        <v>19.75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</v>
      </c>
      <c r="C22" s="144" t="s">
        <v>172</v>
      </c>
      <c r="D22" s="145" t="s">
        <v>172</v>
      </c>
      <c r="E22" s="143">
        <v>44.11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43.5</v>
      </c>
      <c r="L22" s="144" t="s">
        <v>172</v>
      </c>
      <c r="M22" s="145" t="s">
        <v>172</v>
      </c>
      <c r="N22" s="143">
        <f>N21</f>
        <v>19.75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39.590000000000003</v>
      </c>
      <c r="C23" s="144" t="s">
        <v>172</v>
      </c>
      <c r="D23" s="145" t="s">
        <v>172</v>
      </c>
      <c r="E23" s="143">
        <v>42.2</v>
      </c>
      <c r="F23" s="144" t="s">
        <v>172</v>
      </c>
      <c r="G23" s="145" t="s">
        <v>172</v>
      </c>
      <c r="H23" s="143">
        <v>48.45</v>
      </c>
      <c r="I23" s="144" t="s">
        <v>172</v>
      </c>
      <c r="J23" s="145" t="s">
        <v>172</v>
      </c>
      <c r="K23" s="143">
        <v>42.88</v>
      </c>
      <c r="L23" s="144" t="s">
        <v>172</v>
      </c>
      <c r="M23" s="145" t="s">
        <v>172</v>
      </c>
      <c r="N23" s="143">
        <v>17.989999999999998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29.15</v>
      </c>
      <c r="C24" s="144" t="s">
        <v>172</v>
      </c>
      <c r="D24" s="145" t="s">
        <v>172</v>
      </c>
      <c r="E24" s="143">
        <v>30.15</v>
      </c>
      <c r="F24" s="144" t="s">
        <v>172</v>
      </c>
      <c r="G24" s="145" t="s">
        <v>172</v>
      </c>
      <c r="H24" s="143">
        <v>34.17</v>
      </c>
      <c r="I24" s="144" t="s">
        <v>172</v>
      </c>
      <c r="J24" s="145" t="s">
        <v>172</v>
      </c>
      <c r="K24" s="143">
        <v>25.99</v>
      </c>
      <c r="L24" s="144" t="s">
        <v>172</v>
      </c>
      <c r="M24" s="145" t="s">
        <v>172</v>
      </c>
      <c r="N24" s="143">
        <v>13.19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</v>
      </c>
      <c r="F25" s="144" t="s">
        <v>172</v>
      </c>
      <c r="G25" s="145" t="s">
        <v>172</v>
      </c>
      <c r="H25" s="153">
        <v>1.335</v>
      </c>
      <c r="I25" s="144" t="s">
        <v>172</v>
      </c>
      <c r="J25" s="145" t="s">
        <v>172</v>
      </c>
      <c r="K25" s="153">
        <v>1.1990000000000001</v>
      </c>
      <c r="L25" s="144" t="s">
        <v>172</v>
      </c>
      <c r="M25" s="145" t="s">
        <v>172</v>
      </c>
      <c r="N25" s="153">
        <v>0.51500000000000001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1.3089999999999999</v>
      </c>
      <c r="F26" s="144" t="s">
        <v>172</v>
      </c>
      <c r="G26" s="145" t="s">
        <v>172</v>
      </c>
      <c r="H26" s="153">
        <v>1.38</v>
      </c>
      <c r="I26" s="144" t="s">
        <v>172</v>
      </c>
      <c r="J26" s="145" t="s">
        <v>172</v>
      </c>
      <c r="K26" s="153">
        <v>1.2270000000000001</v>
      </c>
      <c r="L26" s="144" t="s">
        <v>172</v>
      </c>
      <c r="M26" s="145" t="s">
        <v>172</v>
      </c>
      <c r="N26" s="153">
        <v>0.59599999999999997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5.13</v>
      </c>
      <c r="F27" s="158" t="s">
        <v>172</v>
      </c>
      <c r="G27" s="159" t="s">
        <v>172</v>
      </c>
      <c r="H27" s="160">
        <v>5.35</v>
      </c>
      <c r="I27" s="158" t="s">
        <v>172</v>
      </c>
      <c r="J27" s="159" t="s">
        <v>172</v>
      </c>
      <c r="K27" s="160">
        <v>5.09</v>
      </c>
      <c r="L27" s="158" t="s">
        <v>172</v>
      </c>
      <c r="M27" s="159" t="s">
        <v>172</v>
      </c>
      <c r="N27" s="160">
        <v>2.14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7.6932999999999998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2.0093000000000001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2.3452999999999999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5.4573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3.2324999999999999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1.7109375" customWidth="1" outlineLevel="1"/>
    <col min="19" max="19" width="28.42578125" customWidth="1" outlineLevel="1"/>
    <col min="20" max="20" width="29.7109375" customWidth="1" outlineLevel="1"/>
    <col min="21" max="21" width="28.28515625" customWidth="1" outlineLevel="1"/>
    <col min="22" max="22" width="32" customWidth="1" outlineLevel="1"/>
    <col min="23" max="23" width="43.57031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43262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0.64448441247002408</v>
      </c>
      <c r="C6" s="103" t="s">
        <v>172</v>
      </c>
      <c r="D6" s="104" t="s">
        <v>172</v>
      </c>
      <c r="E6" s="102">
        <f>E19/$B$32</f>
        <v>0.68445243804956046</v>
      </c>
      <c r="F6" s="103" t="s">
        <v>172</v>
      </c>
      <c r="G6" s="104" t="s">
        <v>172</v>
      </c>
      <c r="H6" s="102">
        <f>H19/$B$32</f>
        <v>0.78936850519584345</v>
      </c>
      <c r="I6" s="103" t="s">
        <v>172</v>
      </c>
      <c r="J6" s="104" t="s">
        <v>172</v>
      </c>
      <c r="K6" s="102">
        <f>K19/$B$32</f>
        <v>0.68445243804956046</v>
      </c>
      <c r="L6" s="103" t="s">
        <v>172</v>
      </c>
      <c r="M6" s="104" t="s">
        <v>172</v>
      </c>
      <c r="N6" s="102">
        <f>N19/$B$32</f>
        <v>0.37470023980815353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0.67663036570743407</v>
      </c>
      <c r="C7" s="107">
        <f>B7-B$6</f>
        <v>3.2145953237409985E-2</v>
      </c>
      <c r="D7" s="108">
        <f>B7/B$6*100</f>
        <v>104.98785581395347</v>
      </c>
      <c r="E7" s="102">
        <f t="shared" ref="E7:E10" si="0">E20*$B$35/100/$B$32</f>
        <v>0.72799174660271782</v>
      </c>
      <c r="F7" s="107">
        <f>E7-E$6</f>
        <v>4.3539308553157352E-2</v>
      </c>
      <c r="G7" s="108">
        <f>E7/E$6*100</f>
        <v>106.36118832116786</v>
      </c>
      <c r="H7" s="102">
        <f t="shared" ref="H7:H10" si="1">H20*$B$35/100/$B$32</f>
        <v>0.81237115807354121</v>
      </c>
      <c r="I7" s="107">
        <f t="shared" ref="I7:I14" si="2">H7-H$6</f>
        <v>2.300265287769776E-2</v>
      </c>
      <c r="J7" s="108">
        <f t="shared" ref="J7:J14" si="3">H7/H$6*100</f>
        <v>102.91405759493671</v>
      </c>
      <c r="K7" s="102">
        <f t="shared" ref="K7:K10" si="4">K20*$B$35/100/$B$32</f>
        <v>0.70231105615507594</v>
      </c>
      <c r="L7" s="107">
        <f t="shared" ref="L7:L14" si="5">K7-K$6</f>
        <v>1.7858618105515478E-2</v>
      </c>
      <c r="M7" s="108">
        <f t="shared" ref="M7:M14" si="6">K7/K$6*100</f>
        <v>102.60918321167883</v>
      </c>
      <c r="N7" s="102">
        <f t="shared" ref="N7:N10" si="7">N20*$B$35/100/$B$32</f>
        <v>0.33352996103117505</v>
      </c>
      <c r="O7" s="107">
        <f t="shared" ref="O7:O14" si="8">N7-N$6</f>
        <v>-4.1170278776978486E-2</v>
      </c>
      <c r="P7" s="108">
        <f t="shared" ref="P7:P14" si="9">N7/N$6*100</f>
        <v>89.012475999999978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0.66833598121502791</v>
      </c>
      <c r="C8" s="107">
        <f t="shared" ref="C8:C11" si="11">B8-B$6</f>
        <v>2.3851568745003826E-2</v>
      </c>
      <c r="D8" s="108">
        <f t="shared" ref="D8:D11" si="12">B8/B$6*100</f>
        <v>103.70087596899222</v>
      </c>
      <c r="E8" s="102">
        <f t="shared" si="0"/>
        <v>0.70438465227817737</v>
      </c>
      <c r="F8" s="107">
        <f t="shared" ref="F8:F14" si="13">E8-E$6</f>
        <v>1.9932214228616907E-2</v>
      </c>
      <c r="G8" s="108">
        <f t="shared" ref="G8:G14" si="14">E8/E$6*100</f>
        <v>102.91214014598538</v>
      </c>
      <c r="H8" s="102">
        <f t="shared" si="1"/>
        <v>0.76085026978417269</v>
      </c>
      <c r="I8" s="107">
        <f t="shared" si="2"/>
        <v>-2.8518235411670756E-2</v>
      </c>
      <c r="J8" s="108">
        <f t="shared" si="3"/>
        <v>96.387208860759486</v>
      </c>
      <c r="K8" s="102">
        <f t="shared" si="4"/>
        <v>0.70199204136690641</v>
      </c>
      <c r="L8" s="107">
        <f t="shared" si="5"/>
        <v>1.7539603317345942E-2</v>
      </c>
      <c r="M8" s="108">
        <f t="shared" si="6"/>
        <v>102.56257445255473</v>
      </c>
      <c r="N8" s="102">
        <f t="shared" si="7"/>
        <v>0.32651163569144687</v>
      </c>
      <c r="O8" s="107">
        <f t="shared" si="8"/>
        <v>-4.8188604116706668E-2</v>
      </c>
      <c r="P8" s="108">
        <f t="shared" si="9"/>
        <v>87.139425333333335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0.65334228617106316</v>
      </c>
      <c r="C9" s="107">
        <f t="shared" si="11"/>
        <v>8.8578737010390762E-3</v>
      </c>
      <c r="D9" s="108">
        <f t="shared" si="12"/>
        <v>101.37441240310076</v>
      </c>
      <c r="E9" s="102">
        <f t="shared" si="0"/>
        <v>0.70438465227817737</v>
      </c>
      <c r="F9" s="107">
        <f t="shared" si="13"/>
        <v>1.9932214228616907E-2</v>
      </c>
      <c r="G9" s="108">
        <f t="shared" si="14"/>
        <v>102.91214014598538</v>
      </c>
      <c r="H9" s="102">
        <f t="shared" si="1"/>
        <v>0.75925519584332546</v>
      </c>
      <c r="I9" s="107">
        <f t="shared" si="2"/>
        <v>-3.0113309352517992E-2</v>
      </c>
      <c r="J9" s="108">
        <f t="shared" si="3"/>
        <v>96.185139240506331</v>
      </c>
      <c r="K9" s="102">
        <f t="shared" si="4"/>
        <v>0.69290011990407685</v>
      </c>
      <c r="L9" s="107">
        <f t="shared" si="5"/>
        <v>8.4476818545163868E-3</v>
      </c>
      <c r="M9" s="108">
        <f t="shared" si="6"/>
        <v>101.23422481751825</v>
      </c>
      <c r="N9" s="102">
        <f t="shared" si="7"/>
        <v>0.32651163569144687</v>
      </c>
      <c r="O9" s="107">
        <f t="shared" si="8"/>
        <v>-4.8188604116706668E-2</v>
      </c>
      <c r="P9" s="108">
        <f t="shared" si="9"/>
        <v>87.139425333333335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0.64217676858513184</v>
      </c>
      <c r="C10" s="107">
        <f t="shared" si="11"/>
        <v>-2.3076438848922409E-3</v>
      </c>
      <c r="D10" s="108">
        <f t="shared" si="12"/>
        <v>99.64193953488369</v>
      </c>
      <c r="E10" s="102">
        <f t="shared" si="0"/>
        <v>0.68460573541167069</v>
      </c>
      <c r="F10" s="107">
        <f t="shared" si="13"/>
        <v>1.5329736211022738E-4</v>
      </c>
      <c r="G10" s="108">
        <f t="shared" si="14"/>
        <v>100.02239708029197</v>
      </c>
      <c r="H10" s="102">
        <f t="shared" si="1"/>
        <v>0.77281332434052763</v>
      </c>
      <c r="I10" s="107">
        <f t="shared" si="2"/>
        <v>-1.6555180855315821E-2</v>
      </c>
      <c r="J10" s="108">
        <f t="shared" si="3"/>
        <v>97.902731012658222</v>
      </c>
      <c r="K10" s="102">
        <f t="shared" si="4"/>
        <v>0.69513322342126305</v>
      </c>
      <c r="L10" s="107">
        <f t="shared" si="5"/>
        <v>1.0680785371702584E-2</v>
      </c>
      <c r="M10" s="108">
        <f t="shared" si="6"/>
        <v>101.56048613138687</v>
      </c>
      <c r="N10" s="102">
        <f t="shared" si="7"/>
        <v>0.28328513189448445</v>
      </c>
      <c r="O10" s="107">
        <f t="shared" si="8"/>
        <v>-9.141510791366908E-2</v>
      </c>
      <c r="P10" s="108">
        <f t="shared" si="9"/>
        <v>75.603136000000006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1.107493705035971</v>
      </c>
      <c r="C11" s="107">
        <f t="shared" si="11"/>
        <v>0.46300929256594692</v>
      </c>
      <c r="D11" s="108">
        <f t="shared" si="12"/>
        <v>171.84181395348833</v>
      </c>
      <c r="E11" s="102">
        <f>E24*$B$31/100/$B$32</f>
        <v>1.1457491007194245</v>
      </c>
      <c r="F11" s="107">
        <f t="shared" si="13"/>
        <v>0.46129666266986402</v>
      </c>
      <c r="G11" s="108">
        <f t="shared" si="14"/>
        <v>167.39645255474451</v>
      </c>
      <c r="H11" s="102">
        <f>H24*$B$31/100/$B$32</f>
        <v>1.2995357913669066</v>
      </c>
      <c r="I11" s="107">
        <f t="shared" si="2"/>
        <v>0.51016728617106311</v>
      </c>
      <c r="J11" s="108">
        <f t="shared" si="3"/>
        <v>164.62979999999999</v>
      </c>
      <c r="K11" s="102">
        <f>K24*$B$31/100/$B$32</f>
        <v>0.98851942446043162</v>
      </c>
      <c r="L11" s="107">
        <f t="shared" si="5"/>
        <v>0.30406698641087115</v>
      </c>
      <c r="M11" s="108">
        <f t="shared" si="6"/>
        <v>144.42485255474449</v>
      </c>
      <c r="N11" s="102">
        <f>N24*$B$31/100/$B$32</f>
        <v>0.50382356115107918</v>
      </c>
      <c r="O11" s="107">
        <f t="shared" si="8"/>
        <v>0.12912332134292565</v>
      </c>
      <c r="P11" s="108">
        <f t="shared" si="9"/>
        <v>134.460432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1.5178896882494006</v>
      </c>
      <c r="F12" s="107">
        <f t="shared" si="13"/>
        <v>0.83343725019984016</v>
      </c>
      <c r="G12" s="108">
        <f t="shared" si="14"/>
        <v>221.76700729927009</v>
      </c>
      <c r="H12" s="102">
        <f t="shared" ref="H12:H13" si="15">H25*$B$33/$B$32</f>
        <v>1.5826059152677858</v>
      </c>
      <c r="I12" s="107">
        <f t="shared" si="2"/>
        <v>0.79323741007194237</v>
      </c>
      <c r="J12" s="108">
        <f t="shared" si="3"/>
        <v>200.49012658227844</v>
      </c>
      <c r="K12" s="102">
        <f t="shared" ref="K12:K13" si="16">K25*$B$33/$B$32</f>
        <v>1.4143437250199842</v>
      </c>
      <c r="L12" s="107">
        <f t="shared" si="5"/>
        <v>0.72989128697042371</v>
      </c>
      <c r="M12" s="108">
        <f t="shared" si="6"/>
        <v>206.63871532846713</v>
      </c>
      <c r="N12" s="102">
        <f t="shared" ref="N12:N13" si="17">N25*$B$33/$B$32</f>
        <v>0.6295123900879297</v>
      </c>
      <c r="O12" s="107">
        <f t="shared" si="8"/>
        <v>0.25481215027977616</v>
      </c>
      <c r="P12" s="108">
        <f t="shared" si="9"/>
        <v>168.00426666666667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1.5355395683453237</v>
      </c>
      <c r="F13" s="107">
        <f t="shared" si="13"/>
        <v>0.85108713029576322</v>
      </c>
      <c r="G13" s="108">
        <f t="shared" si="14"/>
        <v>224.34569343065687</v>
      </c>
      <c r="H13" s="102">
        <f t="shared" si="15"/>
        <v>1.6143756994404479</v>
      </c>
      <c r="I13" s="107">
        <f t="shared" si="2"/>
        <v>0.82500719424460445</v>
      </c>
      <c r="J13" s="108">
        <f t="shared" si="3"/>
        <v>204.51483544303798</v>
      </c>
      <c r="K13" s="102">
        <f t="shared" si="16"/>
        <v>1.4390535571542769</v>
      </c>
      <c r="L13" s="107">
        <f t="shared" si="5"/>
        <v>0.75460111910471639</v>
      </c>
      <c r="M13" s="108">
        <f t="shared" si="6"/>
        <v>210.24887591240878</v>
      </c>
      <c r="N13" s="102">
        <f t="shared" si="17"/>
        <v>0.70011191047162269</v>
      </c>
      <c r="O13" s="107">
        <f t="shared" si="8"/>
        <v>0.32541167066346915</v>
      </c>
      <c r="P13" s="108">
        <f t="shared" si="9"/>
        <v>186.84586666666664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1.3950200839328539</v>
      </c>
      <c r="F14" s="119">
        <f t="shared" si="13"/>
        <v>0.71056764588329346</v>
      </c>
      <c r="G14" s="120">
        <f t="shared" si="14"/>
        <v>203.81548905109491</v>
      </c>
      <c r="H14" s="118">
        <f>H27*$B$34/10/$B$32</f>
        <v>1.4607970623501199</v>
      </c>
      <c r="I14" s="119">
        <f t="shared" si="2"/>
        <v>0.67142855715427641</v>
      </c>
      <c r="J14" s="120">
        <f t="shared" si="3"/>
        <v>185.05894936708859</v>
      </c>
      <c r="K14" s="118">
        <f>K27*$B$34/10/$B$32</f>
        <v>1.3895386690647484</v>
      </c>
      <c r="L14" s="119">
        <f t="shared" si="5"/>
        <v>0.70508623101518797</v>
      </c>
      <c r="M14" s="120">
        <f t="shared" si="6"/>
        <v>203.01464233576644</v>
      </c>
      <c r="N14" s="118">
        <f>N27*$B$34/10/$B$32</f>
        <v>0.57828926858513197</v>
      </c>
      <c r="O14" s="119">
        <f t="shared" si="8"/>
        <v>0.20358902877697843</v>
      </c>
      <c r="P14" s="120">
        <f t="shared" si="9"/>
        <v>154.33383999999998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42.42</v>
      </c>
      <c r="C20" s="144" t="s">
        <v>172</v>
      </c>
      <c r="D20" s="145" t="s">
        <v>172</v>
      </c>
      <c r="E20" s="143">
        <v>45.64</v>
      </c>
      <c r="F20" s="144" t="s">
        <v>172</v>
      </c>
      <c r="G20" s="145" t="s">
        <v>172</v>
      </c>
      <c r="H20" s="143">
        <v>50.93</v>
      </c>
      <c r="I20" s="144" t="s">
        <v>172</v>
      </c>
      <c r="J20" s="145" t="s">
        <v>172</v>
      </c>
      <c r="K20" s="143">
        <v>44.03</v>
      </c>
      <c r="L20" s="144" t="s">
        <v>172</v>
      </c>
      <c r="M20" s="145" t="s">
        <v>172</v>
      </c>
      <c r="N20" s="143">
        <v>20.91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41.9</v>
      </c>
      <c r="C21" s="144" t="s">
        <v>172</v>
      </c>
      <c r="D21" s="145" t="s">
        <v>172</v>
      </c>
      <c r="E21" s="143">
        <v>44.16</v>
      </c>
      <c r="F21" s="144" t="s">
        <v>172</v>
      </c>
      <c r="G21" s="145" t="s">
        <v>172</v>
      </c>
      <c r="H21" s="143">
        <v>47.7</v>
      </c>
      <c r="I21" s="144" t="s">
        <v>172</v>
      </c>
      <c r="J21" s="145" t="s">
        <v>172</v>
      </c>
      <c r="K21" s="143">
        <v>44.01</v>
      </c>
      <c r="L21" s="144" t="s">
        <v>172</v>
      </c>
      <c r="M21" s="145" t="s">
        <v>172</v>
      </c>
      <c r="N21" s="143">
        <v>20.47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40.96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43.44</v>
      </c>
      <c r="L22" s="144" t="s">
        <v>172</v>
      </c>
      <c r="M22" s="145" t="s">
        <v>172</v>
      </c>
      <c r="N22" s="143">
        <f>N21</f>
        <v>20.47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40.26</v>
      </c>
      <c r="C23" s="144" t="s">
        <v>172</v>
      </c>
      <c r="D23" s="145" t="s">
        <v>172</v>
      </c>
      <c r="E23" s="143">
        <v>42.92</v>
      </c>
      <c r="F23" s="144" t="s">
        <v>172</v>
      </c>
      <c r="G23" s="145" t="s">
        <v>172</v>
      </c>
      <c r="H23" s="143">
        <v>48.45</v>
      </c>
      <c r="I23" s="144" t="s">
        <v>172</v>
      </c>
      <c r="J23" s="145" t="s">
        <v>172</v>
      </c>
      <c r="K23" s="143">
        <v>43.58</v>
      </c>
      <c r="L23" s="144" t="s">
        <v>172</v>
      </c>
      <c r="M23" s="145" t="s">
        <v>172</v>
      </c>
      <c r="N23" s="143">
        <v>17.760000000000002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33.97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13.17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</v>
      </c>
      <c r="F25" s="144" t="s">
        <v>172</v>
      </c>
      <c r="G25" s="145" t="s">
        <v>172</v>
      </c>
      <c r="H25" s="153">
        <v>1.345</v>
      </c>
      <c r="I25" s="144" t="s">
        <v>172</v>
      </c>
      <c r="J25" s="145" t="s">
        <v>172</v>
      </c>
      <c r="K25" s="153">
        <v>1.202</v>
      </c>
      <c r="L25" s="144" t="s">
        <v>172</v>
      </c>
      <c r="M25" s="145" t="s">
        <v>172</v>
      </c>
      <c r="N25" s="153">
        <v>0.53500000000000003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1.3049999999999999</v>
      </c>
      <c r="F26" s="144" t="s">
        <v>172</v>
      </c>
      <c r="G26" s="145" t="s">
        <v>172</v>
      </c>
      <c r="H26" s="153">
        <v>1.3720000000000001</v>
      </c>
      <c r="I26" s="144" t="s">
        <v>172</v>
      </c>
      <c r="J26" s="145" t="s">
        <v>172</v>
      </c>
      <c r="K26" s="153">
        <v>1.2230000000000001</v>
      </c>
      <c r="L26" s="144" t="s">
        <v>172</v>
      </c>
      <c r="M26" s="145" t="s">
        <v>172</v>
      </c>
      <c r="N26" s="153">
        <v>0.59499999999999997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</v>
      </c>
      <c r="F27" s="158" t="s">
        <v>172</v>
      </c>
      <c r="G27" s="159" t="s">
        <v>172</v>
      </c>
      <c r="H27" s="160">
        <v>5.33</v>
      </c>
      <c r="I27" s="158" t="s">
        <v>172</v>
      </c>
      <c r="J27" s="159" t="s">
        <v>172</v>
      </c>
      <c r="K27" s="160">
        <v>5.07</v>
      </c>
      <c r="L27" s="158" t="s">
        <v>172</v>
      </c>
      <c r="M27" s="159" t="s">
        <v>172</v>
      </c>
      <c r="N27" s="160">
        <v>2.11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7.6571999999999996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2.0015999999999998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2.3552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5.4858000000000002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3.1926999999999999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43269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0.64477432898485532</v>
      </c>
      <c r="C6" s="103" t="s">
        <v>172</v>
      </c>
      <c r="D6" s="104" t="s">
        <v>172</v>
      </c>
      <c r="E6" s="102">
        <f>E19/$B$32</f>
        <v>0.68476033388314095</v>
      </c>
      <c r="F6" s="103" t="s">
        <v>172</v>
      </c>
      <c r="G6" s="104" t="s">
        <v>172</v>
      </c>
      <c r="H6" s="102">
        <f>H19/$B$32</f>
        <v>0.78972359674114057</v>
      </c>
      <c r="I6" s="103" t="s">
        <v>172</v>
      </c>
      <c r="J6" s="104" t="s">
        <v>172</v>
      </c>
      <c r="K6" s="102">
        <f>K19/$B$32</f>
        <v>0.68476033388314095</v>
      </c>
      <c r="L6" s="103" t="s">
        <v>172</v>
      </c>
      <c r="M6" s="104" t="s">
        <v>172</v>
      </c>
      <c r="N6" s="102">
        <f>N19/$B$32</f>
        <v>0.37486879592142747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0.67260802219223281</v>
      </c>
      <c r="C7" s="107">
        <f>B7-B$6</f>
        <v>2.7833693207377497E-2</v>
      </c>
      <c r="D7" s="108">
        <f>B7/B$6*100</f>
        <v>104.31681162790699</v>
      </c>
      <c r="E7" s="102">
        <f t="shared" ref="E7:E10" si="0">E20*$B$35/100/$B$32</f>
        <v>0.72412625581046619</v>
      </c>
      <c r="F7" s="107">
        <f>E7-E$6</f>
        <v>3.9365921927325243E-2</v>
      </c>
      <c r="G7" s="108">
        <f>E7/E$6*100</f>
        <v>105.74886131386859</v>
      </c>
      <c r="H7" s="102">
        <f t="shared" ref="H7:H10" si="1">H20*$B$35/100/$B$32</f>
        <v>0.81296729644624377</v>
      </c>
      <c r="I7" s="107">
        <f t="shared" ref="I7:I14" si="2">H7-H$6</f>
        <v>2.3243699705103205E-2</v>
      </c>
      <c r="J7" s="108">
        <f t="shared" ref="J7:J14" si="3">H7/H$6*100</f>
        <v>102.94327025316457</v>
      </c>
      <c r="K7" s="102">
        <f t="shared" ref="K7:K10" si="4">K20*$B$35/100/$B$32</f>
        <v>0.70036087869245756</v>
      </c>
      <c r="L7" s="107">
        <f t="shared" ref="L7:L14" si="5">K7-K$6</f>
        <v>1.5600544809316608E-2</v>
      </c>
      <c r="M7" s="108">
        <f t="shared" ref="M7:M14" si="6">K7/K$6*100</f>
        <v>102.27824890510946</v>
      </c>
      <c r="N7" s="102">
        <f t="shared" ref="N7:N10" si="7">N20*$B$35/100/$B$32</f>
        <v>0.339414245014245</v>
      </c>
      <c r="O7" s="107">
        <f t="shared" ref="O7:O14" si="8">N7-N$6</f>
        <v>-3.5454550907182469E-2</v>
      </c>
      <c r="P7" s="108">
        <f t="shared" ref="P7:P14" si="9">N7/N$6*100</f>
        <v>90.542144000000008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0.67181052631578941</v>
      </c>
      <c r="C8" s="107">
        <f t="shared" ref="C8:C11" si="11">B8-B$6</f>
        <v>2.7036197330934097E-2</v>
      </c>
      <c r="D8" s="108">
        <f t="shared" ref="D8:D11" si="12">B8/B$6*100</f>
        <v>104.19312558139534</v>
      </c>
      <c r="E8" s="102">
        <f t="shared" si="0"/>
        <v>0.68696294796821111</v>
      </c>
      <c r="F8" s="107">
        <f t="shared" ref="F8:F14" si="13">E8-E$6</f>
        <v>2.2026140850701648E-3</v>
      </c>
      <c r="G8" s="108">
        <f t="shared" ref="G8:G14" si="14">E8/E$6*100</f>
        <v>100.3216620437956</v>
      </c>
      <c r="H8" s="102">
        <f t="shared" si="1"/>
        <v>0.72715674014095066</v>
      </c>
      <c r="I8" s="107">
        <f t="shared" si="2"/>
        <v>-6.2566856600189902E-2</v>
      </c>
      <c r="J8" s="108">
        <f t="shared" si="3"/>
        <v>92.077372784810123</v>
      </c>
      <c r="K8" s="102">
        <f t="shared" si="4"/>
        <v>0.72699724096566187</v>
      </c>
      <c r="L8" s="107">
        <f t="shared" si="5"/>
        <v>4.2236907082520925E-2</v>
      </c>
      <c r="M8" s="108">
        <f t="shared" si="6"/>
        <v>106.16812992700726</v>
      </c>
      <c r="N8" s="102">
        <f t="shared" si="7"/>
        <v>0.32856830109461688</v>
      </c>
      <c r="O8" s="107">
        <f t="shared" si="8"/>
        <v>-4.630049482681059E-2</v>
      </c>
      <c r="P8" s="108">
        <f t="shared" si="9"/>
        <v>87.648880000000005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0.65362762033288335</v>
      </c>
      <c r="C9" s="107">
        <f t="shared" si="11"/>
        <v>8.8532913480280362E-3</v>
      </c>
      <c r="D9" s="108">
        <f t="shared" si="12"/>
        <v>101.37308372093021</v>
      </c>
      <c r="E9" s="102">
        <f t="shared" si="0"/>
        <v>0.70434835807467377</v>
      </c>
      <c r="F9" s="107">
        <f t="shared" si="13"/>
        <v>1.9588024191532827E-2</v>
      </c>
      <c r="G9" s="108">
        <f t="shared" si="14"/>
        <v>102.86056642335764</v>
      </c>
      <c r="H9" s="102">
        <f t="shared" si="1"/>
        <v>0.7592160743739691</v>
      </c>
      <c r="I9" s="107">
        <f t="shared" si="2"/>
        <v>-3.0507522367171469E-2</v>
      </c>
      <c r="J9" s="108">
        <f t="shared" si="3"/>
        <v>96.136936708860759</v>
      </c>
      <c r="K9" s="102">
        <f t="shared" si="4"/>
        <v>0.69414041085620037</v>
      </c>
      <c r="L9" s="107">
        <f t="shared" si="5"/>
        <v>9.3800769730594258E-3</v>
      </c>
      <c r="M9" s="108">
        <f t="shared" si="6"/>
        <v>101.36983357664234</v>
      </c>
      <c r="N9" s="102">
        <f t="shared" si="7"/>
        <v>0.32856830109461688</v>
      </c>
      <c r="O9" s="107">
        <f t="shared" si="8"/>
        <v>-4.630049482681059E-2</v>
      </c>
      <c r="P9" s="108">
        <f t="shared" si="9"/>
        <v>87.648880000000005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0.64660965662018288</v>
      </c>
      <c r="C10" s="107">
        <f t="shared" si="11"/>
        <v>1.835327635327566E-3</v>
      </c>
      <c r="D10" s="108">
        <f t="shared" si="12"/>
        <v>100.2846465116279</v>
      </c>
      <c r="E10" s="102">
        <f t="shared" si="0"/>
        <v>0.68728194631878847</v>
      </c>
      <c r="F10" s="107">
        <f t="shared" si="13"/>
        <v>2.5216124356475245E-3</v>
      </c>
      <c r="G10" s="108">
        <f t="shared" si="14"/>
        <v>100.36824744525548</v>
      </c>
      <c r="H10" s="102">
        <f t="shared" si="1"/>
        <v>0.77277350427350433</v>
      </c>
      <c r="I10" s="107">
        <f t="shared" si="2"/>
        <v>-1.6950092467636235E-2</v>
      </c>
      <c r="J10" s="108">
        <f t="shared" si="3"/>
        <v>97.853667721519002</v>
      </c>
      <c r="K10" s="102">
        <f t="shared" si="4"/>
        <v>0.6987658869395712</v>
      </c>
      <c r="L10" s="107">
        <f t="shared" si="5"/>
        <v>1.4005553056430253E-2</v>
      </c>
      <c r="M10" s="108">
        <f t="shared" si="6"/>
        <v>102.04532189781021</v>
      </c>
      <c r="N10" s="102">
        <f t="shared" si="7"/>
        <v>0.28327053531264057</v>
      </c>
      <c r="O10" s="107">
        <f t="shared" si="8"/>
        <v>-9.1598260608786897E-2</v>
      </c>
      <c r="P10" s="108">
        <f t="shared" si="9"/>
        <v>75.565248000000011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1.0984562153246362</v>
      </c>
      <c r="C11" s="107">
        <f t="shared" si="11"/>
        <v>0.4536818863397809</v>
      </c>
      <c r="D11" s="108">
        <f t="shared" si="12"/>
        <v>170.36289534883718</v>
      </c>
      <c r="E11" s="102">
        <f>E24*$B$31/100/$B$32</f>
        <v>1.1363994351976809</v>
      </c>
      <c r="F11" s="107">
        <f t="shared" si="13"/>
        <v>0.45163910131453999</v>
      </c>
      <c r="G11" s="108">
        <f t="shared" si="14"/>
        <v>165.95579197080292</v>
      </c>
      <c r="H11" s="102">
        <f>H24*$B$31/100/$B$32</f>
        <v>1.2889311790873192</v>
      </c>
      <c r="I11" s="107">
        <f t="shared" si="2"/>
        <v>0.49920758234617868</v>
      </c>
      <c r="J11" s="108">
        <f t="shared" si="3"/>
        <v>163.21294999999998</v>
      </c>
      <c r="K11" s="102">
        <f>K24*$B$31/100/$B$32</f>
        <v>0.98045280151946823</v>
      </c>
      <c r="L11" s="107">
        <f t="shared" si="5"/>
        <v>0.29569246763632728</v>
      </c>
      <c r="M11" s="108">
        <f t="shared" si="6"/>
        <v>143.18189197080292</v>
      </c>
      <c r="N11" s="102">
        <f>N24*$B$31/100/$B$32</f>
        <v>0.50047107012545611</v>
      </c>
      <c r="O11" s="107">
        <f t="shared" si="8"/>
        <v>0.12560227420402864</v>
      </c>
      <c r="P11" s="108">
        <f t="shared" si="9"/>
        <v>133.50566266666669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1.4926551706902584</v>
      </c>
      <c r="F12" s="107">
        <f t="shared" si="13"/>
        <v>0.80789483680711749</v>
      </c>
      <c r="G12" s="108">
        <f t="shared" si="14"/>
        <v>217.98213138686128</v>
      </c>
      <c r="H12" s="102">
        <f t="shared" ref="H12:H13" si="15">H25*$B$33/$B$32</f>
        <v>1.5563448792922479</v>
      </c>
      <c r="I12" s="107">
        <f t="shared" si="2"/>
        <v>0.76662128255110729</v>
      </c>
      <c r="J12" s="108">
        <f t="shared" si="3"/>
        <v>197.07463291139243</v>
      </c>
      <c r="K12" s="102">
        <f t="shared" ref="K12:K13" si="16">K25*$B$33/$B$32</f>
        <v>1.388435647523367</v>
      </c>
      <c r="L12" s="107">
        <f t="shared" si="5"/>
        <v>0.70367531364022606</v>
      </c>
      <c r="M12" s="108">
        <f t="shared" si="6"/>
        <v>202.76227737226279</v>
      </c>
      <c r="N12" s="102">
        <f t="shared" ref="N12:N13" si="17">N25*$B$33/$B$32</f>
        <v>0.61952716549207776</v>
      </c>
      <c r="O12" s="107">
        <f t="shared" si="8"/>
        <v>0.24465836957065029</v>
      </c>
      <c r="P12" s="108">
        <f t="shared" si="9"/>
        <v>165.26506666666668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1.5007611336032389</v>
      </c>
      <c r="F13" s="107">
        <f t="shared" si="13"/>
        <v>0.81600079972009798</v>
      </c>
      <c r="G13" s="108">
        <f t="shared" si="14"/>
        <v>219.16589781021898</v>
      </c>
      <c r="H13" s="102">
        <f t="shared" si="15"/>
        <v>1.5748727945219174</v>
      </c>
      <c r="I13" s="107">
        <f t="shared" si="2"/>
        <v>0.78514919778077685</v>
      </c>
      <c r="J13" s="108">
        <f t="shared" si="3"/>
        <v>199.42075949367091</v>
      </c>
      <c r="K13" s="102">
        <f t="shared" si="16"/>
        <v>1.4081215574548906</v>
      </c>
      <c r="L13" s="107">
        <f t="shared" si="5"/>
        <v>0.7233612235717497</v>
      </c>
      <c r="M13" s="108">
        <f t="shared" si="6"/>
        <v>205.63713868613135</v>
      </c>
      <c r="N13" s="102">
        <f t="shared" si="17"/>
        <v>0.68784885290148456</v>
      </c>
      <c r="O13" s="107">
        <f t="shared" si="8"/>
        <v>0.3129800569800571</v>
      </c>
      <c r="P13" s="108">
        <f t="shared" si="9"/>
        <v>183.49056000000004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1.3695099215274653</v>
      </c>
      <c r="F14" s="119">
        <f t="shared" si="13"/>
        <v>0.68474958764432436</v>
      </c>
      <c r="G14" s="120">
        <f t="shared" si="14"/>
        <v>199.99843065693429</v>
      </c>
      <c r="H14" s="118">
        <f>H27*$B$34/10/$B$32</f>
        <v>1.4318836407257458</v>
      </c>
      <c r="I14" s="119">
        <f t="shared" si="2"/>
        <v>0.64216004398460524</v>
      </c>
      <c r="J14" s="120">
        <f t="shared" si="3"/>
        <v>181.31453164556962</v>
      </c>
      <c r="K14" s="118">
        <f>K27*$B$34/10/$B$32</f>
        <v>1.3586623181886339</v>
      </c>
      <c r="L14" s="119">
        <f t="shared" si="5"/>
        <v>0.67390198430549297</v>
      </c>
      <c r="M14" s="120">
        <f t="shared" si="6"/>
        <v>198.41428467153281</v>
      </c>
      <c r="N14" s="118">
        <f>N27*$B$34/10/$B$32</f>
        <v>0.56136347278452525</v>
      </c>
      <c r="O14" s="119">
        <f t="shared" si="8"/>
        <v>0.18649467686309779</v>
      </c>
      <c r="P14" s="120">
        <f t="shared" si="9"/>
        <v>149.74931999999995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42.17</v>
      </c>
      <c r="C20" s="144" t="s">
        <v>172</v>
      </c>
      <c r="D20" s="145" t="s">
        <v>172</v>
      </c>
      <c r="E20" s="143">
        <v>45.4</v>
      </c>
      <c r="F20" s="144" t="s">
        <v>172</v>
      </c>
      <c r="G20" s="145" t="s">
        <v>172</v>
      </c>
      <c r="H20" s="143">
        <v>50.97</v>
      </c>
      <c r="I20" s="144" t="s">
        <v>172</v>
      </c>
      <c r="J20" s="145" t="s">
        <v>172</v>
      </c>
      <c r="K20" s="143">
        <v>43.91</v>
      </c>
      <c r="L20" s="144" t="s">
        <v>172</v>
      </c>
      <c r="M20" s="145" t="s">
        <v>172</v>
      </c>
      <c r="N20" s="143">
        <v>21.28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42.12</v>
      </c>
      <c r="C21" s="144" t="s">
        <v>172</v>
      </c>
      <c r="D21" s="145" t="s">
        <v>172</v>
      </c>
      <c r="E21" s="143">
        <v>43.07</v>
      </c>
      <c r="F21" s="144" t="s">
        <v>172</v>
      </c>
      <c r="G21" s="145" t="s">
        <v>172</v>
      </c>
      <c r="H21" s="143">
        <v>45.59</v>
      </c>
      <c r="I21" s="144" t="s">
        <v>172</v>
      </c>
      <c r="J21" s="145" t="s">
        <v>172</v>
      </c>
      <c r="K21" s="143">
        <v>45.58</v>
      </c>
      <c r="L21" s="144" t="s">
        <v>172</v>
      </c>
      <c r="M21" s="145" t="s">
        <v>172</v>
      </c>
      <c r="N21" s="143">
        <v>20.6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40.98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43.52</v>
      </c>
      <c r="L22" s="144" t="s">
        <v>172</v>
      </c>
      <c r="M22" s="145" t="s">
        <v>172</v>
      </c>
      <c r="N22" s="143">
        <f>N21</f>
        <v>20.6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40.54</v>
      </c>
      <c r="C23" s="144" t="s">
        <v>172</v>
      </c>
      <c r="D23" s="145" t="s">
        <v>172</v>
      </c>
      <c r="E23" s="143">
        <v>43.09</v>
      </c>
      <c r="F23" s="144" t="s">
        <v>172</v>
      </c>
      <c r="G23" s="145" t="s">
        <v>172</v>
      </c>
      <c r="H23" s="143">
        <v>48.45</v>
      </c>
      <c r="I23" s="144" t="s">
        <v>172</v>
      </c>
      <c r="J23" s="145" t="s">
        <v>172</v>
      </c>
      <c r="K23" s="143">
        <v>43.81</v>
      </c>
      <c r="L23" s="144" t="s">
        <v>172</v>
      </c>
      <c r="M23" s="145" t="s">
        <v>172</v>
      </c>
      <c r="N23" s="143">
        <v>17.760000000000002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33.97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13.19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1.2889999999999999</v>
      </c>
      <c r="F25" s="144" t="s">
        <v>172</v>
      </c>
      <c r="G25" s="145" t="s">
        <v>172</v>
      </c>
      <c r="H25" s="153">
        <v>1.3440000000000001</v>
      </c>
      <c r="I25" s="144" t="s">
        <v>172</v>
      </c>
      <c r="J25" s="145" t="s">
        <v>172</v>
      </c>
      <c r="K25" s="153">
        <v>1.1990000000000001</v>
      </c>
      <c r="L25" s="144" t="s">
        <v>172</v>
      </c>
      <c r="M25" s="145" t="s">
        <v>172</v>
      </c>
      <c r="N25" s="153">
        <v>0.53500000000000003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1.296</v>
      </c>
      <c r="F26" s="144" t="s">
        <v>172</v>
      </c>
      <c r="G26" s="145" t="s">
        <v>172</v>
      </c>
      <c r="H26" s="153">
        <v>1.36</v>
      </c>
      <c r="I26" s="144" t="s">
        <v>172</v>
      </c>
      <c r="J26" s="145" t="s">
        <v>172</v>
      </c>
      <c r="K26" s="153">
        <v>1.216</v>
      </c>
      <c r="L26" s="144" t="s">
        <v>172</v>
      </c>
      <c r="M26" s="145" t="s">
        <v>172</v>
      </c>
      <c r="N26" s="153">
        <v>0.59399999999999997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5.05</v>
      </c>
      <c r="F27" s="158" t="s">
        <v>172</v>
      </c>
      <c r="G27" s="159" t="s">
        <v>172</v>
      </c>
      <c r="H27" s="160">
        <v>5.28</v>
      </c>
      <c r="I27" s="158" t="s">
        <v>172</v>
      </c>
      <c r="J27" s="159" t="s">
        <v>172</v>
      </c>
      <c r="K27" s="160">
        <v>5.01</v>
      </c>
      <c r="L27" s="158" t="s">
        <v>172</v>
      </c>
      <c r="M27" s="159" t="s">
        <v>172</v>
      </c>
      <c r="N27" s="160">
        <v>2.0699999999999998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7.5913000000000004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2.0007000000000001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2.3168000000000002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5.4257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3.1911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43276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0.64626020740443868</v>
      </c>
      <c r="C6" s="103" t="s">
        <v>172</v>
      </c>
      <c r="D6" s="104" t="s">
        <v>172</v>
      </c>
      <c r="E6" s="102">
        <f>E19/$B$32</f>
        <v>0.68633835980161317</v>
      </c>
      <c r="F6" s="103" t="s">
        <v>172</v>
      </c>
      <c r="G6" s="104" t="s">
        <v>172</v>
      </c>
      <c r="H6" s="102">
        <f>H19/$B$32</f>
        <v>0.79154350984419619</v>
      </c>
      <c r="I6" s="103" t="s">
        <v>172</v>
      </c>
      <c r="J6" s="104" t="s">
        <v>172</v>
      </c>
      <c r="K6" s="102">
        <f>K19/$B$32</f>
        <v>0.68633835980161317</v>
      </c>
      <c r="L6" s="103" t="s">
        <v>172</v>
      </c>
      <c r="M6" s="104" t="s">
        <v>172</v>
      </c>
      <c r="N6" s="102">
        <f>N19/$B$32</f>
        <v>0.37573267872351085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0.67267214067431491</v>
      </c>
      <c r="C7" s="107">
        <f>B7-B$6</f>
        <v>2.6411933269876231E-2</v>
      </c>
      <c r="D7" s="108">
        <f>B7/B$6*100</f>
        <v>104.08688837209301</v>
      </c>
      <c r="E7" s="102">
        <f t="shared" ref="E7:E10" si="0">E20*$B$35/100/$B$32</f>
        <v>0.72330848153900107</v>
      </c>
      <c r="F7" s="107">
        <f>E7-E$6</f>
        <v>3.6970121737387895E-2</v>
      </c>
      <c r="G7" s="108">
        <f>E7/E$6*100</f>
        <v>105.38657372262774</v>
      </c>
      <c r="H7" s="102">
        <f t="shared" ref="H7:H10" si="1">H20*$B$35/100/$B$32</f>
        <v>0.80654196683532886</v>
      </c>
      <c r="I7" s="107">
        <f t="shared" ref="I7:I14" si="2">H7-H$6</f>
        <v>1.4998456991132669E-2</v>
      </c>
      <c r="J7" s="108">
        <f t="shared" ref="J7:J14" si="3">H7/H$6*100</f>
        <v>101.89483670886075</v>
      </c>
      <c r="K7" s="102">
        <f t="shared" ref="K7:K10" si="4">K20*$B$35/100/$B$32</f>
        <v>0.70226275236711577</v>
      </c>
      <c r="L7" s="107">
        <f t="shared" ref="L7:L14" si="5">K7-K$6</f>
        <v>1.5924392565502599E-2</v>
      </c>
      <c r="M7" s="108">
        <f t="shared" ref="M7:M14" si="6">K7/K$6*100</f>
        <v>102.32019562043793</v>
      </c>
      <c r="N7" s="102">
        <f t="shared" ref="N7:N10" si="7">N20*$B$35/100/$B$32</f>
        <v>0.33673166675016281</v>
      </c>
      <c r="O7" s="107">
        <f t="shared" ref="O7:O14" si="8">N7-N$6</f>
        <v>-3.9001011973348043E-2</v>
      </c>
      <c r="P7" s="108">
        <f t="shared" ref="P7:P14" si="9">N7/N$6*100</f>
        <v>89.620010666666658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0.67393804919593203</v>
      </c>
      <c r="C8" s="107">
        <f t="shared" ref="C8:C11" si="11">B8-B$6</f>
        <v>2.7677841791493352E-2</v>
      </c>
      <c r="D8" s="108">
        <f t="shared" ref="D8:D11" si="12">B8/B$6*100</f>
        <v>104.28277054263563</v>
      </c>
      <c r="E8" s="102">
        <f t="shared" si="0"/>
        <v>0.72140961875657528</v>
      </c>
      <c r="F8" s="107">
        <f t="shared" ref="F8:F14" si="13">E8-E$6</f>
        <v>3.5071258954962103E-2</v>
      </c>
      <c r="G8" s="108">
        <f t="shared" ref="G8:G14" si="14">E8/E$6*100</f>
        <v>105.10990802919706</v>
      </c>
      <c r="H8" s="102">
        <f t="shared" si="1"/>
        <v>0.80654196683532886</v>
      </c>
      <c r="I8" s="107">
        <f t="shared" si="2"/>
        <v>1.4998456991132669E-2</v>
      </c>
      <c r="J8" s="108">
        <f t="shared" si="3"/>
        <v>101.89483670886075</v>
      </c>
      <c r="K8" s="102">
        <f t="shared" si="4"/>
        <v>0.67267214067431491</v>
      </c>
      <c r="L8" s="107">
        <f t="shared" si="5"/>
        <v>-1.3666219127298262E-2</v>
      </c>
      <c r="M8" s="108">
        <f t="shared" si="6"/>
        <v>98.008821897810222</v>
      </c>
      <c r="N8" s="102">
        <f t="shared" si="7"/>
        <v>0.32881973849005558</v>
      </c>
      <c r="O8" s="107">
        <f t="shared" si="8"/>
        <v>-4.6912940233455269E-2</v>
      </c>
      <c r="P8" s="108">
        <f t="shared" si="9"/>
        <v>87.514277333333325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0.6479869245027805</v>
      </c>
      <c r="C9" s="107">
        <f t="shared" si="11"/>
        <v>1.7267170983418234E-3</v>
      </c>
      <c r="D9" s="108">
        <f t="shared" si="12"/>
        <v>100.26718604651164</v>
      </c>
      <c r="E9" s="102">
        <f t="shared" si="0"/>
        <v>0.69830678823706216</v>
      </c>
      <c r="F9" s="107">
        <f t="shared" si="13"/>
        <v>1.1968428435448986E-2</v>
      </c>
      <c r="G9" s="108">
        <f t="shared" si="14"/>
        <v>101.74380875912408</v>
      </c>
      <c r="H9" s="102">
        <f t="shared" si="1"/>
        <v>0.75321557036220621</v>
      </c>
      <c r="I9" s="107">
        <f t="shared" si="2"/>
        <v>-3.8327939481989981E-2</v>
      </c>
      <c r="J9" s="108">
        <f t="shared" si="3"/>
        <v>95.157822784810108</v>
      </c>
      <c r="K9" s="102">
        <f t="shared" si="4"/>
        <v>0.68802128149892283</v>
      </c>
      <c r="L9" s="107">
        <f t="shared" si="5"/>
        <v>1.6829216973096583E-3</v>
      </c>
      <c r="M9" s="108">
        <f t="shared" si="6"/>
        <v>100.24520291970802</v>
      </c>
      <c r="N9" s="102">
        <f t="shared" si="7"/>
        <v>0.32881973849005558</v>
      </c>
      <c r="O9" s="107">
        <f t="shared" si="8"/>
        <v>-4.6912940233455269E-2</v>
      </c>
      <c r="P9" s="108">
        <f t="shared" si="9"/>
        <v>87.514277333333325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0.64197385902509885</v>
      </c>
      <c r="C10" s="107">
        <f t="shared" si="11"/>
        <v>-4.2863483793398327E-3</v>
      </c>
      <c r="D10" s="108">
        <f t="shared" si="12"/>
        <v>99.336745736434082</v>
      </c>
      <c r="E10" s="102">
        <f t="shared" si="0"/>
        <v>0.69435082410700866</v>
      </c>
      <c r="F10" s="107">
        <f t="shared" si="13"/>
        <v>8.0124643053954836E-3</v>
      </c>
      <c r="G10" s="108">
        <f t="shared" si="14"/>
        <v>101.1674218978102</v>
      </c>
      <c r="H10" s="102">
        <f t="shared" si="1"/>
        <v>0.75321557036220621</v>
      </c>
      <c r="I10" s="107">
        <f t="shared" si="2"/>
        <v>-3.8327939481989981E-2</v>
      </c>
      <c r="J10" s="108">
        <f t="shared" si="3"/>
        <v>95.157822784810108</v>
      </c>
      <c r="K10" s="102">
        <f t="shared" si="4"/>
        <v>0.69403434697660438</v>
      </c>
      <c r="L10" s="107">
        <f t="shared" si="5"/>
        <v>7.6959871749912034E-3</v>
      </c>
      <c r="M10" s="108">
        <f t="shared" si="6"/>
        <v>101.1213109489051</v>
      </c>
      <c r="N10" s="102">
        <f t="shared" si="7"/>
        <v>0.28593708732027456</v>
      </c>
      <c r="O10" s="107">
        <f t="shared" si="8"/>
        <v>-8.9795591403236286E-2</v>
      </c>
      <c r="P10" s="108">
        <f t="shared" si="9"/>
        <v>76.10120266666668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1.0939529582686238</v>
      </c>
      <c r="C11" s="107">
        <f t="shared" si="11"/>
        <v>0.44769275086418514</v>
      </c>
      <c r="D11" s="108">
        <f t="shared" si="12"/>
        <v>169.27437984496123</v>
      </c>
      <c r="E11" s="102">
        <f>E24*$B$31/100/$B$32</f>
        <v>1.1320697860828615</v>
      </c>
      <c r="F11" s="107">
        <f t="shared" si="13"/>
        <v>0.44573142628124829</v>
      </c>
      <c r="G11" s="108">
        <f t="shared" si="14"/>
        <v>164.94339416058392</v>
      </c>
      <c r="H11" s="102">
        <f>H24*$B$31/100/$B$32</f>
        <v>1.27767606833325</v>
      </c>
      <c r="I11" s="107">
        <f t="shared" si="2"/>
        <v>0.48613255848905379</v>
      </c>
      <c r="J11" s="108">
        <f t="shared" si="3"/>
        <v>161.41577215189875</v>
      </c>
      <c r="K11" s="102">
        <f>K24*$B$31/100/$B$32</f>
        <v>0.97540962376634432</v>
      </c>
      <c r="L11" s="107">
        <f t="shared" si="5"/>
        <v>0.28907126396473115</v>
      </c>
      <c r="M11" s="108">
        <f t="shared" si="6"/>
        <v>142.11789416058394</v>
      </c>
      <c r="N11" s="102">
        <f>N24*$B$31/100/$B$32</f>
        <v>0.50199862231351133</v>
      </c>
      <c r="O11" s="107">
        <f t="shared" si="8"/>
        <v>0.12626594359000048</v>
      </c>
      <c r="P11" s="108">
        <f t="shared" si="9"/>
        <v>133.60525999999999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1.496008466509694</v>
      </c>
      <c r="F12" s="107">
        <f t="shared" si="13"/>
        <v>0.80967010670808082</v>
      </c>
      <c r="G12" s="108">
        <f t="shared" si="14"/>
        <v>217.96952554744524</v>
      </c>
      <c r="H12" s="102">
        <f t="shared" ref="H12:H13" si="15">H25*$B$33/$B$32</f>
        <v>1.5601397725564854</v>
      </c>
      <c r="I12" s="107">
        <f t="shared" si="2"/>
        <v>0.7685962627122892</v>
      </c>
      <c r="J12" s="108">
        <f t="shared" si="3"/>
        <v>197.10094936708865</v>
      </c>
      <c r="K12" s="102">
        <f t="shared" ref="K12:K13" si="16">K25*$B$33/$B$32</f>
        <v>1.3933983768348279</v>
      </c>
      <c r="L12" s="107">
        <f t="shared" si="5"/>
        <v>0.70706001703321475</v>
      </c>
      <c r="M12" s="108">
        <f t="shared" si="6"/>
        <v>203.01916058394158</v>
      </c>
      <c r="N12" s="102">
        <f t="shared" ref="N12:N13" si="17">N25*$B$33/$B$32</f>
        <v>0.61682656179550122</v>
      </c>
      <c r="O12" s="107">
        <f t="shared" si="8"/>
        <v>0.24109388307199037</v>
      </c>
      <c r="P12" s="108">
        <f t="shared" si="9"/>
        <v>164.16633333333331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1.5100007514653575</v>
      </c>
      <c r="F13" s="107">
        <f t="shared" si="13"/>
        <v>0.82366239166374433</v>
      </c>
      <c r="G13" s="108">
        <f t="shared" si="14"/>
        <v>220.00821167883214</v>
      </c>
      <c r="H13" s="102">
        <f t="shared" si="15"/>
        <v>1.5857922949752019</v>
      </c>
      <c r="I13" s="107">
        <f t="shared" si="2"/>
        <v>0.79424878513100572</v>
      </c>
      <c r="J13" s="108">
        <f t="shared" si="3"/>
        <v>200.34177215189874</v>
      </c>
      <c r="K13" s="102">
        <f t="shared" si="16"/>
        <v>1.4143868042683234</v>
      </c>
      <c r="L13" s="107">
        <f t="shared" si="5"/>
        <v>0.72804844446671024</v>
      </c>
      <c r="M13" s="108">
        <f t="shared" si="6"/>
        <v>206.0771897810219</v>
      </c>
      <c r="N13" s="102">
        <f t="shared" si="17"/>
        <v>0.68795401032012415</v>
      </c>
      <c r="O13" s="107">
        <f t="shared" si="8"/>
        <v>0.31222133159661331</v>
      </c>
      <c r="P13" s="108">
        <f t="shared" si="9"/>
        <v>183.09666666666664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1.3464575422073042</v>
      </c>
      <c r="F14" s="119">
        <f t="shared" si="13"/>
        <v>0.66011918240569101</v>
      </c>
      <c r="G14" s="120">
        <f t="shared" si="14"/>
        <v>196.17984671532844</v>
      </c>
      <c r="H14" s="118">
        <f>H27*$B$34/10/$B$32</f>
        <v>1.4193119583187215</v>
      </c>
      <c r="I14" s="119">
        <f t="shared" si="2"/>
        <v>0.62776844847452529</v>
      </c>
      <c r="J14" s="120">
        <f t="shared" si="3"/>
        <v>179.30940506329114</v>
      </c>
      <c r="K14" s="118">
        <f>K27*$B$34/10/$B$32</f>
        <v>1.3437592304994743</v>
      </c>
      <c r="L14" s="119">
        <f t="shared" si="5"/>
        <v>0.65742087069786115</v>
      </c>
      <c r="M14" s="120">
        <f t="shared" si="6"/>
        <v>195.78670072992705</v>
      </c>
      <c r="N14" s="118">
        <f>N27*$B$34/10/$B$32</f>
        <v>0.55855052352086565</v>
      </c>
      <c r="O14" s="119">
        <f t="shared" si="8"/>
        <v>0.1828178447973548</v>
      </c>
      <c r="P14" s="120">
        <f t="shared" si="9"/>
        <v>148.65636000000001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42.51</v>
      </c>
      <c r="C20" s="144" t="s">
        <v>172</v>
      </c>
      <c r="D20" s="145" t="s">
        <v>172</v>
      </c>
      <c r="E20" s="143">
        <v>45.71</v>
      </c>
      <c r="F20" s="144" t="s">
        <v>172</v>
      </c>
      <c r="G20" s="145" t="s">
        <v>172</v>
      </c>
      <c r="H20" s="143">
        <v>50.97</v>
      </c>
      <c r="I20" s="144" t="s">
        <v>172</v>
      </c>
      <c r="J20" s="145" t="s">
        <v>172</v>
      </c>
      <c r="K20" s="143">
        <v>44.38</v>
      </c>
      <c r="L20" s="144" t="s">
        <v>172</v>
      </c>
      <c r="M20" s="145" t="s">
        <v>172</v>
      </c>
      <c r="N20" s="143">
        <v>21.28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42.59</v>
      </c>
      <c r="C21" s="144" t="s">
        <v>172</v>
      </c>
      <c r="D21" s="145" t="s">
        <v>172</v>
      </c>
      <c r="E21" s="143">
        <v>45.59</v>
      </c>
      <c r="F21" s="144" t="s">
        <v>172</v>
      </c>
      <c r="G21" s="145" t="s">
        <v>172</v>
      </c>
      <c r="H21" s="143">
        <f>H20</f>
        <v>50.97</v>
      </c>
      <c r="I21" s="144" t="s">
        <v>172</v>
      </c>
      <c r="J21" s="145" t="s">
        <v>172</v>
      </c>
      <c r="K21" s="143">
        <v>42.51</v>
      </c>
      <c r="L21" s="144" t="s">
        <v>172</v>
      </c>
      <c r="M21" s="145" t="s">
        <v>172</v>
      </c>
      <c r="N21" s="143">
        <v>20.78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40.950000000000003</v>
      </c>
      <c r="C22" s="144" t="s">
        <v>172</v>
      </c>
      <c r="D22" s="145" t="s">
        <v>172</v>
      </c>
      <c r="E22" s="143">
        <v>44.13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43.48</v>
      </c>
      <c r="L22" s="144" t="s">
        <v>172</v>
      </c>
      <c r="M22" s="145" t="s">
        <v>172</v>
      </c>
      <c r="N22" s="143">
        <f>N21</f>
        <v>20.78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40.57</v>
      </c>
      <c r="C23" s="144" t="s">
        <v>172</v>
      </c>
      <c r="D23" s="145" t="s">
        <v>172</v>
      </c>
      <c r="E23" s="143">
        <v>43.88</v>
      </c>
      <c r="F23" s="144" t="s">
        <v>172</v>
      </c>
      <c r="G23" s="145" t="s">
        <v>172</v>
      </c>
      <c r="H23" s="143">
        <f>H22</f>
        <v>47.6</v>
      </c>
      <c r="I23" s="144" t="s">
        <v>172</v>
      </c>
      <c r="J23" s="145" t="s">
        <v>172</v>
      </c>
      <c r="K23" s="143">
        <v>43.86</v>
      </c>
      <c r="L23" s="144" t="s">
        <v>172</v>
      </c>
      <c r="M23" s="145" t="s">
        <v>172</v>
      </c>
      <c r="N23" s="143">
        <v>18.07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13.17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1.2829999999999999</v>
      </c>
      <c r="F25" s="144" t="s">
        <v>172</v>
      </c>
      <c r="G25" s="145" t="s">
        <v>172</v>
      </c>
      <c r="H25" s="153">
        <v>1.3380000000000001</v>
      </c>
      <c r="I25" s="144" t="s">
        <v>172</v>
      </c>
      <c r="J25" s="145" t="s">
        <v>172</v>
      </c>
      <c r="K25" s="153">
        <v>1.1950000000000001</v>
      </c>
      <c r="L25" s="144" t="s">
        <v>172</v>
      </c>
      <c r="M25" s="145" t="s">
        <v>172</v>
      </c>
      <c r="N25" s="153">
        <v>0.52900000000000003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1.2949999999999999</v>
      </c>
      <c r="F26" s="144" t="s">
        <v>172</v>
      </c>
      <c r="G26" s="145" t="s">
        <v>172</v>
      </c>
      <c r="H26" s="153">
        <v>1.36</v>
      </c>
      <c r="I26" s="144" t="s">
        <v>172</v>
      </c>
      <c r="J26" s="145" t="s">
        <v>172</v>
      </c>
      <c r="K26" s="153">
        <v>1.2130000000000001</v>
      </c>
      <c r="L26" s="144" t="s">
        <v>172</v>
      </c>
      <c r="M26" s="145" t="s">
        <v>172</v>
      </c>
      <c r="N26" s="153">
        <v>0.59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4.99</v>
      </c>
      <c r="F27" s="158" t="s">
        <v>172</v>
      </c>
      <c r="G27" s="159" t="s">
        <v>172</v>
      </c>
      <c r="H27" s="160">
        <v>5.26</v>
      </c>
      <c r="I27" s="158" t="s">
        <v>172</v>
      </c>
      <c r="J27" s="159" t="s">
        <v>172</v>
      </c>
      <c r="K27" s="160">
        <v>4.9800000000000004</v>
      </c>
      <c r="L27" s="158" t="s">
        <v>172</v>
      </c>
      <c r="M27" s="159" t="s">
        <v>172</v>
      </c>
      <c r="N27" s="160">
        <v>2.0699999999999998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7.6085000000000003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1.9961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2.3275000000000001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5.3860999999999999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3.1585999999999999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43285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0.64830636244848727</v>
      </c>
      <c r="C6" s="103" t="s">
        <v>172</v>
      </c>
      <c r="D6" s="104" t="s">
        <v>172</v>
      </c>
      <c r="E6" s="102">
        <f>E19/$B$32</f>
        <v>0.68851140818172685</v>
      </c>
      <c r="F6" s="103" t="s">
        <v>172</v>
      </c>
      <c r="G6" s="104" t="s">
        <v>172</v>
      </c>
      <c r="H6" s="102">
        <f>H19/$B$32</f>
        <v>0.79404965323148058</v>
      </c>
      <c r="I6" s="103" t="s">
        <v>172</v>
      </c>
      <c r="J6" s="104" t="s">
        <v>172</v>
      </c>
      <c r="K6" s="102">
        <f>K19/$B$32</f>
        <v>0.68851140818172685</v>
      </c>
      <c r="L6" s="103" t="s">
        <v>172</v>
      </c>
      <c r="M6" s="104" t="s">
        <v>172</v>
      </c>
      <c r="N6" s="102">
        <f>N19/$B$32</f>
        <v>0.3769223037491205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0.67001469996984619</v>
      </c>
      <c r="C7" s="107">
        <f>B7-B$6</f>
        <v>2.1708337521358922E-2</v>
      </c>
      <c r="D7" s="108">
        <f>B7/B$6*100</f>
        <v>103.34846899224806</v>
      </c>
      <c r="E7" s="102">
        <f t="shared" ref="E7:E10" si="0">E20*$B$35/100/$B$32</f>
        <v>0.72020605085938283</v>
      </c>
      <c r="F7" s="107">
        <f>E7-E$6</f>
        <v>3.1694642677655982E-2</v>
      </c>
      <c r="G7" s="108">
        <f>E7/E$6*100</f>
        <v>104.60335766423357</v>
      </c>
      <c r="H7" s="102">
        <f t="shared" ref="H7:H10" si="1">H20*$B$35/100/$B$32</f>
        <v>0.81915471404161222</v>
      </c>
      <c r="I7" s="107">
        <f t="shared" ref="I7:I14" si="2">H7-H$6</f>
        <v>2.5105060810131641E-2</v>
      </c>
      <c r="J7" s="108">
        <f t="shared" ref="J7:J14" si="3">H7/H$6*100</f>
        <v>103.16164873417722</v>
      </c>
      <c r="K7" s="102">
        <f t="shared" ref="K7:K10" si="4">K20*$B$35/100/$B$32</f>
        <v>0.701244873856669</v>
      </c>
      <c r="L7" s="107">
        <f t="shared" ref="L7:L14" si="5">K7-K$6</f>
        <v>1.2733465674942157E-2</v>
      </c>
      <c r="M7" s="108">
        <f t="shared" ref="M7:M14" si="6">K7/K$6*100</f>
        <v>101.84941970802919</v>
      </c>
      <c r="N7" s="102">
        <f t="shared" ref="N7:N10" si="7">N20*$B$35/100/$B$32</f>
        <v>0.33907045934264757</v>
      </c>
      <c r="O7" s="107">
        <f t="shared" ref="O7:O14" si="8">N7-N$6</f>
        <v>-3.7851844406472934E-2</v>
      </c>
      <c r="P7" s="108">
        <f t="shared" ref="P7:P14" si="9">N7/N$6*100</f>
        <v>89.957653333333354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0.66061378027942519</v>
      </c>
      <c r="C8" s="107">
        <f t="shared" ref="C8:C11" si="11">B8-B$6</f>
        <v>1.2307417830937917E-2</v>
      </c>
      <c r="D8" s="108">
        <f t="shared" ref="D8:D11" si="12">B8/B$6*100</f>
        <v>101.89839534883723</v>
      </c>
      <c r="E8" s="102">
        <f t="shared" si="0"/>
        <v>0.7072997034877877</v>
      </c>
      <c r="F8" s="107">
        <f t="shared" ref="F8:F14" si="13">E8-E$6</f>
        <v>1.8788295306060854E-2</v>
      </c>
      <c r="G8" s="108">
        <f t="shared" ref="G8:G14" si="14">E8/E$6*100</f>
        <v>102.72882846715328</v>
      </c>
      <c r="H8" s="102">
        <f t="shared" si="1"/>
        <v>0.77278746607699256</v>
      </c>
      <c r="I8" s="107">
        <f t="shared" si="2"/>
        <v>-2.1262187154488021E-2</v>
      </c>
      <c r="J8" s="108">
        <f t="shared" si="3"/>
        <v>97.322310126582252</v>
      </c>
      <c r="K8" s="102">
        <f t="shared" si="4"/>
        <v>0.70411295105035687</v>
      </c>
      <c r="L8" s="107">
        <f t="shared" si="5"/>
        <v>1.5601542868630025E-2</v>
      </c>
      <c r="M8" s="108">
        <f t="shared" si="6"/>
        <v>102.26598175182482</v>
      </c>
      <c r="N8" s="102">
        <f t="shared" si="7"/>
        <v>0.33110357824907027</v>
      </c>
      <c r="O8" s="107">
        <f t="shared" si="8"/>
        <v>-4.5818725500050228E-2</v>
      </c>
      <c r="P8" s="108">
        <f t="shared" si="9"/>
        <v>87.84398666666668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0.6602951050356819</v>
      </c>
      <c r="C9" s="107">
        <f t="shared" si="11"/>
        <v>1.1988742587194623E-2</v>
      </c>
      <c r="D9" s="108">
        <f t="shared" si="12"/>
        <v>101.84924031007752</v>
      </c>
      <c r="E9" s="102">
        <f t="shared" si="0"/>
        <v>0.70347560056287073</v>
      </c>
      <c r="F9" s="107">
        <f t="shared" si="13"/>
        <v>1.4964192381143882E-2</v>
      </c>
      <c r="G9" s="108">
        <f t="shared" si="14"/>
        <v>102.17341240875912</v>
      </c>
      <c r="H9" s="102">
        <f t="shared" si="1"/>
        <v>0.75844708010855377</v>
      </c>
      <c r="I9" s="107">
        <f t="shared" si="2"/>
        <v>-3.5602573122926806E-2</v>
      </c>
      <c r="J9" s="108">
        <f t="shared" si="3"/>
        <v>95.516329113924073</v>
      </c>
      <c r="K9" s="102">
        <f t="shared" si="4"/>
        <v>0.69758010855362351</v>
      </c>
      <c r="L9" s="107">
        <f t="shared" si="5"/>
        <v>9.0687003718966652E-3</v>
      </c>
      <c r="M9" s="108">
        <f t="shared" si="6"/>
        <v>101.31714598540147</v>
      </c>
      <c r="N9" s="102">
        <f t="shared" si="7"/>
        <v>0.33110357824907027</v>
      </c>
      <c r="O9" s="107">
        <f t="shared" si="8"/>
        <v>-4.5818725500050228E-2</v>
      </c>
      <c r="P9" s="108">
        <f t="shared" si="9"/>
        <v>87.84398666666668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0.64324597949542661</v>
      </c>
      <c r="C10" s="107">
        <f t="shared" si="11"/>
        <v>-5.0603829530606603E-3</v>
      </c>
      <c r="D10" s="108">
        <f t="shared" si="12"/>
        <v>99.219445736434096</v>
      </c>
      <c r="E10" s="102">
        <f t="shared" si="0"/>
        <v>0.68292104734144132</v>
      </c>
      <c r="F10" s="107">
        <f t="shared" si="13"/>
        <v>-5.5903608402855243E-3</v>
      </c>
      <c r="G10" s="108">
        <f t="shared" si="14"/>
        <v>99.188051094890511</v>
      </c>
      <c r="H10" s="102">
        <f t="shared" si="1"/>
        <v>0.79509473313900902</v>
      </c>
      <c r="I10" s="107">
        <f t="shared" si="2"/>
        <v>1.0450799075284456E-3</v>
      </c>
      <c r="J10" s="108">
        <f t="shared" si="3"/>
        <v>100.13161392405064</v>
      </c>
      <c r="K10" s="102">
        <f t="shared" si="4"/>
        <v>0.69646474520052271</v>
      </c>
      <c r="L10" s="107">
        <f t="shared" si="5"/>
        <v>7.9533370187958585E-3</v>
      </c>
      <c r="M10" s="108">
        <f t="shared" si="6"/>
        <v>101.15514963503649</v>
      </c>
      <c r="N10" s="102">
        <f t="shared" si="7"/>
        <v>0.28792308272188166</v>
      </c>
      <c r="O10" s="107">
        <f t="shared" si="8"/>
        <v>-8.899922102723884E-2</v>
      </c>
      <c r="P10" s="108">
        <f t="shared" si="9"/>
        <v>76.387913333333358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1.0908394310986027</v>
      </c>
      <c r="C11" s="107">
        <f t="shared" si="11"/>
        <v>0.44253306865011544</v>
      </c>
      <c r="D11" s="108">
        <f t="shared" si="12"/>
        <v>168.25986821705422</v>
      </c>
      <c r="E11" s="102">
        <f>E24*$B$31/100/$B$32</f>
        <v>1.1288477736455924</v>
      </c>
      <c r="F11" s="107">
        <f t="shared" si="13"/>
        <v>0.44033636546386556</v>
      </c>
      <c r="G11" s="108">
        <f t="shared" si="14"/>
        <v>163.95483941605838</v>
      </c>
      <c r="H11" s="102">
        <f>H24*$B$31/100/$B$32</f>
        <v>1.274039642175093</v>
      </c>
      <c r="I11" s="107">
        <f t="shared" si="2"/>
        <v>0.47998998894361244</v>
      </c>
      <c r="J11" s="108">
        <f t="shared" si="3"/>
        <v>160.44835949367089</v>
      </c>
      <c r="K11" s="102">
        <f>K24*$B$31/100/$B$32</f>
        <v>0.972633485777465</v>
      </c>
      <c r="L11" s="107">
        <f t="shared" si="5"/>
        <v>0.28412207759573815</v>
      </c>
      <c r="M11" s="108">
        <f t="shared" si="6"/>
        <v>141.26613941605837</v>
      </c>
      <c r="N11" s="102">
        <f>N24*$B$31/100/$B$32</f>
        <v>0.48346611719770832</v>
      </c>
      <c r="O11" s="107">
        <f t="shared" si="8"/>
        <v>0.10654381344858782</v>
      </c>
      <c r="P11" s="108">
        <f t="shared" si="9"/>
        <v>128.266784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1.4921693637551512</v>
      </c>
      <c r="F12" s="107">
        <f t="shared" si="13"/>
        <v>0.80365795557342434</v>
      </c>
      <c r="G12" s="108">
        <f t="shared" si="14"/>
        <v>216.72398540145986</v>
      </c>
      <c r="H12" s="102">
        <f t="shared" ref="H12:H13" si="15">H25*$B$33/$B$32</f>
        <v>1.5561360940798072</v>
      </c>
      <c r="I12" s="107">
        <f t="shared" si="2"/>
        <v>0.76208644084832666</v>
      </c>
      <c r="J12" s="108">
        <f t="shared" si="3"/>
        <v>195.97465822784812</v>
      </c>
      <c r="K12" s="102">
        <f t="shared" ref="K12:K13" si="16">K25*$B$33/$B$32</f>
        <v>1.3886595637752539</v>
      </c>
      <c r="L12" s="107">
        <f t="shared" si="5"/>
        <v>0.70014815559352706</v>
      </c>
      <c r="M12" s="108">
        <f t="shared" si="6"/>
        <v>201.69013138686131</v>
      </c>
      <c r="N12" s="102">
        <f t="shared" ref="N12:N13" si="17">N25*$B$33/$B$32</f>
        <v>0.63850427178610925</v>
      </c>
      <c r="O12" s="107">
        <f t="shared" si="8"/>
        <v>0.26158196803698874</v>
      </c>
      <c r="P12" s="108">
        <f t="shared" si="9"/>
        <v>169.39944000000003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1.3595837772640467</v>
      </c>
      <c r="F13" s="107">
        <f t="shared" si="13"/>
        <v>0.67107236908231982</v>
      </c>
      <c r="G13" s="108">
        <f t="shared" si="14"/>
        <v>197.46713868613136</v>
      </c>
      <c r="H13" s="102">
        <f t="shared" si="15"/>
        <v>1.4503002311790132</v>
      </c>
      <c r="I13" s="107">
        <f t="shared" si="2"/>
        <v>0.65625057794753261</v>
      </c>
      <c r="J13" s="108">
        <f t="shared" si="3"/>
        <v>182.64603797468357</v>
      </c>
      <c r="K13" s="102">
        <f t="shared" si="16"/>
        <v>1.2549109458237007</v>
      </c>
      <c r="L13" s="107">
        <f t="shared" si="5"/>
        <v>0.56639953764197382</v>
      </c>
      <c r="M13" s="108">
        <f t="shared" si="6"/>
        <v>182.2643649635036</v>
      </c>
      <c r="N13" s="102">
        <f t="shared" si="17"/>
        <v>0.6315260830234195</v>
      </c>
      <c r="O13" s="107">
        <f t="shared" si="8"/>
        <v>0.254603779274299</v>
      </c>
      <c r="P13" s="108">
        <f t="shared" si="9"/>
        <v>167.54808000000003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1.3339280329681376</v>
      </c>
      <c r="F14" s="119">
        <f t="shared" si="13"/>
        <v>0.64541662478641071</v>
      </c>
      <c r="G14" s="120">
        <f t="shared" si="14"/>
        <v>193.74087591240877</v>
      </c>
      <c r="H14" s="118">
        <f>H27*$B$34/10/$B$32</f>
        <v>1.416631571012162</v>
      </c>
      <c r="I14" s="119">
        <f t="shared" si="2"/>
        <v>0.62258191778068139</v>
      </c>
      <c r="J14" s="120">
        <f t="shared" si="3"/>
        <v>178.40591772151896</v>
      </c>
      <c r="K14" s="118">
        <f>K27*$B$34/10/$B$32</f>
        <v>1.3259244647703288</v>
      </c>
      <c r="L14" s="119">
        <f t="shared" si="5"/>
        <v>0.63741305658860192</v>
      </c>
      <c r="M14" s="120">
        <f t="shared" si="6"/>
        <v>192.57843065693433</v>
      </c>
      <c r="N14" s="118">
        <f>N27*$B$34/10/$B$32</f>
        <v>0.55758191778068145</v>
      </c>
      <c r="O14" s="119">
        <f t="shared" si="8"/>
        <v>0.18065961403156094</v>
      </c>
      <c r="P14" s="120">
        <f t="shared" si="9"/>
        <v>147.93019999999999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42.05</v>
      </c>
      <c r="C20" s="144" t="s">
        <v>172</v>
      </c>
      <c r="D20" s="145" t="s">
        <v>172</v>
      </c>
      <c r="E20" s="143">
        <v>45.2</v>
      </c>
      <c r="F20" s="144" t="s">
        <v>172</v>
      </c>
      <c r="G20" s="145" t="s">
        <v>172</v>
      </c>
      <c r="H20" s="143">
        <v>51.41</v>
      </c>
      <c r="I20" s="144" t="s">
        <v>172</v>
      </c>
      <c r="J20" s="145" t="s">
        <v>172</v>
      </c>
      <c r="K20" s="143">
        <v>44.01</v>
      </c>
      <c r="L20" s="144" t="s">
        <v>172</v>
      </c>
      <c r="M20" s="145" t="s">
        <v>172</v>
      </c>
      <c r="N20" s="143">
        <v>21.28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41.46</v>
      </c>
      <c r="C21" s="144" t="s">
        <v>172</v>
      </c>
      <c r="D21" s="145" t="s">
        <v>172</v>
      </c>
      <c r="E21" s="143">
        <v>44.39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44.19</v>
      </c>
      <c r="L21" s="144" t="s">
        <v>172</v>
      </c>
      <c r="M21" s="145" t="s">
        <v>172</v>
      </c>
      <c r="N21" s="143">
        <v>20.78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41.44</v>
      </c>
      <c r="C22" s="144" t="s">
        <v>172</v>
      </c>
      <c r="D22" s="145" t="s">
        <v>172</v>
      </c>
      <c r="E22" s="143">
        <v>44.15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43.78</v>
      </c>
      <c r="L22" s="144" t="s">
        <v>172</v>
      </c>
      <c r="M22" s="145" t="s">
        <v>172</v>
      </c>
      <c r="N22" s="143">
        <f>N21</f>
        <v>20.78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40.369999999999997</v>
      </c>
      <c r="C23" s="144" t="s">
        <v>172</v>
      </c>
      <c r="D23" s="145" t="s">
        <v>172</v>
      </c>
      <c r="E23" s="143">
        <v>42.86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43.71</v>
      </c>
      <c r="L23" s="144" t="s">
        <v>172</v>
      </c>
      <c r="M23" s="145" t="s">
        <v>172</v>
      </c>
      <c r="N23" s="143">
        <v>18.07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12.72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1.2829999999999999</v>
      </c>
      <c r="F25" s="144" t="s">
        <v>172</v>
      </c>
      <c r="G25" s="145" t="s">
        <v>172</v>
      </c>
      <c r="H25" s="153">
        <v>1.3380000000000001</v>
      </c>
      <c r="I25" s="144" t="s">
        <v>172</v>
      </c>
      <c r="J25" s="145" t="s">
        <v>172</v>
      </c>
      <c r="K25" s="153">
        <v>1.194</v>
      </c>
      <c r="L25" s="144" t="s">
        <v>172</v>
      </c>
      <c r="M25" s="145" t="s">
        <v>172</v>
      </c>
      <c r="N25" s="153">
        <v>0.54900000000000004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1.169</v>
      </c>
      <c r="F26" s="144" t="s">
        <v>172</v>
      </c>
      <c r="G26" s="145" t="s">
        <v>172</v>
      </c>
      <c r="H26" s="153">
        <v>1.2470000000000001</v>
      </c>
      <c r="I26" s="144" t="s">
        <v>172</v>
      </c>
      <c r="J26" s="145" t="s">
        <v>172</v>
      </c>
      <c r="K26" s="153">
        <v>1.079</v>
      </c>
      <c r="L26" s="144" t="s">
        <v>172</v>
      </c>
      <c r="M26" s="145" t="s">
        <v>172</v>
      </c>
      <c r="N26" s="153">
        <v>0.54300000000000004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</v>
      </c>
      <c r="F27" s="158" t="s">
        <v>172</v>
      </c>
      <c r="G27" s="159" t="s">
        <v>172</v>
      </c>
      <c r="H27" s="160">
        <v>5.31</v>
      </c>
      <c r="I27" s="158" t="s">
        <v>172</v>
      </c>
      <c r="J27" s="159" t="s">
        <v>172</v>
      </c>
      <c r="K27" s="160">
        <v>4.97</v>
      </c>
      <c r="L27" s="158" t="s">
        <v>172</v>
      </c>
      <c r="M27" s="159" t="s">
        <v>172</v>
      </c>
      <c r="N27" s="160">
        <v>2.09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7.5629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1.9898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2.3142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5.3085000000000004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3.1705000000000001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43290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0.65144934855065151</v>
      </c>
      <c r="C6" s="103" t="s">
        <v>172</v>
      </c>
      <c r="D6" s="104" t="s">
        <v>172</v>
      </c>
      <c r="E6" s="102">
        <f>E19/$B$32</f>
        <v>0.6918493081506919</v>
      </c>
      <c r="F6" s="103" t="s">
        <v>172</v>
      </c>
      <c r="G6" s="104" t="s">
        <v>172</v>
      </c>
      <c r="H6" s="102">
        <f>H19/$B$32</f>
        <v>0.7978992021007979</v>
      </c>
      <c r="I6" s="103" t="s">
        <v>172</v>
      </c>
      <c r="J6" s="104" t="s">
        <v>172</v>
      </c>
      <c r="K6" s="102">
        <f>K19/$B$32</f>
        <v>0.6918493081506919</v>
      </c>
      <c r="L6" s="103" t="s">
        <v>172</v>
      </c>
      <c r="M6" s="104" t="s">
        <v>172</v>
      </c>
      <c r="N6" s="102">
        <f>N19/$B$32</f>
        <v>0.37874962125037875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0.66769819210180781</v>
      </c>
      <c r="C7" s="107">
        <f>B7-B$6</f>
        <v>1.62488435511563E-2</v>
      </c>
      <c r="D7" s="108">
        <f>B7/B$6*100</f>
        <v>102.49426046511626</v>
      </c>
      <c r="E7" s="102">
        <f t="shared" ref="E7:E10" si="0">E20*$B$35/100/$B$32</f>
        <v>0.72007290172709826</v>
      </c>
      <c r="F7" s="107">
        <f>E7-E$6</f>
        <v>2.8223593576406358E-2</v>
      </c>
      <c r="G7" s="108">
        <f>E7/E$6*100</f>
        <v>104.0794423357664</v>
      </c>
      <c r="H7" s="102">
        <f t="shared" ref="H7:H10" si="1">H20*$B$35/100/$B$32</f>
        <v>0.80561826078173915</v>
      </c>
      <c r="I7" s="107">
        <f t="shared" ref="I7:I14" si="2">H7-H$6</f>
        <v>7.7190586809412487E-3</v>
      </c>
      <c r="J7" s="108">
        <f t="shared" ref="J7:J14" si="3">H7/H$6*100</f>
        <v>100.96742278481013</v>
      </c>
      <c r="K7" s="102">
        <f t="shared" ref="K7:K10" si="4">K20*$B$35/100/$B$32</f>
        <v>0.69785332794667199</v>
      </c>
      <c r="L7" s="107">
        <f t="shared" ref="L7:L14" si="5">K7-K$6</f>
        <v>6.0040197959800867E-3</v>
      </c>
      <c r="M7" s="108">
        <f t="shared" ref="M7:M14" si="6">K7/K$6*100</f>
        <v>100.8678218978102</v>
      </c>
      <c r="N7" s="102">
        <f t="shared" ref="N7:N10" si="7">N20*$B$35/100/$B$32</f>
        <v>0.34979957580042415</v>
      </c>
      <c r="O7" s="107">
        <f t="shared" ref="O7:O14" si="8">N7-N$6</f>
        <v>-2.8950045449954609E-2</v>
      </c>
      <c r="P7" s="108">
        <f t="shared" ref="P7:P14" si="9">N7/N$6*100</f>
        <v>92.356415999999982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0.6683330370669629</v>
      </c>
      <c r="C8" s="107">
        <f t="shared" ref="C8:C11" si="11">B8-B$6</f>
        <v>1.688368851631139E-2</v>
      </c>
      <c r="D8" s="108">
        <f t="shared" ref="D8:D11" si="12">B8/B$6*100</f>
        <v>102.59171162790696</v>
      </c>
      <c r="E8" s="102">
        <f t="shared" si="0"/>
        <v>0.70912182607817387</v>
      </c>
      <c r="F8" s="107">
        <f t="shared" ref="F8:F14" si="13">E8-E$6</f>
        <v>1.7272517927481967E-2</v>
      </c>
      <c r="G8" s="108">
        <f t="shared" ref="G8:G14" si="14">E8/E$6*100</f>
        <v>102.49657226277371</v>
      </c>
      <c r="H8" s="102">
        <f t="shared" si="1"/>
        <v>0.76308364811635188</v>
      </c>
      <c r="I8" s="107">
        <f t="shared" si="2"/>
        <v>-3.4815553984446024E-2</v>
      </c>
      <c r="J8" s="108">
        <f t="shared" si="3"/>
        <v>95.636597468354438</v>
      </c>
      <c r="K8" s="102">
        <f t="shared" si="4"/>
        <v>0.68356931623068373</v>
      </c>
      <c r="L8" s="107">
        <f t="shared" si="5"/>
        <v>-8.2799919200081673E-3</v>
      </c>
      <c r="M8" s="108">
        <f t="shared" si="6"/>
        <v>98.803208759124075</v>
      </c>
      <c r="N8" s="102">
        <f t="shared" si="7"/>
        <v>0.34329241490758511</v>
      </c>
      <c r="O8" s="107">
        <f t="shared" si="8"/>
        <v>-3.5457206342793646E-2</v>
      </c>
      <c r="P8" s="108">
        <f t="shared" si="9"/>
        <v>90.638351999999998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0.65468387031612973</v>
      </c>
      <c r="C9" s="107">
        <f t="shared" si="11"/>
        <v>3.2345217654782266E-3</v>
      </c>
      <c r="D9" s="108">
        <f t="shared" si="12"/>
        <v>100.49651162790698</v>
      </c>
      <c r="E9" s="102">
        <f t="shared" si="0"/>
        <v>0.69277456822543171</v>
      </c>
      <c r="F9" s="107">
        <f t="shared" si="13"/>
        <v>9.2526007473980876E-4</v>
      </c>
      <c r="G9" s="108">
        <f t="shared" si="14"/>
        <v>100.13373722627736</v>
      </c>
      <c r="H9" s="102">
        <f t="shared" si="1"/>
        <v>0.77752637107362887</v>
      </c>
      <c r="I9" s="107">
        <f t="shared" si="2"/>
        <v>-2.0372831027169025E-2</v>
      </c>
      <c r="J9" s="108">
        <f t="shared" si="3"/>
        <v>97.4466911392405</v>
      </c>
      <c r="K9" s="102">
        <f t="shared" si="4"/>
        <v>0.6972184829815169</v>
      </c>
      <c r="L9" s="107">
        <f t="shared" si="5"/>
        <v>5.3691748308249965E-3</v>
      </c>
      <c r="M9" s="108">
        <f t="shared" si="6"/>
        <v>100.77606131386858</v>
      </c>
      <c r="N9" s="102">
        <f t="shared" si="7"/>
        <v>0.34329241490758511</v>
      </c>
      <c r="O9" s="107">
        <f t="shared" si="8"/>
        <v>-3.5457206342793646E-2</v>
      </c>
      <c r="P9" s="108">
        <f t="shared" si="9"/>
        <v>90.638351999999998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0.64389150590849409</v>
      </c>
      <c r="C10" s="107">
        <f t="shared" si="11"/>
        <v>-7.5578426421574196E-3</v>
      </c>
      <c r="D10" s="108">
        <f t="shared" si="12"/>
        <v>98.8398418604651</v>
      </c>
      <c r="E10" s="102">
        <f t="shared" si="0"/>
        <v>0.68499771740228244</v>
      </c>
      <c r="F10" s="107">
        <f t="shared" si="13"/>
        <v>-6.851590748409464E-3</v>
      </c>
      <c r="G10" s="108">
        <f t="shared" si="14"/>
        <v>99.009670072992677</v>
      </c>
      <c r="H10" s="102">
        <f t="shared" si="1"/>
        <v>0.7803831734168265</v>
      </c>
      <c r="I10" s="107">
        <f t="shared" si="2"/>
        <v>-1.7516028683971396E-2</v>
      </c>
      <c r="J10" s="108">
        <f t="shared" si="3"/>
        <v>97.804731645569603</v>
      </c>
      <c r="K10" s="102">
        <f t="shared" si="4"/>
        <v>0.69610750429249579</v>
      </c>
      <c r="L10" s="107">
        <f t="shared" si="5"/>
        <v>4.2581961418038938E-3</v>
      </c>
      <c r="M10" s="108">
        <f t="shared" si="6"/>
        <v>100.61548029197081</v>
      </c>
      <c r="N10" s="102">
        <f t="shared" si="7"/>
        <v>0.30266233713766288</v>
      </c>
      <c r="O10" s="107">
        <f t="shared" si="8"/>
        <v>-7.6087284112715869E-2</v>
      </c>
      <c r="P10" s="108">
        <f t="shared" si="9"/>
        <v>79.910927999999998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1.0894897990102008</v>
      </c>
      <c r="C11" s="107">
        <f t="shared" si="11"/>
        <v>0.43804045045954931</v>
      </c>
      <c r="D11" s="108">
        <f t="shared" si="12"/>
        <v>167.24090697674413</v>
      </c>
      <c r="E11" s="102">
        <f>E24*$B$31/100/$B$32</f>
        <v>1.127451116048884</v>
      </c>
      <c r="F11" s="107">
        <f t="shared" si="13"/>
        <v>0.43560180789819214</v>
      </c>
      <c r="G11" s="108">
        <f t="shared" si="14"/>
        <v>162.96194890510949</v>
      </c>
      <c r="H11" s="102">
        <f>H24*$B$31/100/$B$32</f>
        <v>1.2724633471366531</v>
      </c>
      <c r="I11" s="107">
        <f t="shared" si="2"/>
        <v>0.4745641450358552</v>
      </c>
      <c r="J11" s="108">
        <f t="shared" si="3"/>
        <v>159.47670379746839</v>
      </c>
      <c r="K11" s="102">
        <f>K24*$B$31/100/$B$32</f>
        <v>0.97143010301989707</v>
      </c>
      <c r="L11" s="107">
        <f t="shared" si="5"/>
        <v>0.27958079486920517</v>
      </c>
      <c r="M11" s="108">
        <f t="shared" si="6"/>
        <v>140.4106489051095</v>
      </c>
      <c r="N11" s="102">
        <f>N24*$B$31/100/$B$32</f>
        <v>0.50070977174022824</v>
      </c>
      <c r="O11" s="107">
        <f t="shared" si="8"/>
        <v>0.12196015048984948</v>
      </c>
      <c r="P11" s="108">
        <f t="shared" si="9"/>
        <v>132.20073199999999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1.5062712857287144</v>
      </c>
      <c r="F12" s="107">
        <f t="shared" si="13"/>
        <v>0.81442197757802248</v>
      </c>
      <c r="G12" s="108">
        <f t="shared" si="14"/>
        <v>217.71667153284673</v>
      </c>
      <c r="H12" s="102">
        <f t="shared" ref="H12:H13" si="15">H25*$B$33/$B$32</f>
        <v>1.5708425411574591</v>
      </c>
      <c r="I12" s="107">
        <f t="shared" si="2"/>
        <v>0.77294333905666124</v>
      </c>
      <c r="J12" s="108">
        <f t="shared" si="3"/>
        <v>196.87230379746839</v>
      </c>
      <c r="K12" s="102">
        <f t="shared" ref="K12:K13" si="16">K25*$B$33/$B$32</f>
        <v>1.4017832542167459</v>
      </c>
      <c r="L12" s="107">
        <f t="shared" si="5"/>
        <v>0.70993394606605398</v>
      </c>
      <c r="M12" s="108">
        <f t="shared" si="6"/>
        <v>202.61395620437958</v>
      </c>
      <c r="N12" s="102">
        <f t="shared" ref="N12:N13" si="17">N25*$B$33/$B$32</f>
        <v>0.64453853146146867</v>
      </c>
      <c r="O12" s="107">
        <f t="shared" si="8"/>
        <v>0.26578891021108991</v>
      </c>
      <c r="P12" s="108">
        <f t="shared" si="9"/>
        <v>170.17536000000004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1.4311338248661754</v>
      </c>
      <c r="F13" s="107">
        <f t="shared" si="13"/>
        <v>0.73928451671548345</v>
      </c>
      <c r="G13" s="108">
        <f t="shared" si="14"/>
        <v>206.85629197080294</v>
      </c>
      <c r="H13" s="102">
        <f t="shared" si="15"/>
        <v>1.5320997879002121</v>
      </c>
      <c r="I13" s="107">
        <f t="shared" si="2"/>
        <v>0.73420058579941416</v>
      </c>
      <c r="J13" s="108">
        <f t="shared" si="3"/>
        <v>192.01670886075951</v>
      </c>
      <c r="K13" s="102">
        <f t="shared" si="16"/>
        <v>1.3254717705282295</v>
      </c>
      <c r="L13" s="107">
        <f t="shared" si="5"/>
        <v>0.63362246237753761</v>
      </c>
      <c r="M13" s="108">
        <f t="shared" si="6"/>
        <v>191.58388321167882</v>
      </c>
      <c r="N13" s="102">
        <f t="shared" si="17"/>
        <v>0.67623714776285226</v>
      </c>
      <c r="O13" s="107">
        <f t="shared" si="8"/>
        <v>0.29748752651247351</v>
      </c>
      <c r="P13" s="108">
        <f t="shared" si="9"/>
        <v>178.54464000000002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1.3595426724573276</v>
      </c>
      <c r="F14" s="119">
        <f t="shared" si="13"/>
        <v>0.66769336430663573</v>
      </c>
      <c r="G14" s="120">
        <f t="shared" si="14"/>
        <v>196.50849635036496</v>
      </c>
      <c r="H14" s="118">
        <f>H27*$B$34/10/$B$32</f>
        <v>1.4348030703969297</v>
      </c>
      <c r="I14" s="119">
        <f t="shared" si="2"/>
        <v>0.63690386829613177</v>
      </c>
      <c r="J14" s="120">
        <f t="shared" si="3"/>
        <v>179.82259746835442</v>
      </c>
      <c r="K14" s="118">
        <f>K27*$B$34/10/$B$32</f>
        <v>1.346055145944854</v>
      </c>
      <c r="L14" s="119">
        <f t="shared" si="5"/>
        <v>0.65420583779416208</v>
      </c>
      <c r="M14" s="120">
        <f t="shared" si="6"/>
        <v>194.55900729927004</v>
      </c>
      <c r="N14" s="118">
        <f>N27*$B$34/10/$B$32</f>
        <v>0.57726613473386534</v>
      </c>
      <c r="O14" s="119">
        <f t="shared" si="8"/>
        <v>0.19851651348348659</v>
      </c>
      <c r="P14" s="120">
        <f t="shared" si="9"/>
        <v>152.41365333333334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42.07</v>
      </c>
      <c r="C20" s="144" t="s">
        <v>172</v>
      </c>
      <c r="D20" s="145" t="s">
        <v>172</v>
      </c>
      <c r="E20" s="143">
        <v>45.37</v>
      </c>
      <c r="F20" s="144" t="s">
        <v>172</v>
      </c>
      <c r="G20" s="145" t="s">
        <v>172</v>
      </c>
      <c r="H20" s="143">
        <v>50.76</v>
      </c>
      <c r="I20" s="144" t="s">
        <v>172</v>
      </c>
      <c r="J20" s="145" t="s">
        <v>172</v>
      </c>
      <c r="K20" s="143">
        <v>43.97</v>
      </c>
      <c r="L20" s="144" t="s">
        <v>172</v>
      </c>
      <c r="M20" s="145" t="s">
        <v>172</v>
      </c>
      <c r="N20" s="143">
        <v>22.04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42.11</v>
      </c>
      <c r="C21" s="144" t="s">
        <v>172</v>
      </c>
      <c r="D21" s="145" t="s">
        <v>172</v>
      </c>
      <c r="E21" s="143">
        <v>44.68</v>
      </c>
      <c r="F21" s="144" t="s">
        <v>172</v>
      </c>
      <c r="G21" s="145" t="s">
        <v>172</v>
      </c>
      <c r="H21" s="143">
        <v>48.08</v>
      </c>
      <c r="I21" s="144" t="s">
        <v>172</v>
      </c>
      <c r="J21" s="145" t="s">
        <v>172</v>
      </c>
      <c r="K21" s="143">
        <v>43.07</v>
      </c>
      <c r="L21" s="144" t="s">
        <v>172</v>
      </c>
      <c r="M21" s="145" t="s">
        <v>172</v>
      </c>
      <c r="N21" s="143">
        <v>21.63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41.25</v>
      </c>
      <c r="C22" s="144" t="s">
        <v>172</v>
      </c>
      <c r="D22" s="145" t="s">
        <v>172</v>
      </c>
      <c r="E22" s="143">
        <v>43.65</v>
      </c>
      <c r="F22" s="144" t="s">
        <v>172</v>
      </c>
      <c r="G22" s="145" t="s">
        <v>172</v>
      </c>
      <c r="H22" s="143">
        <v>48.99</v>
      </c>
      <c r="I22" s="144" t="s">
        <v>172</v>
      </c>
      <c r="J22" s="145" t="s">
        <v>172</v>
      </c>
      <c r="K22" s="143">
        <v>43.93</v>
      </c>
      <c r="L22" s="144" t="s">
        <v>172</v>
      </c>
      <c r="M22" s="145" t="s">
        <v>172</v>
      </c>
      <c r="N22" s="143">
        <f>N21</f>
        <v>21.63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40.57</v>
      </c>
      <c r="C23" s="144" t="s">
        <v>172</v>
      </c>
      <c r="D23" s="145" t="s">
        <v>172</v>
      </c>
      <c r="E23" s="143">
        <v>43.16</v>
      </c>
      <c r="F23" s="144" t="s">
        <v>172</v>
      </c>
      <c r="G23" s="145" t="s">
        <v>172</v>
      </c>
      <c r="H23" s="143">
        <v>49.17</v>
      </c>
      <c r="I23" s="144" t="s">
        <v>172</v>
      </c>
      <c r="J23" s="145" t="s">
        <v>172</v>
      </c>
      <c r="K23" s="143">
        <v>43.86</v>
      </c>
      <c r="L23" s="144" t="s">
        <v>172</v>
      </c>
      <c r="M23" s="145" t="s">
        <v>172</v>
      </c>
      <c r="N23" s="143">
        <v>19.07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13.19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1.2829999999999999</v>
      </c>
      <c r="F25" s="144" t="s">
        <v>172</v>
      </c>
      <c r="G25" s="145" t="s">
        <v>172</v>
      </c>
      <c r="H25" s="153">
        <v>1.3380000000000001</v>
      </c>
      <c r="I25" s="144" t="s">
        <v>172</v>
      </c>
      <c r="J25" s="145" t="s">
        <v>172</v>
      </c>
      <c r="K25" s="153">
        <v>1.194</v>
      </c>
      <c r="L25" s="144" t="s">
        <v>172</v>
      </c>
      <c r="M25" s="145" t="s">
        <v>172</v>
      </c>
      <c r="N25" s="153">
        <v>0.54900000000000004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1.2190000000000001</v>
      </c>
      <c r="F26" s="144" t="s">
        <v>172</v>
      </c>
      <c r="G26" s="145" t="s">
        <v>172</v>
      </c>
      <c r="H26" s="153">
        <v>1.3049999999999999</v>
      </c>
      <c r="I26" s="144" t="s">
        <v>172</v>
      </c>
      <c r="J26" s="145" t="s">
        <v>172</v>
      </c>
      <c r="K26" s="153">
        <v>1.129</v>
      </c>
      <c r="L26" s="144" t="s">
        <v>172</v>
      </c>
      <c r="M26" s="145" t="s">
        <v>172</v>
      </c>
      <c r="N26" s="153">
        <v>0.57599999999999996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5.04</v>
      </c>
      <c r="F27" s="158" t="s">
        <v>172</v>
      </c>
      <c r="G27" s="159" t="s">
        <v>172</v>
      </c>
      <c r="H27" s="160">
        <v>5.319</v>
      </c>
      <c r="I27" s="158" t="s">
        <v>172</v>
      </c>
      <c r="J27" s="159" t="s">
        <v>172</v>
      </c>
      <c r="K27" s="160">
        <v>4.99</v>
      </c>
      <c r="L27" s="158" t="s">
        <v>172</v>
      </c>
      <c r="M27" s="159" t="s">
        <v>172</v>
      </c>
      <c r="N27" s="160">
        <v>2.14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7.5171000000000001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1.9802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2.3248000000000002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5.3415999999999997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3.1427999999999998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43297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0.65462295747488075</v>
      </c>
      <c r="C6" s="103" t="s">
        <v>172</v>
      </c>
      <c r="D6" s="104" t="s">
        <v>172</v>
      </c>
      <c r="E6" s="102">
        <f>E19/$B$32</f>
        <v>0.69521973003146254</v>
      </c>
      <c r="F6" s="103" t="s">
        <v>172</v>
      </c>
      <c r="G6" s="104" t="s">
        <v>172</v>
      </c>
      <c r="H6" s="102">
        <f>H19/$B$32</f>
        <v>0.8017862579924897</v>
      </c>
      <c r="I6" s="103" t="s">
        <v>172</v>
      </c>
      <c r="J6" s="104" t="s">
        <v>172</v>
      </c>
      <c r="K6" s="102">
        <f>K19/$B$32</f>
        <v>0.69521973003146254</v>
      </c>
      <c r="L6" s="103" t="s">
        <v>172</v>
      </c>
      <c r="M6" s="104" t="s">
        <v>172</v>
      </c>
      <c r="N6" s="102">
        <f>N19/$B$32</f>
        <v>0.38059474271795396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0.67177468791231099</v>
      </c>
      <c r="C7" s="107">
        <f>B7-B$6</f>
        <v>1.7151730437430235E-2</v>
      </c>
      <c r="D7" s="108">
        <f>B7/B$6*100</f>
        <v>102.62009302325581</v>
      </c>
      <c r="E7" s="102">
        <f t="shared" ref="E7:E10" si="0">E20*$B$35/100/$B$32</f>
        <v>0.73517994519435692</v>
      </c>
      <c r="F7" s="107">
        <f>E7-E$6</f>
        <v>3.9960215162894386E-2</v>
      </c>
      <c r="G7" s="108">
        <f>E7/E$6*100</f>
        <v>105.74785401459852</v>
      </c>
      <c r="H7" s="102">
        <f t="shared" ref="H7:H10" si="1">H20*$B$35/100/$B$32</f>
        <v>0.82282366791840045</v>
      </c>
      <c r="I7" s="107">
        <f t="shared" ref="I7:I14" si="2">H7-H$6</f>
        <v>2.1037409925910744E-2</v>
      </c>
      <c r="J7" s="108">
        <f t="shared" ref="J7:J14" si="3">H7/H$6*100</f>
        <v>102.62381772151896</v>
      </c>
      <c r="K7" s="102">
        <f t="shared" ref="K7:K10" si="4">K20*$B$35/100/$B$32</f>
        <v>0.70468121384349935</v>
      </c>
      <c r="L7" s="107">
        <f t="shared" ref="L7:L14" si="5">K7-K$6</f>
        <v>9.4614838120368194E-3</v>
      </c>
      <c r="M7" s="108">
        <f t="shared" ref="M7:M14" si="6">K7/K$6*100</f>
        <v>101.36093430656932</v>
      </c>
      <c r="N7" s="102">
        <f t="shared" ref="N7:N10" si="7">N20*$B$35/100/$B$32</f>
        <v>0.35956399066274225</v>
      </c>
      <c r="O7" s="107">
        <f t="shared" ref="O7:O14" si="8">N7-N$6</f>
        <v>-2.103075205521171E-2</v>
      </c>
      <c r="P7" s="108">
        <f t="shared" ref="P7:P14" si="9">N7/N$6*100</f>
        <v>94.47423999999998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0.66503286308738452</v>
      </c>
      <c r="C8" s="107">
        <f t="shared" ref="C8:C11" si="11">B8-B$6</f>
        <v>1.0409905612503767E-2</v>
      </c>
      <c r="D8" s="108">
        <f t="shared" ref="D8:D11" si="12">B8/B$6*100</f>
        <v>101.59021395348837</v>
      </c>
      <c r="E8" s="102">
        <f t="shared" si="0"/>
        <v>0.71318875469400178</v>
      </c>
      <c r="F8" s="107">
        <f t="shared" ref="F8:F14" si="13">E8-E$6</f>
        <v>1.7969024662539246E-2</v>
      </c>
      <c r="G8" s="108">
        <f t="shared" ref="G8:G14" si="14">E8/E$6*100</f>
        <v>102.58465401459853</v>
      </c>
      <c r="H8" s="102">
        <f t="shared" si="1"/>
        <v>0.77177842281538611</v>
      </c>
      <c r="I8" s="107">
        <f t="shared" si="2"/>
        <v>-3.0007835177103592E-2</v>
      </c>
      <c r="J8" s="108">
        <f t="shared" si="3"/>
        <v>96.257377215189848</v>
      </c>
      <c r="K8" s="102">
        <f t="shared" si="4"/>
        <v>0.71222563686186946</v>
      </c>
      <c r="L8" s="107">
        <f t="shared" si="5"/>
        <v>1.7005906830406925E-2</v>
      </c>
      <c r="M8" s="108">
        <f t="shared" si="6"/>
        <v>102.44611970802919</v>
      </c>
      <c r="N8" s="102">
        <f t="shared" si="7"/>
        <v>0.34720397848371054</v>
      </c>
      <c r="O8" s="107">
        <f t="shared" si="8"/>
        <v>-3.339076423424342E-2</v>
      </c>
      <c r="P8" s="108">
        <f t="shared" si="9"/>
        <v>91.226687999999996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0.65732792043032584</v>
      </c>
      <c r="C9" s="107">
        <f t="shared" si="11"/>
        <v>2.7049629554450894E-3</v>
      </c>
      <c r="D9" s="108">
        <f t="shared" si="12"/>
        <v>100.41320930232558</v>
      </c>
      <c r="E9" s="102">
        <f t="shared" si="0"/>
        <v>0.70837316553334007</v>
      </c>
      <c r="F9" s="107">
        <f t="shared" si="13"/>
        <v>1.3153435501877531E-2</v>
      </c>
      <c r="G9" s="108">
        <f t="shared" si="14"/>
        <v>101.89198248175182</v>
      </c>
      <c r="H9" s="102">
        <f t="shared" si="1"/>
        <v>0.75781321424946713</v>
      </c>
      <c r="I9" s="107">
        <f t="shared" si="2"/>
        <v>-4.3973043743022577E-2</v>
      </c>
      <c r="J9" s="108">
        <f t="shared" si="3"/>
        <v>94.515615189873401</v>
      </c>
      <c r="K9" s="102">
        <f t="shared" si="4"/>
        <v>0.69809990865726168</v>
      </c>
      <c r="L9" s="107">
        <f t="shared" si="5"/>
        <v>2.8801786257991457E-3</v>
      </c>
      <c r="M9" s="108">
        <f t="shared" si="6"/>
        <v>100.41428321167882</v>
      </c>
      <c r="N9" s="102">
        <f t="shared" si="7"/>
        <v>0.34720397848371054</v>
      </c>
      <c r="O9" s="107">
        <f t="shared" si="8"/>
        <v>-3.339076423424342E-2</v>
      </c>
      <c r="P9" s="108">
        <f t="shared" si="9"/>
        <v>91.226687999999996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0.65106765452146553</v>
      </c>
      <c r="C10" s="107">
        <f t="shared" si="11"/>
        <v>-3.5553029534152181E-3</v>
      </c>
      <c r="D10" s="108">
        <f t="shared" si="12"/>
        <v>99.456893023255816</v>
      </c>
      <c r="E10" s="102">
        <f t="shared" si="0"/>
        <v>0.69264224094184512</v>
      </c>
      <c r="F10" s="107">
        <f t="shared" si="13"/>
        <v>-2.577489089617413E-3</v>
      </c>
      <c r="G10" s="108">
        <f t="shared" si="14"/>
        <v>99.629255474452549</v>
      </c>
      <c r="H10" s="102">
        <f t="shared" si="1"/>
        <v>0.78927506343245701</v>
      </c>
      <c r="I10" s="107">
        <f t="shared" si="2"/>
        <v>-1.251119456003269E-2</v>
      </c>
      <c r="J10" s="108">
        <f t="shared" si="3"/>
        <v>98.439584810126561</v>
      </c>
      <c r="K10" s="102">
        <f t="shared" si="4"/>
        <v>0.70403913528874451</v>
      </c>
      <c r="L10" s="107">
        <f t="shared" si="5"/>
        <v>8.8194052572819759E-3</v>
      </c>
      <c r="M10" s="108">
        <f t="shared" si="6"/>
        <v>101.26857810218976</v>
      </c>
      <c r="N10" s="102">
        <f t="shared" si="7"/>
        <v>0.30611095097939717</v>
      </c>
      <c r="O10" s="107">
        <f t="shared" si="8"/>
        <v>-7.4483791738556793E-2</v>
      </c>
      <c r="P10" s="108">
        <f t="shared" si="9"/>
        <v>80.429631999999998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1.0941711153963263</v>
      </c>
      <c r="C11" s="107">
        <f t="shared" si="11"/>
        <v>0.43954815792144553</v>
      </c>
      <c r="D11" s="108">
        <f t="shared" si="12"/>
        <v>167.14524031007755</v>
      </c>
      <c r="E11" s="102">
        <f>E24*$B$31/100/$B$32</f>
        <v>1.132295544504212</v>
      </c>
      <c r="F11" s="107">
        <f t="shared" si="13"/>
        <v>0.43707581447274946</v>
      </c>
      <c r="G11" s="108">
        <f t="shared" si="14"/>
        <v>162.86872992700728</v>
      </c>
      <c r="H11" s="102">
        <f>H24*$B$31/100/$B$32</f>
        <v>1.2779308636963365</v>
      </c>
      <c r="I11" s="107">
        <f t="shared" si="2"/>
        <v>0.47614460570384676</v>
      </c>
      <c r="J11" s="108">
        <f t="shared" si="3"/>
        <v>159.38547848101268</v>
      </c>
      <c r="K11" s="102">
        <f>K24*$B$31/100/$B$32</f>
        <v>0.97560414087080083</v>
      </c>
      <c r="L11" s="107">
        <f t="shared" si="5"/>
        <v>0.28038441083933829</v>
      </c>
      <c r="M11" s="108">
        <f t="shared" si="6"/>
        <v>140.33032992700728</v>
      </c>
      <c r="N11" s="102">
        <f>N24*$B$31/100/$B$32</f>
        <v>0.51544228153861782</v>
      </c>
      <c r="O11" s="107">
        <f t="shared" si="8"/>
        <v>0.13484753882066386</v>
      </c>
      <c r="P11" s="108">
        <f t="shared" si="9"/>
        <v>135.43074133333334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1.5082514970059884</v>
      </c>
      <c r="F12" s="107">
        <f t="shared" si="13"/>
        <v>0.81303176697452584</v>
      </c>
      <c r="G12" s="108">
        <f t="shared" si="14"/>
        <v>216.94601459854019</v>
      </c>
      <c r="H12" s="102">
        <f t="shared" ref="H12:H13" si="15">H25*$B$33/$B$32</f>
        <v>1.5721604587435301</v>
      </c>
      <c r="I12" s="107">
        <f t="shared" si="2"/>
        <v>0.77037420075104035</v>
      </c>
      <c r="J12" s="108">
        <f t="shared" si="3"/>
        <v>196.0822405063291</v>
      </c>
      <c r="K12" s="102">
        <f t="shared" ref="K12:K13" si="16">K25*$B$33/$B$32</f>
        <v>1.4141310260834266</v>
      </c>
      <c r="L12" s="107">
        <f t="shared" si="5"/>
        <v>0.71891129605196402</v>
      </c>
      <c r="M12" s="108">
        <f t="shared" si="6"/>
        <v>203.40778102189785</v>
      </c>
      <c r="N12" s="102">
        <f t="shared" ref="N12:N13" si="17">N25*$B$33/$B$32</f>
        <v>0.65070942860042635</v>
      </c>
      <c r="O12" s="107">
        <f t="shared" si="8"/>
        <v>0.27011468588247239</v>
      </c>
      <c r="P12" s="108">
        <f t="shared" si="9"/>
        <v>170.97173333333333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1.4176169694509289</v>
      </c>
      <c r="F13" s="107">
        <f t="shared" si="13"/>
        <v>0.72239723941946632</v>
      </c>
      <c r="G13" s="108">
        <f t="shared" si="14"/>
        <v>203.90919708029199</v>
      </c>
      <c r="H13" s="102">
        <f t="shared" si="15"/>
        <v>1.5280051760885009</v>
      </c>
      <c r="I13" s="107">
        <f t="shared" si="2"/>
        <v>0.72621891809601125</v>
      </c>
      <c r="J13" s="108">
        <f t="shared" si="3"/>
        <v>190.57512658227847</v>
      </c>
      <c r="K13" s="102">
        <f t="shared" si="16"/>
        <v>1.323496498528367</v>
      </c>
      <c r="L13" s="107">
        <f t="shared" si="5"/>
        <v>0.6282767684969045</v>
      </c>
      <c r="M13" s="108">
        <f t="shared" si="6"/>
        <v>190.37096350364965</v>
      </c>
      <c r="N13" s="102">
        <f t="shared" si="17"/>
        <v>0.64954744747792559</v>
      </c>
      <c r="O13" s="107">
        <f t="shared" si="8"/>
        <v>0.26895270475997163</v>
      </c>
      <c r="P13" s="108">
        <f t="shared" si="9"/>
        <v>170.66642666666667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1.3653047802699685</v>
      </c>
      <c r="F14" s="119">
        <f t="shared" si="13"/>
        <v>0.67008505023850595</v>
      </c>
      <c r="G14" s="120">
        <f t="shared" si="14"/>
        <v>196.38464233576642</v>
      </c>
      <c r="H14" s="118">
        <f>H27*$B$34/10/$B$32</f>
        <v>1.4163693291383332</v>
      </c>
      <c r="I14" s="119">
        <f t="shared" si="2"/>
        <v>0.61458307114584354</v>
      </c>
      <c r="J14" s="120">
        <f t="shared" si="3"/>
        <v>176.65173417721513</v>
      </c>
      <c r="K14" s="118">
        <f>K27*$B$34/10/$B$32</f>
        <v>1.3626171724347915</v>
      </c>
      <c r="L14" s="119">
        <f t="shared" si="5"/>
        <v>0.66739744240332899</v>
      </c>
      <c r="M14" s="120">
        <f t="shared" si="6"/>
        <v>195.99805839416058</v>
      </c>
      <c r="N14" s="118">
        <f>N27*$B$34/10/$B$32</f>
        <v>0.60202415507967122</v>
      </c>
      <c r="O14" s="119">
        <f t="shared" si="8"/>
        <v>0.22142941236171726</v>
      </c>
      <c r="P14" s="120">
        <f t="shared" si="9"/>
        <v>158.17984000000001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41.85</v>
      </c>
      <c r="C20" s="144" t="s">
        <v>172</v>
      </c>
      <c r="D20" s="145" t="s">
        <v>172</v>
      </c>
      <c r="E20" s="143">
        <v>45.8</v>
      </c>
      <c r="F20" s="144" t="s">
        <v>172</v>
      </c>
      <c r="G20" s="145" t="s">
        <v>172</v>
      </c>
      <c r="H20" s="143">
        <v>51.26</v>
      </c>
      <c r="I20" s="144" t="s">
        <v>172</v>
      </c>
      <c r="J20" s="145" t="s">
        <v>172</v>
      </c>
      <c r="K20" s="143">
        <v>43.9</v>
      </c>
      <c r="L20" s="144" t="s">
        <v>172</v>
      </c>
      <c r="M20" s="145" t="s">
        <v>172</v>
      </c>
      <c r="N20" s="143">
        <v>22.4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41.43</v>
      </c>
      <c r="C21" s="144" t="s">
        <v>172</v>
      </c>
      <c r="D21" s="145" t="s">
        <v>172</v>
      </c>
      <c r="E21" s="143">
        <v>44.43</v>
      </c>
      <c r="F21" s="144" t="s">
        <v>172</v>
      </c>
      <c r="G21" s="145" t="s">
        <v>172</v>
      </c>
      <c r="H21" s="143">
        <v>48.08</v>
      </c>
      <c r="I21" s="144" t="s">
        <v>172</v>
      </c>
      <c r="J21" s="145" t="s">
        <v>172</v>
      </c>
      <c r="K21" s="143">
        <v>44.37</v>
      </c>
      <c r="L21" s="144" t="s">
        <v>172</v>
      </c>
      <c r="M21" s="145" t="s">
        <v>172</v>
      </c>
      <c r="N21" s="143">
        <v>21.63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40.950000000000003</v>
      </c>
      <c r="C22" s="144" t="s">
        <v>172</v>
      </c>
      <c r="D22" s="145" t="s">
        <v>172</v>
      </c>
      <c r="E22" s="143">
        <v>44.13</v>
      </c>
      <c r="F22" s="144" t="s">
        <v>172</v>
      </c>
      <c r="G22" s="145" t="s">
        <v>172</v>
      </c>
      <c r="H22" s="143">
        <v>47.21</v>
      </c>
      <c r="I22" s="144" t="s">
        <v>172</v>
      </c>
      <c r="J22" s="145" t="s">
        <v>172</v>
      </c>
      <c r="K22" s="143">
        <v>43.49</v>
      </c>
      <c r="L22" s="144" t="s">
        <v>172</v>
      </c>
      <c r="M22" s="145" t="s">
        <v>172</v>
      </c>
      <c r="N22" s="143">
        <f>N21</f>
        <v>21.63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40.56</v>
      </c>
      <c r="C23" s="144" t="s">
        <v>172</v>
      </c>
      <c r="D23" s="145" t="s">
        <v>172</v>
      </c>
      <c r="E23" s="143">
        <v>43.15</v>
      </c>
      <c r="F23" s="144" t="s">
        <v>172</v>
      </c>
      <c r="G23" s="145" t="s">
        <v>172</v>
      </c>
      <c r="H23" s="143">
        <v>49.17</v>
      </c>
      <c r="I23" s="144" t="s">
        <v>172</v>
      </c>
      <c r="J23" s="145" t="s">
        <v>172</v>
      </c>
      <c r="K23" s="143">
        <v>43.86</v>
      </c>
      <c r="L23" s="144" t="s">
        <v>172</v>
      </c>
      <c r="M23" s="145" t="s">
        <v>172</v>
      </c>
      <c r="N23" s="143">
        <v>19.07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13.52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1.298</v>
      </c>
      <c r="F25" s="144" t="s">
        <v>172</v>
      </c>
      <c r="G25" s="145" t="s">
        <v>172</v>
      </c>
      <c r="H25" s="153">
        <v>1.353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0.56000000000000005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1.22</v>
      </c>
      <c r="F26" s="144" t="s">
        <v>172</v>
      </c>
      <c r="G26" s="145" t="s">
        <v>172</v>
      </c>
      <c r="H26" s="153">
        <v>1.3149999999999999</v>
      </c>
      <c r="I26" s="144" t="s">
        <v>172</v>
      </c>
      <c r="J26" s="145" t="s">
        <v>172</v>
      </c>
      <c r="K26" s="153">
        <v>1.139</v>
      </c>
      <c r="L26" s="144" t="s">
        <v>172</v>
      </c>
      <c r="M26" s="145" t="s">
        <v>172</v>
      </c>
      <c r="N26" s="153">
        <v>0.55900000000000005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</v>
      </c>
      <c r="F27" s="158" t="s">
        <v>172</v>
      </c>
      <c r="G27" s="159" t="s">
        <v>172</v>
      </c>
      <c r="H27" s="160">
        <v>5.27</v>
      </c>
      <c r="I27" s="158" t="s">
        <v>172</v>
      </c>
      <c r="J27" s="159" t="s">
        <v>172</v>
      </c>
      <c r="K27" s="160">
        <v>5.07</v>
      </c>
      <c r="L27" s="158" t="s">
        <v>172</v>
      </c>
      <c r="M27" s="159" t="s">
        <v>172</v>
      </c>
      <c r="N27" s="160">
        <v>2.2400000000000002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7.5128000000000004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1.9705999999999999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2.2898000000000001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5.2961999999999998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3.1631999999999998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43304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0.64551641313050445</v>
      </c>
      <c r="C6" s="103" t="s">
        <v>172</v>
      </c>
      <c r="D6" s="104" t="s">
        <v>172</v>
      </c>
      <c r="E6" s="102">
        <f>E19/$B$32</f>
        <v>0.68554843875100091</v>
      </c>
      <c r="F6" s="103" t="s">
        <v>172</v>
      </c>
      <c r="G6" s="104" t="s">
        <v>172</v>
      </c>
      <c r="H6" s="102">
        <f>H19/$B$32</f>
        <v>0.79063250600480395</v>
      </c>
      <c r="I6" s="103" t="s">
        <v>172</v>
      </c>
      <c r="J6" s="104" t="s">
        <v>172</v>
      </c>
      <c r="K6" s="102">
        <f>K19/$B$32</f>
        <v>0.68554843875100091</v>
      </c>
      <c r="L6" s="103" t="s">
        <v>172</v>
      </c>
      <c r="M6" s="104" t="s">
        <v>172</v>
      </c>
      <c r="N6" s="102">
        <f>N19/$B$32</f>
        <v>0.37530024019215374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0.65942486989591664</v>
      </c>
      <c r="C7" s="107">
        <f>B7-B$6</f>
        <v>1.3908456765412192E-2</v>
      </c>
      <c r="D7" s="108">
        <f>B7/B$6*100</f>
        <v>102.15462480620153</v>
      </c>
      <c r="E7" s="102">
        <f t="shared" ref="E7:E10" si="0">E20*$B$35/100/$B$32</f>
        <v>0.70841701861489181</v>
      </c>
      <c r="F7" s="107">
        <f>E7-E$6</f>
        <v>2.2868579863890903E-2</v>
      </c>
      <c r="G7" s="108">
        <f>E7/E$6*100</f>
        <v>103.33580802919704</v>
      </c>
      <c r="H7" s="102">
        <f t="shared" ref="H7:H10" si="1">H20*$B$35/100/$B$32</f>
        <v>0.80907934347477972</v>
      </c>
      <c r="I7" s="107">
        <f t="shared" ref="I7:I14" si="2">H7-H$6</f>
        <v>1.8446837469975774E-2</v>
      </c>
      <c r="J7" s="108">
        <f t="shared" ref="J7:J14" si="3">H7/H$6*100</f>
        <v>102.33317468354429</v>
      </c>
      <c r="K7" s="102">
        <f t="shared" ref="K7:K10" si="4">K20*$B$35/100/$B$32</f>
        <v>0.68415724079263418</v>
      </c>
      <c r="L7" s="107">
        <f t="shared" ref="L7:L14" si="5">K7-K$6</f>
        <v>-1.39119795836673E-3</v>
      </c>
      <c r="M7" s="108">
        <f t="shared" ref="M7:M14" si="6">K7/K$6*100</f>
        <v>99.797067883211682</v>
      </c>
      <c r="N7" s="102">
        <f t="shared" ref="N7:N10" si="7">N20*$B$35/100/$B$32</f>
        <v>0.35948579863891111</v>
      </c>
      <c r="O7" s="107">
        <f t="shared" ref="O7:O14" si="8">N7-N$6</f>
        <v>-1.5814441553242631E-2</v>
      </c>
      <c r="P7" s="108">
        <f t="shared" ref="P7:P14" si="9">N7/N$6*100</f>
        <v>95.786189333333326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0.65580165632506005</v>
      </c>
      <c r="C8" s="107">
        <f t="shared" ref="C8:C11" si="11">B8-B$6</f>
        <v>1.0285243194555593E-2</v>
      </c>
      <c r="D8" s="108">
        <f t="shared" ref="D8:D11" si="12">B8/B$6*100</f>
        <v>101.59333565891473</v>
      </c>
      <c r="E8" s="102">
        <f t="shared" si="0"/>
        <v>0.69691725380304237</v>
      </c>
      <c r="F8" s="107">
        <f t="shared" ref="F8:F14" si="13">E8-E$6</f>
        <v>1.1368815052041459E-2</v>
      </c>
      <c r="G8" s="108">
        <f t="shared" ref="G8:G14" si="14">E8/E$6*100</f>
        <v>101.65835328467151</v>
      </c>
      <c r="H8" s="102">
        <f t="shared" si="1"/>
        <v>0.75740916733386709</v>
      </c>
      <c r="I8" s="107">
        <f t="shared" si="2"/>
        <v>-3.3223338670936853E-2</v>
      </c>
      <c r="J8" s="108">
        <f t="shared" si="3"/>
        <v>95.797878481012646</v>
      </c>
      <c r="K8" s="102">
        <f t="shared" si="4"/>
        <v>0.69943775020016008</v>
      </c>
      <c r="L8" s="107">
        <f t="shared" si="5"/>
        <v>1.388931144915917E-2</v>
      </c>
      <c r="M8" s="108">
        <f t="shared" si="6"/>
        <v>102.02601459854013</v>
      </c>
      <c r="N8" s="102">
        <f t="shared" si="7"/>
        <v>0.34073960668534825</v>
      </c>
      <c r="O8" s="107">
        <f t="shared" si="8"/>
        <v>-3.4560633506805494E-2</v>
      </c>
      <c r="P8" s="108">
        <f t="shared" si="9"/>
        <v>90.791203999999993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0.64808263610888717</v>
      </c>
      <c r="C9" s="107">
        <f t="shared" si="11"/>
        <v>2.5662229783827151E-3</v>
      </c>
      <c r="D9" s="108">
        <f t="shared" si="12"/>
        <v>100.39754573643411</v>
      </c>
      <c r="E9" s="102">
        <f t="shared" si="0"/>
        <v>0.69234885408326663</v>
      </c>
      <c r="F9" s="107">
        <f t="shared" si="13"/>
        <v>6.800415332265719E-3</v>
      </c>
      <c r="G9" s="108">
        <f t="shared" si="14"/>
        <v>100.99196715328466</v>
      </c>
      <c r="H9" s="102">
        <f t="shared" si="1"/>
        <v>0.74984767814251407</v>
      </c>
      <c r="I9" s="107">
        <f t="shared" si="2"/>
        <v>-4.0784827862289874E-2</v>
      </c>
      <c r="J9" s="108">
        <f t="shared" si="3"/>
        <v>94.841493670886067</v>
      </c>
      <c r="K9" s="102">
        <f t="shared" si="4"/>
        <v>0.68872564051240992</v>
      </c>
      <c r="L9" s="107">
        <f t="shared" si="5"/>
        <v>3.1772017614090098E-3</v>
      </c>
      <c r="M9" s="108">
        <f t="shared" si="6"/>
        <v>100.46345401459853</v>
      </c>
      <c r="N9" s="102">
        <f t="shared" si="7"/>
        <v>0.34073960668534825</v>
      </c>
      <c r="O9" s="107">
        <f t="shared" si="8"/>
        <v>-3.4560633506805494E-2</v>
      </c>
      <c r="P9" s="108">
        <f t="shared" si="9"/>
        <v>90.791203999999993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0.63878830564451561</v>
      </c>
      <c r="C10" s="107">
        <f t="shared" si="11"/>
        <v>-6.7281074859888435E-3</v>
      </c>
      <c r="D10" s="108">
        <f t="shared" si="12"/>
        <v>98.957717054263554</v>
      </c>
      <c r="E10" s="102">
        <f t="shared" si="0"/>
        <v>0.68778045436349078</v>
      </c>
      <c r="F10" s="107">
        <f t="shared" si="13"/>
        <v>2.2320156124898682E-3</v>
      </c>
      <c r="G10" s="108">
        <f t="shared" si="14"/>
        <v>100.32558102189779</v>
      </c>
      <c r="H10" s="102">
        <f t="shared" si="1"/>
        <v>0.7745800490392315</v>
      </c>
      <c r="I10" s="107">
        <f t="shared" si="2"/>
        <v>-1.6052456965572448E-2</v>
      </c>
      <c r="J10" s="108">
        <f t="shared" si="3"/>
        <v>97.969668987341777</v>
      </c>
      <c r="K10" s="102">
        <f t="shared" si="4"/>
        <v>0.68967082666132906</v>
      </c>
      <c r="L10" s="107">
        <f t="shared" si="5"/>
        <v>4.1223879103281513E-3</v>
      </c>
      <c r="M10" s="108">
        <f t="shared" si="6"/>
        <v>100.60132700729925</v>
      </c>
      <c r="N10" s="102">
        <f t="shared" si="7"/>
        <v>0.30041166433146516</v>
      </c>
      <c r="O10" s="107">
        <f t="shared" si="8"/>
        <v>-7.4888575860688589E-2</v>
      </c>
      <c r="P10" s="108">
        <f t="shared" si="9"/>
        <v>80.045689333333328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1.0854700760608489</v>
      </c>
      <c r="C11" s="107">
        <f t="shared" si="11"/>
        <v>0.43995366293034444</v>
      </c>
      <c r="D11" s="108">
        <f t="shared" si="12"/>
        <v>168.15530232558143</v>
      </c>
      <c r="E11" s="102">
        <f>E24*$B$31/100/$B$32</f>
        <v>1.1232913330664531</v>
      </c>
      <c r="F11" s="107">
        <f t="shared" si="13"/>
        <v>0.43774289431545221</v>
      </c>
      <c r="G11" s="108">
        <f t="shared" si="14"/>
        <v>163.85294890510946</v>
      </c>
      <c r="H11" s="102">
        <f>H24*$B$31/100/$B$32</f>
        <v>1.2677685348278624</v>
      </c>
      <c r="I11" s="107">
        <f t="shared" si="2"/>
        <v>0.4771360288230585</v>
      </c>
      <c r="J11" s="108">
        <f t="shared" si="3"/>
        <v>160.34864810126581</v>
      </c>
      <c r="K11" s="102">
        <f>K24*$B$31/100/$B$32</f>
        <v>0.96784596677341883</v>
      </c>
      <c r="L11" s="107">
        <f t="shared" si="5"/>
        <v>0.28229752802241792</v>
      </c>
      <c r="M11" s="108">
        <f t="shared" si="6"/>
        <v>141.17834890510949</v>
      </c>
      <c r="N11" s="102">
        <f>N24*$B$31/100/$B$32</f>
        <v>0.53063223578863095</v>
      </c>
      <c r="O11" s="107">
        <f t="shared" si="8"/>
        <v>0.1553319955964772</v>
      </c>
      <c r="P11" s="108">
        <f t="shared" si="9"/>
        <v>141.38872799999999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1.5115620496397117</v>
      </c>
      <c r="F12" s="107">
        <f t="shared" si="13"/>
        <v>0.82601361088871084</v>
      </c>
      <c r="G12" s="108">
        <f t="shared" si="14"/>
        <v>220.48945985401457</v>
      </c>
      <c r="H12" s="102">
        <f t="shared" ref="H12:H13" si="15">H25*$B$33/$B$32</f>
        <v>1.575611289031225</v>
      </c>
      <c r="I12" s="107">
        <f t="shared" si="2"/>
        <v>0.7849787830264211</v>
      </c>
      <c r="J12" s="108">
        <f t="shared" si="3"/>
        <v>199.28491139240506</v>
      </c>
      <c r="K12" s="102">
        <f t="shared" ref="K12:K13" si="16">K25*$B$33/$B$32</f>
        <v>1.4172349879903923</v>
      </c>
      <c r="L12" s="107">
        <f t="shared" si="5"/>
        <v>0.73168654923939136</v>
      </c>
      <c r="M12" s="108">
        <f t="shared" si="6"/>
        <v>206.73010218978098</v>
      </c>
      <c r="N12" s="102">
        <f t="shared" ref="N12:N13" si="17">N25*$B$33/$B$32</f>
        <v>0.65097317854283432</v>
      </c>
      <c r="O12" s="107">
        <f t="shared" si="8"/>
        <v>0.27567293835068057</v>
      </c>
      <c r="P12" s="108">
        <f t="shared" si="9"/>
        <v>173.45397333333335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1.420728582866293</v>
      </c>
      <c r="F13" s="107">
        <f t="shared" si="13"/>
        <v>0.73518014411529209</v>
      </c>
      <c r="G13" s="108">
        <f t="shared" si="14"/>
        <v>207.23970802919703</v>
      </c>
      <c r="H13" s="102">
        <f t="shared" si="15"/>
        <v>1.5325236188951161</v>
      </c>
      <c r="I13" s="107">
        <f t="shared" si="2"/>
        <v>0.74189111289031218</v>
      </c>
      <c r="J13" s="108">
        <f t="shared" si="3"/>
        <v>193.83513924050629</v>
      </c>
      <c r="K13" s="102">
        <f t="shared" si="16"/>
        <v>1.3322241793434746</v>
      </c>
      <c r="L13" s="107">
        <f t="shared" si="5"/>
        <v>0.64667574059247368</v>
      </c>
      <c r="M13" s="108">
        <f t="shared" si="6"/>
        <v>194.32969343065687</v>
      </c>
      <c r="N13" s="102">
        <f t="shared" si="17"/>
        <v>0.66261849479583657</v>
      </c>
      <c r="O13" s="107">
        <f t="shared" si="8"/>
        <v>0.28731825460368282</v>
      </c>
      <c r="P13" s="108">
        <f t="shared" si="9"/>
        <v>176.55690666666663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1.3706883006405126</v>
      </c>
      <c r="F14" s="119">
        <f t="shared" si="13"/>
        <v>0.6851398618895117</v>
      </c>
      <c r="G14" s="120">
        <f t="shared" si="14"/>
        <v>199.940401459854</v>
      </c>
      <c r="H14" s="118">
        <f>H27*$B$34/10/$B$32</f>
        <v>1.435318004403523</v>
      </c>
      <c r="I14" s="119">
        <f t="shared" si="2"/>
        <v>0.64468549839871903</v>
      </c>
      <c r="J14" s="120">
        <f t="shared" si="3"/>
        <v>181.54047468354432</v>
      </c>
      <c r="K14" s="118">
        <f>K27*$B$34/10/$B$32</f>
        <v>1.3572237790232187</v>
      </c>
      <c r="L14" s="119">
        <f t="shared" si="5"/>
        <v>0.67167534027221776</v>
      </c>
      <c r="M14" s="120">
        <f t="shared" si="6"/>
        <v>197.97635036496348</v>
      </c>
      <c r="N14" s="118">
        <f>N27*$B$34/10/$B$32</f>
        <v>0.62475380304243378</v>
      </c>
      <c r="O14" s="119">
        <f t="shared" si="8"/>
        <v>0.24945356285028003</v>
      </c>
      <c r="P14" s="120">
        <f t="shared" si="9"/>
        <v>166.46773333333326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41.86</v>
      </c>
      <c r="C20" s="144" t="s">
        <v>172</v>
      </c>
      <c r="D20" s="145" t="s">
        <v>172</v>
      </c>
      <c r="E20" s="143">
        <v>44.97</v>
      </c>
      <c r="F20" s="144" t="s">
        <v>172</v>
      </c>
      <c r="G20" s="145" t="s">
        <v>172</v>
      </c>
      <c r="H20" s="143">
        <v>51.36</v>
      </c>
      <c r="I20" s="144" t="s">
        <v>172</v>
      </c>
      <c r="J20" s="145" t="s">
        <v>172</v>
      </c>
      <c r="K20" s="143">
        <v>43.43</v>
      </c>
      <c r="L20" s="144" t="s">
        <v>172</v>
      </c>
      <c r="M20" s="145" t="s">
        <v>172</v>
      </c>
      <c r="N20" s="143">
        <v>22.82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41.63</v>
      </c>
      <c r="C21" s="144" t="s">
        <v>172</v>
      </c>
      <c r="D21" s="145" t="s">
        <v>172</v>
      </c>
      <c r="E21" s="143">
        <v>44.24</v>
      </c>
      <c r="F21" s="144" t="s">
        <v>172</v>
      </c>
      <c r="G21" s="145" t="s">
        <v>172</v>
      </c>
      <c r="H21" s="143">
        <v>48.08</v>
      </c>
      <c r="I21" s="144" t="s">
        <v>172</v>
      </c>
      <c r="J21" s="145" t="s">
        <v>172</v>
      </c>
      <c r="K21" s="143">
        <v>44.4</v>
      </c>
      <c r="L21" s="144" t="s">
        <v>172</v>
      </c>
      <c r="M21" s="145" t="s">
        <v>172</v>
      </c>
      <c r="N21" s="143">
        <v>21.63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41.14</v>
      </c>
      <c r="C22" s="144" t="s">
        <v>172</v>
      </c>
      <c r="D22" s="145" t="s">
        <v>172</v>
      </c>
      <c r="E22" s="143">
        <v>43.95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43.72</v>
      </c>
      <c r="L22" s="144" t="s">
        <v>172</v>
      </c>
      <c r="M22" s="145" t="s">
        <v>172</v>
      </c>
      <c r="N22" s="143">
        <f>N21</f>
        <v>21.63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40.549999999999997</v>
      </c>
      <c r="C23" s="144" t="s">
        <v>172</v>
      </c>
      <c r="D23" s="145" t="s">
        <v>172</v>
      </c>
      <c r="E23" s="143">
        <v>43.66</v>
      </c>
      <c r="F23" s="144" t="s">
        <v>172</v>
      </c>
      <c r="G23" s="145" t="s">
        <v>172</v>
      </c>
      <c r="H23" s="143">
        <v>49.17</v>
      </c>
      <c r="I23" s="144" t="s">
        <v>172</v>
      </c>
      <c r="J23" s="145" t="s">
        <v>172</v>
      </c>
      <c r="K23" s="143">
        <v>43.78</v>
      </c>
      <c r="L23" s="144" t="s">
        <v>172</v>
      </c>
      <c r="M23" s="145" t="s">
        <v>172</v>
      </c>
      <c r="N23" s="143">
        <v>19.07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28.7</v>
      </c>
      <c r="C24" s="144" t="s">
        <v>172</v>
      </c>
      <c r="D24" s="145" t="s">
        <v>172</v>
      </c>
      <c r="E24" s="143">
        <v>29.7</v>
      </c>
      <c r="F24" s="144" t="s">
        <v>172</v>
      </c>
      <c r="G24" s="145" t="s">
        <v>172</v>
      </c>
      <c r="H24" s="143">
        <v>33.520000000000003</v>
      </c>
      <c r="I24" s="144" t="s">
        <v>172</v>
      </c>
      <c r="J24" s="145" t="s">
        <v>172</v>
      </c>
      <c r="K24" s="143">
        <v>25.59</v>
      </c>
      <c r="L24" s="144" t="s">
        <v>172</v>
      </c>
      <c r="M24" s="145" t="s">
        <v>172</v>
      </c>
      <c r="N24" s="143">
        <v>14.03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1.298</v>
      </c>
      <c r="F25" s="144" t="s">
        <v>172</v>
      </c>
      <c r="G25" s="145" t="s">
        <v>172</v>
      </c>
      <c r="H25" s="153">
        <v>1.353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0.55900000000000005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1.22</v>
      </c>
      <c r="F26" s="144" t="s">
        <v>172</v>
      </c>
      <c r="G26" s="145" t="s">
        <v>172</v>
      </c>
      <c r="H26" s="153">
        <v>1.3160000000000001</v>
      </c>
      <c r="I26" s="144" t="s">
        <v>172</v>
      </c>
      <c r="J26" s="145" t="s">
        <v>172</v>
      </c>
      <c r="K26" s="153">
        <v>1.1439999999999999</v>
      </c>
      <c r="L26" s="144" t="s">
        <v>172</v>
      </c>
      <c r="M26" s="145" t="s">
        <v>172</v>
      </c>
      <c r="N26" s="153">
        <v>0.56899999999999995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</v>
      </c>
      <c r="F27" s="158" t="s">
        <v>172</v>
      </c>
      <c r="G27" s="159" t="s">
        <v>172</v>
      </c>
      <c r="H27" s="160">
        <v>5.33</v>
      </c>
      <c r="I27" s="158" t="s">
        <v>172</v>
      </c>
      <c r="J27" s="159" t="s">
        <v>172</v>
      </c>
      <c r="K27" s="160">
        <v>5.04</v>
      </c>
      <c r="L27" s="158" t="s">
        <v>172</v>
      </c>
      <c r="M27" s="159" t="s">
        <v>172</v>
      </c>
      <c r="N27" s="160">
        <v>2.3199999999999998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7.5582000000000003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1.9984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2.3271999999999999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5.3815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3.1480999999999999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1.7109375" customWidth="1" outlineLevel="1"/>
    <col min="19" max="19" width="28.42578125" customWidth="1" outlineLevel="1"/>
    <col min="20" max="20" width="29.7109375" customWidth="1" outlineLevel="1"/>
    <col min="21" max="21" width="28.28515625" customWidth="1" outlineLevel="1"/>
    <col min="22" max="22" width="32" customWidth="1" outlineLevel="1"/>
    <col min="23" max="23" width="43.57031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43311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0.64752534886055624</v>
      </c>
      <c r="C6" s="103" t="s">
        <v>172</v>
      </c>
      <c r="D6" s="104" t="s">
        <v>172</v>
      </c>
      <c r="E6" s="102">
        <f>E19/$B$32</f>
        <v>0.68768195964260626</v>
      </c>
      <c r="F6" s="103" t="s">
        <v>172</v>
      </c>
      <c r="G6" s="104" t="s">
        <v>172</v>
      </c>
      <c r="H6" s="102">
        <f>H19/$B$32</f>
        <v>0.79309306294548743</v>
      </c>
      <c r="I6" s="103" t="s">
        <v>172</v>
      </c>
      <c r="J6" s="104" t="s">
        <v>172</v>
      </c>
      <c r="K6" s="102">
        <f>K19/$B$32</f>
        <v>0.68768195964260626</v>
      </c>
      <c r="L6" s="103" t="s">
        <v>172</v>
      </c>
      <c r="M6" s="104" t="s">
        <v>172</v>
      </c>
      <c r="N6" s="102">
        <f>N19/$B$32</f>
        <v>0.3764682260817187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0.6654112036944082</v>
      </c>
      <c r="C7" s="107">
        <f>B7-B$6</f>
        <v>1.7885854833851966E-2</v>
      </c>
      <c r="D7" s="108">
        <f>B7/B$6*100</f>
        <v>102.76218604651162</v>
      </c>
      <c r="E7" s="102">
        <f t="shared" ref="E7:E10" si="0">E20*$B$35/100/$B$32</f>
        <v>0.72035924104005633</v>
      </c>
      <c r="F7" s="107">
        <f>E7-E$6</f>
        <v>3.2677281397450075E-2</v>
      </c>
      <c r="G7" s="108">
        <f>E7/E$6*100</f>
        <v>104.75180145985401</v>
      </c>
      <c r="H7" s="102">
        <f t="shared" ref="H7:H10" si="1">H20*$B$35/100/$B$32</f>
        <v>0.80484581869290228</v>
      </c>
      <c r="I7" s="107">
        <f t="shared" ref="I7:I14" si="2">H7-H$6</f>
        <v>1.1752755747414856E-2</v>
      </c>
      <c r="J7" s="108">
        <f t="shared" ref="J7:J14" si="3">H7/H$6*100</f>
        <v>101.48188860759493</v>
      </c>
      <c r="K7" s="102">
        <f t="shared" ref="K7:K10" si="4">K20*$B$35/100/$B$32</f>
        <v>0.69653783756650944</v>
      </c>
      <c r="L7" s="107">
        <f t="shared" ref="L7:L14" si="5">K7-K$6</f>
        <v>8.8558779239031882E-3</v>
      </c>
      <c r="M7" s="108">
        <f t="shared" ref="M7:M14" si="6">K7/K$6*100</f>
        <v>101.28778686131386</v>
      </c>
      <c r="N7" s="102">
        <f t="shared" ref="N7:N10" si="7">N20*$B$35/100/$B$32</f>
        <v>0.36383223571930529</v>
      </c>
      <c r="O7" s="107">
        <f t="shared" ref="O7:O14" si="8">N7-N$6</f>
        <v>-1.2635990362413418E-2</v>
      </c>
      <c r="P7" s="108">
        <f t="shared" ref="P7:P14" si="9">N7/N$6*100</f>
        <v>96.643544000000006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0.65270645517518322</v>
      </c>
      <c r="C8" s="107">
        <f t="shared" ref="C8:C11" si="11">B8-B$6</f>
        <v>5.181106314626982E-3</v>
      </c>
      <c r="D8" s="108">
        <f t="shared" ref="D8:D11" si="12">B8/B$6*100</f>
        <v>100.80013953488371</v>
      </c>
      <c r="E8" s="102">
        <f t="shared" si="0"/>
        <v>0.69971402469631561</v>
      </c>
      <c r="F8" s="107">
        <f t="shared" ref="F8:F14" si="13">E8-E$6</f>
        <v>1.2032065053709351E-2</v>
      </c>
      <c r="G8" s="108">
        <f t="shared" ref="G8:G14" si="14">E8/E$6*100</f>
        <v>101.74965547445254</v>
      </c>
      <c r="H8" s="102">
        <f t="shared" si="1"/>
        <v>0.76355538600542128</v>
      </c>
      <c r="I8" s="107">
        <f t="shared" si="2"/>
        <v>-2.9537676940066149E-2</v>
      </c>
      <c r="J8" s="108">
        <f t="shared" si="3"/>
        <v>96.275635443037984</v>
      </c>
      <c r="K8" s="102">
        <f t="shared" si="4"/>
        <v>0.70161973697419944</v>
      </c>
      <c r="L8" s="107">
        <f t="shared" si="5"/>
        <v>1.3937777331593182E-2</v>
      </c>
      <c r="M8" s="108">
        <f t="shared" si="6"/>
        <v>102.02677664233578</v>
      </c>
      <c r="N8" s="102">
        <f t="shared" si="7"/>
        <v>0.34350463808854531</v>
      </c>
      <c r="O8" s="107">
        <f t="shared" si="8"/>
        <v>-3.2963587993173393E-2</v>
      </c>
      <c r="P8" s="108">
        <f t="shared" si="9"/>
        <v>91.243991999999992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0.6508007428972995</v>
      </c>
      <c r="C9" s="107">
        <f t="shared" si="11"/>
        <v>3.2753940367432621E-3</v>
      </c>
      <c r="D9" s="108">
        <f t="shared" si="12"/>
        <v>100.50583255813952</v>
      </c>
      <c r="E9" s="102">
        <f t="shared" si="0"/>
        <v>0.70066688083525752</v>
      </c>
      <c r="F9" s="107">
        <f t="shared" si="13"/>
        <v>1.2984921192651266E-2</v>
      </c>
      <c r="G9" s="108">
        <f t="shared" si="14"/>
        <v>101.88821605839415</v>
      </c>
      <c r="H9" s="102">
        <f t="shared" si="1"/>
        <v>0.75370920590302182</v>
      </c>
      <c r="I9" s="107">
        <f t="shared" si="2"/>
        <v>-3.9383857042465609E-2</v>
      </c>
      <c r="J9" s="108">
        <f t="shared" si="3"/>
        <v>95.034144303797476</v>
      </c>
      <c r="K9" s="102">
        <f t="shared" si="4"/>
        <v>0.69129712880232919</v>
      </c>
      <c r="L9" s="107">
        <f t="shared" si="5"/>
        <v>3.6151691597229307E-3</v>
      </c>
      <c r="M9" s="108">
        <f t="shared" si="6"/>
        <v>100.52570364963505</v>
      </c>
      <c r="N9" s="102">
        <f t="shared" si="7"/>
        <v>0.34350463808854531</v>
      </c>
      <c r="O9" s="107">
        <f t="shared" si="8"/>
        <v>-3.2963587993173393E-2</v>
      </c>
      <c r="P9" s="108">
        <f t="shared" si="9"/>
        <v>91.243991999999992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0.64397194056821605</v>
      </c>
      <c r="C10" s="107">
        <f t="shared" si="11"/>
        <v>-3.5534082923401877E-3</v>
      </c>
      <c r="D10" s="108">
        <f t="shared" si="12"/>
        <v>99.451232558139523</v>
      </c>
      <c r="E10" s="102">
        <f t="shared" si="0"/>
        <v>0.684627135829736</v>
      </c>
      <c r="F10" s="107">
        <f t="shared" si="13"/>
        <v>-3.0548238128702554E-3</v>
      </c>
      <c r="G10" s="108">
        <f t="shared" si="14"/>
        <v>99.555779562043796</v>
      </c>
      <c r="H10" s="102">
        <f t="shared" si="1"/>
        <v>0.78086560586286535</v>
      </c>
      <c r="I10" s="107">
        <f t="shared" si="2"/>
        <v>-1.2227457082622073E-2</v>
      </c>
      <c r="J10" s="108">
        <f t="shared" si="3"/>
        <v>98.458256962025331</v>
      </c>
      <c r="K10" s="102">
        <f t="shared" si="4"/>
        <v>0.69526736271458689</v>
      </c>
      <c r="L10" s="107">
        <f t="shared" si="5"/>
        <v>7.5854030719806342E-3</v>
      </c>
      <c r="M10" s="108">
        <f t="shared" si="6"/>
        <v>101.10303941605838</v>
      </c>
      <c r="N10" s="102">
        <f t="shared" si="7"/>
        <v>0.30284944282702536</v>
      </c>
      <c r="O10" s="107">
        <f t="shared" si="8"/>
        <v>-7.3618783254693343E-2</v>
      </c>
      <c r="P10" s="108">
        <f t="shared" si="9"/>
        <v>80.444887999999992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1.065715861861259</v>
      </c>
      <c r="C11" s="107">
        <f t="shared" si="11"/>
        <v>0.41819051300070276</v>
      </c>
      <c r="D11" s="108">
        <f t="shared" si="12"/>
        <v>164.58287906976744</v>
      </c>
      <c r="E11" s="102">
        <f>E24*$B$31/100/$B$32</f>
        <v>1.1030569922698523</v>
      </c>
      <c r="F11" s="107">
        <f t="shared" si="13"/>
        <v>0.41537503262724607</v>
      </c>
      <c r="G11" s="108">
        <f t="shared" si="14"/>
        <v>160.40219999999997</v>
      </c>
      <c r="H11" s="102">
        <f>H24*$B$31/100/$B$32</f>
        <v>1.231137069571328</v>
      </c>
      <c r="I11" s="107">
        <f t="shared" si="2"/>
        <v>0.43804400662584053</v>
      </c>
      <c r="J11" s="108">
        <f t="shared" si="3"/>
        <v>155.23235886075946</v>
      </c>
      <c r="K11" s="102">
        <f>K24*$B$31/100/$B$32</f>
        <v>1.017172392330087</v>
      </c>
      <c r="L11" s="107">
        <f t="shared" si="5"/>
        <v>0.32949043268748079</v>
      </c>
      <c r="M11" s="108">
        <f t="shared" si="6"/>
        <v>147.91319999999993</v>
      </c>
      <c r="N11" s="102">
        <f>N24*$B$31/100/$B$32</f>
        <v>0.50111797008332504</v>
      </c>
      <c r="O11" s="107">
        <f t="shared" si="8"/>
        <v>0.12464974400160633</v>
      </c>
      <c r="P11" s="108">
        <f t="shared" si="9"/>
        <v>133.11029600000001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1.5115751430579258</v>
      </c>
      <c r="F12" s="107">
        <f t="shared" si="13"/>
        <v>0.82389318341531959</v>
      </c>
      <c r="G12" s="108">
        <f t="shared" si="14"/>
        <v>219.80729927007295</v>
      </c>
      <c r="H12" s="102">
        <f t="shared" ref="H12:H13" si="15">H25*$B$33/$B$32</f>
        <v>1.5756249372552955</v>
      </c>
      <c r="I12" s="107">
        <f t="shared" si="2"/>
        <v>0.78253187430980808</v>
      </c>
      <c r="J12" s="108">
        <f t="shared" si="3"/>
        <v>198.66835443037971</v>
      </c>
      <c r="K12" s="102">
        <f t="shared" ref="K12:K13" si="16">K25*$B$33/$B$32</f>
        <v>1.4172472643308907</v>
      </c>
      <c r="L12" s="107">
        <f t="shared" si="5"/>
        <v>0.7295653046882844</v>
      </c>
      <c r="M12" s="108">
        <f t="shared" si="6"/>
        <v>206.09051094890512</v>
      </c>
      <c r="N12" s="102">
        <f t="shared" ref="N12:N13" si="17">N25*$B$33/$B$32</f>
        <v>0.65097881738781249</v>
      </c>
      <c r="O12" s="107">
        <f t="shared" si="8"/>
        <v>0.27451059130609379</v>
      </c>
      <c r="P12" s="108">
        <f t="shared" si="9"/>
        <v>172.91733333333335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1.4079309306294547</v>
      </c>
      <c r="F13" s="107">
        <f t="shared" si="13"/>
        <v>0.72024897098684848</v>
      </c>
      <c r="G13" s="108">
        <f t="shared" si="14"/>
        <v>204.7357664233576</v>
      </c>
      <c r="H13" s="102">
        <f t="shared" si="15"/>
        <v>1.5208914767593613</v>
      </c>
      <c r="I13" s="107">
        <f t="shared" si="2"/>
        <v>0.72779841381387389</v>
      </c>
      <c r="J13" s="108">
        <f t="shared" si="3"/>
        <v>191.7670886075949</v>
      </c>
      <c r="K13" s="102">
        <f t="shared" si="16"/>
        <v>1.3089448850517018</v>
      </c>
      <c r="L13" s="107">
        <f t="shared" si="5"/>
        <v>0.62126292540909556</v>
      </c>
      <c r="M13" s="108">
        <f t="shared" si="6"/>
        <v>190.34160583941605</v>
      </c>
      <c r="N13" s="102">
        <f t="shared" si="17"/>
        <v>0.66262423451460684</v>
      </c>
      <c r="O13" s="107">
        <f t="shared" si="8"/>
        <v>0.28615600843288813</v>
      </c>
      <c r="P13" s="108">
        <f t="shared" si="9"/>
        <v>176.01066666666662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1.3744457383796809</v>
      </c>
      <c r="F14" s="119">
        <f t="shared" si="13"/>
        <v>0.68676377873707461</v>
      </c>
      <c r="G14" s="120">
        <f t="shared" si="14"/>
        <v>199.86648175182481</v>
      </c>
      <c r="H14" s="118">
        <f>H27*$B$34/10/$B$32</f>
        <v>1.4447913864069872</v>
      </c>
      <c r="I14" s="119">
        <f t="shared" si="2"/>
        <v>0.65169832346149981</v>
      </c>
      <c r="J14" s="120">
        <f t="shared" si="3"/>
        <v>182.17173417721517</v>
      </c>
      <c r="K14" s="118">
        <f>K27*$B$34/10/$B$32</f>
        <v>1.358212127296456</v>
      </c>
      <c r="L14" s="119">
        <f t="shared" si="5"/>
        <v>0.67053016765384976</v>
      </c>
      <c r="M14" s="120">
        <f t="shared" si="6"/>
        <v>197.50585401459847</v>
      </c>
      <c r="N14" s="118">
        <f>N27*$B$34/10/$B$32</f>
        <v>0.63311083224575848</v>
      </c>
      <c r="O14" s="119">
        <f t="shared" si="8"/>
        <v>0.25664260616403978</v>
      </c>
      <c r="P14" s="120">
        <f t="shared" si="9"/>
        <v>168.17112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</v>
      </c>
      <c r="C20" s="144" t="s">
        <v>172</v>
      </c>
      <c r="D20" s="145" t="s">
        <v>172</v>
      </c>
      <c r="E20" s="143">
        <v>45.36</v>
      </c>
      <c r="F20" s="144" t="s">
        <v>172</v>
      </c>
      <c r="G20" s="145" t="s">
        <v>172</v>
      </c>
      <c r="H20" s="143">
        <v>50.68</v>
      </c>
      <c r="I20" s="144" t="s">
        <v>172</v>
      </c>
      <c r="J20" s="145" t="s">
        <v>172</v>
      </c>
      <c r="K20" s="143">
        <v>43.86</v>
      </c>
      <c r="L20" s="144" t="s">
        <v>172</v>
      </c>
      <c r="M20" s="145" t="s">
        <v>172</v>
      </c>
      <c r="N20" s="143">
        <v>22.91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41.1</v>
      </c>
      <c r="C21" s="144" t="s">
        <v>172</v>
      </c>
      <c r="D21" s="145" t="s">
        <v>172</v>
      </c>
      <c r="E21" s="143">
        <v>44.06</v>
      </c>
      <c r="F21" s="144" t="s">
        <v>172</v>
      </c>
      <c r="G21" s="145" t="s">
        <v>172</v>
      </c>
      <c r="H21" s="143">
        <v>48.08</v>
      </c>
      <c r="I21" s="144" t="s">
        <v>172</v>
      </c>
      <c r="J21" s="145" t="s">
        <v>172</v>
      </c>
      <c r="K21" s="143">
        <v>44.18</v>
      </c>
      <c r="L21" s="144" t="s">
        <v>172</v>
      </c>
      <c r="M21" s="145" t="s">
        <v>172</v>
      </c>
      <c r="N21" s="143">
        <v>21.63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40.98</v>
      </c>
      <c r="C22" s="144" t="s">
        <v>172</v>
      </c>
      <c r="D22" s="145" t="s">
        <v>172</v>
      </c>
      <c r="E22" s="143">
        <v>44.12</v>
      </c>
      <c r="F22" s="144" t="s">
        <v>172</v>
      </c>
      <c r="G22" s="145" t="s">
        <v>172</v>
      </c>
      <c r="H22" s="143">
        <v>47.46</v>
      </c>
      <c r="I22" s="144" t="s">
        <v>172</v>
      </c>
      <c r="J22" s="145" t="s">
        <v>172</v>
      </c>
      <c r="K22" s="143">
        <v>43.53</v>
      </c>
      <c r="L22" s="144" t="s">
        <v>172</v>
      </c>
      <c r="M22" s="145" t="s">
        <v>172</v>
      </c>
      <c r="N22" s="143">
        <f>N21</f>
        <v>21.63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40.549999999999997</v>
      </c>
      <c r="C23" s="144" t="s">
        <v>172</v>
      </c>
      <c r="D23" s="145" t="s">
        <v>172</v>
      </c>
      <c r="E23" s="143">
        <v>43.11</v>
      </c>
      <c r="F23" s="144" t="s">
        <v>172</v>
      </c>
      <c r="G23" s="145" t="s">
        <v>172</v>
      </c>
      <c r="H23" s="143">
        <v>49.17</v>
      </c>
      <c r="I23" s="144" t="s">
        <v>172</v>
      </c>
      <c r="J23" s="145" t="s">
        <v>172</v>
      </c>
      <c r="K23" s="143">
        <v>43.78</v>
      </c>
      <c r="L23" s="144" t="s">
        <v>172</v>
      </c>
      <c r="M23" s="145" t="s">
        <v>172</v>
      </c>
      <c r="N23" s="143">
        <v>19.07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28.54</v>
      </c>
      <c r="C24" s="144" t="s">
        <v>172</v>
      </c>
      <c r="D24" s="145" t="s">
        <v>172</v>
      </c>
      <c r="E24" s="143">
        <v>29.54</v>
      </c>
      <c r="F24" s="144" t="s">
        <v>172</v>
      </c>
      <c r="G24" s="145" t="s">
        <v>172</v>
      </c>
      <c r="H24" s="143">
        <v>32.97</v>
      </c>
      <c r="I24" s="144" t="s">
        <v>172</v>
      </c>
      <c r="J24" s="145" t="s">
        <v>172</v>
      </c>
      <c r="K24" s="143">
        <v>27.24</v>
      </c>
      <c r="L24" s="144" t="s">
        <v>172</v>
      </c>
      <c r="M24" s="145" t="s">
        <v>172</v>
      </c>
      <c r="N24" s="143">
        <v>13.42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1.298</v>
      </c>
      <c r="F25" s="144" t="s">
        <v>172</v>
      </c>
      <c r="G25" s="145" t="s">
        <v>172</v>
      </c>
      <c r="H25" s="153">
        <v>1.353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0.55900000000000005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1.2090000000000001</v>
      </c>
      <c r="F26" s="144" t="s">
        <v>172</v>
      </c>
      <c r="G26" s="145" t="s">
        <v>172</v>
      </c>
      <c r="H26" s="153">
        <v>1.306</v>
      </c>
      <c r="I26" s="144" t="s">
        <v>172</v>
      </c>
      <c r="J26" s="145" t="s">
        <v>172</v>
      </c>
      <c r="K26" s="153">
        <v>1.1240000000000001</v>
      </c>
      <c r="L26" s="144" t="s">
        <v>172</v>
      </c>
      <c r="M26" s="145" t="s">
        <v>172</v>
      </c>
      <c r="N26" s="153">
        <v>0.56899999999999995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</v>
      </c>
      <c r="F27" s="158" t="s">
        <v>172</v>
      </c>
      <c r="G27" s="159" t="s">
        <v>172</v>
      </c>
      <c r="H27" s="160">
        <v>5.34</v>
      </c>
      <c r="I27" s="158" t="s">
        <v>172</v>
      </c>
      <c r="J27" s="159" t="s">
        <v>172</v>
      </c>
      <c r="K27" s="160">
        <v>5.0199999999999996</v>
      </c>
      <c r="L27" s="158" t="s">
        <v>172</v>
      </c>
      <c r="M27" s="159" t="s">
        <v>172</v>
      </c>
      <c r="N27" s="160">
        <v>2.34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7.4390999999999998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1.9922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2.3199999999999998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5.3901000000000003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3.1638000000000002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1.7109375" customWidth="1" outlineLevel="1"/>
    <col min="19" max="19" width="28.42578125" customWidth="1" outlineLevel="1"/>
    <col min="20" max="20" width="29.7109375" customWidth="1" outlineLevel="1"/>
    <col min="21" max="21" width="28.28515625" customWidth="1" outlineLevel="1"/>
    <col min="22" max="22" width="32" customWidth="1" outlineLevel="1"/>
    <col min="23" max="23" width="43.57031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43318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0.64099378881987579</v>
      </c>
      <c r="C6" s="103" t="s">
        <v>172</v>
      </c>
      <c r="D6" s="104" t="s">
        <v>172</v>
      </c>
      <c r="E6" s="102">
        <f>E19/$B$32</f>
        <v>0.68074534161490685</v>
      </c>
      <c r="F6" s="103" t="s">
        <v>172</v>
      </c>
      <c r="G6" s="104" t="s">
        <v>172</v>
      </c>
      <c r="H6" s="102">
        <f>H19/$B$32</f>
        <v>0.78509316770186333</v>
      </c>
      <c r="I6" s="103" t="s">
        <v>172</v>
      </c>
      <c r="J6" s="104" t="s">
        <v>172</v>
      </c>
      <c r="K6" s="102">
        <f>K19/$B$32</f>
        <v>0.68074534161490685</v>
      </c>
      <c r="L6" s="103" t="s">
        <v>172</v>
      </c>
      <c r="M6" s="104" t="s">
        <v>172</v>
      </c>
      <c r="N6" s="102">
        <f>N19/$B$32</f>
        <v>0.37267080745341613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0.65991850434782595</v>
      </c>
      <c r="C7" s="107">
        <f>B7-B$6</f>
        <v>1.8924715527950164E-2</v>
      </c>
      <c r="D7" s="108">
        <f>B7/B$6*100</f>
        <v>102.95240232558139</v>
      </c>
      <c r="E7" s="102">
        <f t="shared" ref="E7:E10" si="0">E20*$B$35/100/$B$32</f>
        <v>0.71471488695652163</v>
      </c>
      <c r="F7" s="107">
        <f>E7-E$6</f>
        <v>3.3969545341614782E-2</v>
      </c>
      <c r="G7" s="108">
        <f>E7/E$6*100</f>
        <v>104.99005182481751</v>
      </c>
      <c r="H7" s="102">
        <f t="shared" ref="H7:H10" si="1">H20*$B$35/100/$B$32</f>
        <v>0.79328786086956515</v>
      </c>
      <c r="I7" s="107">
        <f t="shared" ref="I7:I14" si="2">H7-H$6</f>
        <v>8.1946931677018275E-3</v>
      </c>
      <c r="J7" s="108">
        <f t="shared" ref="J7:J14" si="3">H7/H$6*100</f>
        <v>101.04378607594937</v>
      </c>
      <c r="K7" s="102">
        <f t="shared" ref="K7:K10" si="4">K20*$B$35/100/$B$32</f>
        <v>0.69172560000000005</v>
      </c>
      <c r="L7" s="107">
        <f t="shared" ref="L7:L14" si="5">K7-K$6</f>
        <v>1.09802583850932E-2</v>
      </c>
      <c r="M7" s="108">
        <f t="shared" ref="M7:M14" si="6">K7/K$6*100</f>
        <v>101.61297591240877</v>
      </c>
      <c r="N7" s="102">
        <f t="shared" ref="N7:N10" si="7">N20*$B$35/100/$B$32</f>
        <v>0.36499429565217384</v>
      </c>
      <c r="O7" s="107">
        <f t="shared" ref="O7:O14" si="8">N7-N$6</f>
        <v>-7.6765118012422917E-3</v>
      </c>
      <c r="P7" s="108">
        <f t="shared" ref="P7:P14" si="9">N7/N$6*100</f>
        <v>97.940135999999995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0.65487975652173913</v>
      </c>
      <c r="C8" s="107">
        <f t="shared" ref="C8:C11" si="11">B8-B$6</f>
        <v>1.3885967701863344E-2</v>
      </c>
      <c r="D8" s="108">
        <f t="shared" ref="D8:D11" si="12">B8/B$6*100</f>
        <v>102.16631860465115</v>
      </c>
      <c r="E8" s="102">
        <f t="shared" si="0"/>
        <v>0.70211801739130442</v>
      </c>
      <c r="F8" s="107">
        <f t="shared" ref="F8:F14" si="13">E8-E$6</f>
        <v>2.1372675776397565E-2</v>
      </c>
      <c r="G8" s="108">
        <f t="shared" ref="G8:G14" si="14">E8/E$6*100</f>
        <v>103.13959927007299</v>
      </c>
      <c r="H8" s="102">
        <f t="shared" si="1"/>
        <v>0.79328786086956515</v>
      </c>
      <c r="I8" s="107">
        <f t="shared" si="2"/>
        <v>8.1946931677018275E-3</v>
      </c>
      <c r="J8" s="108">
        <f t="shared" si="3"/>
        <v>101.04378607594937</v>
      </c>
      <c r="K8" s="102">
        <f t="shared" si="4"/>
        <v>0.71487234782608677</v>
      </c>
      <c r="L8" s="107">
        <f t="shared" si="5"/>
        <v>3.4127006211179922E-2</v>
      </c>
      <c r="M8" s="108">
        <f t="shared" si="6"/>
        <v>105.0131824817518</v>
      </c>
      <c r="N8" s="102">
        <f t="shared" si="7"/>
        <v>0.36499429565217384</v>
      </c>
      <c r="O8" s="107">
        <f t="shared" si="8"/>
        <v>-7.6765118012422917E-3</v>
      </c>
      <c r="P8" s="108">
        <f t="shared" si="9"/>
        <v>97.940135999999995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0.65346260869565209</v>
      </c>
      <c r="C9" s="107">
        <f t="shared" si="11"/>
        <v>1.2468819875776305E-2</v>
      </c>
      <c r="D9" s="108">
        <f t="shared" si="12"/>
        <v>101.94523255813952</v>
      </c>
      <c r="E9" s="102">
        <f t="shared" si="0"/>
        <v>0.70794406956521727</v>
      </c>
      <c r="F9" s="107">
        <f t="shared" si="13"/>
        <v>2.719872795031042E-2</v>
      </c>
      <c r="G9" s="108">
        <f t="shared" si="14"/>
        <v>103.99543357664231</v>
      </c>
      <c r="H9" s="102">
        <f t="shared" si="1"/>
        <v>0.79328786086956515</v>
      </c>
      <c r="I9" s="107">
        <f t="shared" si="2"/>
        <v>8.1946931677018275E-3</v>
      </c>
      <c r="J9" s="108">
        <f t="shared" si="3"/>
        <v>101.04378607594937</v>
      </c>
      <c r="K9" s="102">
        <f t="shared" si="4"/>
        <v>0.70715676521739113</v>
      </c>
      <c r="L9" s="107">
        <f t="shared" si="5"/>
        <v>2.6411423602484274E-2</v>
      </c>
      <c r="M9" s="108">
        <f t="shared" si="6"/>
        <v>103.87978029197077</v>
      </c>
      <c r="N9" s="102">
        <f t="shared" si="7"/>
        <v>0.36499429565217384</v>
      </c>
      <c r="O9" s="107">
        <f t="shared" si="8"/>
        <v>-7.6765118012422917E-3</v>
      </c>
      <c r="P9" s="108">
        <f t="shared" si="9"/>
        <v>97.940135999999995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0.63850382608695633</v>
      </c>
      <c r="C10" s="107">
        <f t="shared" si="11"/>
        <v>-2.4899627329194596E-3</v>
      </c>
      <c r="D10" s="108">
        <f t="shared" si="12"/>
        <v>99.611546511627878</v>
      </c>
      <c r="E10" s="102">
        <f t="shared" si="0"/>
        <v>0.678813808695652</v>
      </c>
      <c r="F10" s="107">
        <f t="shared" si="13"/>
        <v>-1.9315329192548525E-3</v>
      </c>
      <c r="G10" s="108">
        <f t="shared" si="14"/>
        <v>99.716262043795595</v>
      </c>
      <c r="H10" s="102">
        <f t="shared" si="1"/>
        <v>0.79328786086956515</v>
      </c>
      <c r="I10" s="107">
        <f t="shared" si="2"/>
        <v>8.1946931677018275E-3</v>
      </c>
      <c r="J10" s="108">
        <f t="shared" si="3"/>
        <v>101.04378607594937</v>
      </c>
      <c r="K10" s="102">
        <f t="shared" si="4"/>
        <v>0.68936368695652173</v>
      </c>
      <c r="L10" s="107">
        <f t="shared" si="5"/>
        <v>8.6183453416148748E-3</v>
      </c>
      <c r="M10" s="108">
        <f t="shared" si="6"/>
        <v>101.26601605839416</v>
      </c>
      <c r="N10" s="102">
        <f t="shared" si="7"/>
        <v>0.30027787826086955</v>
      </c>
      <c r="O10" s="107">
        <f t="shared" si="8"/>
        <v>-7.2392929192546585E-2</v>
      </c>
      <c r="P10" s="108">
        <f t="shared" si="9"/>
        <v>80.574564000000009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1.0666978136645962</v>
      </c>
      <c r="C11" s="107">
        <f t="shared" si="11"/>
        <v>0.42570402484472036</v>
      </c>
      <c r="D11" s="108">
        <f t="shared" si="12"/>
        <v>166.41312790697674</v>
      </c>
      <c r="E11" s="102">
        <f>E24*$B$31/100/$B$32</f>
        <v>1.1035440248447204</v>
      </c>
      <c r="F11" s="107">
        <f t="shared" si="13"/>
        <v>0.42279868322981351</v>
      </c>
      <c r="G11" s="108">
        <f t="shared" si="14"/>
        <v>162.10820072992698</v>
      </c>
      <c r="H11" s="102">
        <f>H24*$B$31/100/$B$32</f>
        <v>1.253508104347826</v>
      </c>
      <c r="I11" s="107">
        <f t="shared" si="2"/>
        <v>0.46841493664596268</v>
      </c>
      <c r="J11" s="108">
        <f t="shared" si="3"/>
        <v>159.66361139240504</v>
      </c>
      <c r="K11" s="102">
        <f>K24*$B$31/100/$B$32</f>
        <v>0.95210609689440995</v>
      </c>
      <c r="L11" s="107">
        <f t="shared" si="5"/>
        <v>0.2713607552795031</v>
      </c>
      <c r="M11" s="108">
        <f t="shared" si="6"/>
        <v>139.862300729927</v>
      </c>
      <c r="N11" s="102">
        <f>N24*$B$31/100/$B$32</f>
        <v>0.51695234285714287</v>
      </c>
      <c r="O11" s="107">
        <f t="shared" si="8"/>
        <v>0.14428153540372674</v>
      </c>
      <c r="P11" s="108">
        <f t="shared" si="9"/>
        <v>138.71554533333335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1.4880597763975154</v>
      </c>
      <c r="F12" s="107">
        <f t="shared" si="13"/>
        <v>0.80731443478260856</v>
      </c>
      <c r="G12" s="108">
        <f t="shared" si="14"/>
        <v>218.5927226277372</v>
      </c>
      <c r="H12" s="102">
        <f t="shared" ref="H12:H13" si="15">H25*$B$33/$B$32</f>
        <v>1.5516520745341615</v>
      </c>
      <c r="I12" s="107">
        <f t="shared" si="2"/>
        <v>0.76655890683229821</v>
      </c>
      <c r="J12" s="108">
        <f t="shared" si="3"/>
        <v>197.63922784810129</v>
      </c>
      <c r="K12" s="102">
        <f t="shared" ref="K12:K13" si="16">K25*$B$33/$B$32</f>
        <v>1.4071241242236026</v>
      </c>
      <c r="L12" s="107">
        <f t="shared" si="5"/>
        <v>0.72637878260869571</v>
      </c>
      <c r="M12" s="108">
        <f t="shared" si="6"/>
        <v>206.7034525547445</v>
      </c>
      <c r="N12" s="102">
        <f t="shared" ref="N12:N13" si="17">N25*$B$33/$B$32</f>
        <v>0.63476675776397518</v>
      </c>
      <c r="O12" s="107">
        <f t="shared" si="8"/>
        <v>0.26209595031055904</v>
      </c>
      <c r="P12" s="108">
        <f t="shared" si="9"/>
        <v>170.32908000000003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1.3978743354037269</v>
      </c>
      <c r="F13" s="107">
        <f t="shared" si="13"/>
        <v>0.71712899378882</v>
      </c>
      <c r="G13" s="108">
        <f t="shared" si="14"/>
        <v>205.34467883211681</v>
      </c>
      <c r="H13" s="102">
        <f t="shared" si="15"/>
        <v>1.5366211677018633</v>
      </c>
      <c r="I13" s="107">
        <f t="shared" si="2"/>
        <v>0.75152799999999997</v>
      </c>
      <c r="J13" s="108">
        <f t="shared" si="3"/>
        <v>195.7246898734177</v>
      </c>
      <c r="K13" s="102">
        <f t="shared" si="16"/>
        <v>1.3227198012422359</v>
      </c>
      <c r="L13" s="107">
        <f t="shared" si="5"/>
        <v>0.64197445962732902</v>
      </c>
      <c r="M13" s="108">
        <f t="shared" si="6"/>
        <v>194.30464233576637</v>
      </c>
      <c r="N13" s="102">
        <f t="shared" si="17"/>
        <v>0.63823542857142868</v>
      </c>
      <c r="O13" s="107">
        <f t="shared" si="8"/>
        <v>0.26556462111801254</v>
      </c>
      <c r="P13" s="108">
        <f t="shared" si="9"/>
        <v>171.25984000000003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1.3749193540372668</v>
      </c>
      <c r="F14" s="119">
        <f t="shared" si="13"/>
        <v>0.69417401242235999</v>
      </c>
      <c r="G14" s="120">
        <f t="shared" si="14"/>
        <v>201.97264233576641</v>
      </c>
      <c r="H14" s="118">
        <f>H27*$B$34/10/$B$32</f>
        <v>1.4317565714285714</v>
      </c>
      <c r="I14" s="119">
        <f t="shared" si="2"/>
        <v>0.64666340372670805</v>
      </c>
      <c r="J14" s="120">
        <f t="shared" si="3"/>
        <v>182.36772784810128</v>
      </c>
      <c r="K14" s="118">
        <f>K27*$B$34/10/$B$32</f>
        <v>1.3640932173913043</v>
      </c>
      <c r="L14" s="119">
        <f t="shared" si="5"/>
        <v>0.68334787577639744</v>
      </c>
      <c r="M14" s="120">
        <f t="shared" si="6"/>
        <v>200.38230656934303</v>
      </c>
      <c r="N14" s="118">
        <f>N27*$B$34/10/$B$32</f>
        <v>0.63062245962732921</v>
      </c>
      <c r="O14" s="119">
        <f t="shared" si="8"/>
        <v>0.25795165217391308</v>
      </c>
      <c r="P14" s="120">
        <f t="shared" si="9"/>
        <v>169.21702666666667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1.29</v>
      </c>
      <c r="C19" s="135" t="s">
        <v>172</v>
      </c>
      <c r="D19" s="136" t="s">
        <v>172</v>
      </c>
      <c r="E19" s="134">
        <v>1.37</v>
      </c>
      <c r="F19" s="135" t="s">
        <v>172</v>
      </c>
      <c r="G19" s="136" t="s">
        <v>172</v>
      </c>
      <c r="H19" s="134">
        <v>1.58</v>
      </c>
      <c r="I19" s="135" t="s">
        <v>172</v>
      </c>
      <c r="J19" s="136" t="s">
        <v>172</v>
      </c>
      <c r="K19" s="134">
        <v>1.37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41.91</v>
      </c>
      <c r="C20" s="144" t="s">
        <v>172</v>
      </c>
      <c r="D20" s="145" t="s">
        <v>172</v>
      </c>
      <c r="E20" s="143">
        <v>45.39</v>
      </c>
      <c r="F20" s="144" t="s">
        <v>172</v>
      </c>
      <c r="G20" s="145" t="s">
        <v>172</v>
      </c>
      <c r="H20" s="143">
        <v>50.38</v>
      </c>
      <c r="I20" s="144" t="s">
        <v>172</v>
      </c>
      <c r="J20" s="145" t="s">
        <v>172</v>
      </c>
      <c r="K20" s="143">
        <v>43.93</v>
      </c>
      <c r="L20" s="144" t="s">
        <v>172</v>
      </c>
      <c r="M20" s="145" t="s">
        <v>172</v>
      </c>
      <c r="N20" s="143">
        <v>23.18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41.59</v>
      </c>
      <c r="C21" s="144" t="s">
        <v>172</v>
      </c>
      <c r="D21" s="145" t="s">
        <v>172</v>
      </c>
      <c r="E21" s="143">
        <v>44.59</v>
      </c>
      <c r="F21" s="144" t="s">
        <v>172</v>
      </c>
      <c r="G21" s="145" t="s">
        <v>172</v>
      </c>
      <c r="H21" s="143">
        <f>H20</f>
        <v>50.38</v>
      </c>
      <c r="I21" s="144" t="s">
        <v>172</v>
      </c>
      <c r="J21" s="145" t="s">
        <v>172</v>
      </c>
      <c r="K21" s="143">
        <v>45.4</v>
      </c>
      <c r="L21" s="144" t="s">
        <v>172</v>
      </c>
      <c r="M21" s="145" t="s">
        <v>172</v>
      </c>
      <c r="N21" s="143">
        <f>N20</f>
        <v>23.18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41.5</v>
      </c>
      <c r="C22" s="144" t="s">
        <v>172</v>
      </c>
      <c r="D22" s="145" t="s">
        <v>172</v>
      </c>
      <c r="E22" s="143">
        <v>44.96</v>
      </c>
      <c r="F22" s="144" t="s">
        <v>172</v>
      </c>
      <c r="G22" s="145" t="s">
        <v>172</v>
      </c>
      <c r="H22" s="143">
        <f>H21</f>
        <v>50.38</v>
      </c>
      <c r="I22" s="144" t="s">
        <v>172</v>
      </c>
      <c r="J22" s="145" t="s">
        <v>172</v>
      </c>
      <c r="K22" s="143">
        <v>44.91</v>
      </c>
      <c r="L22" s="144" t="s">
        <v>172</v>
      </c>
      <c r="M22" s="145" t="s">
        <v>172</v>
      </c>
      <c r="N22" s="143">
        <f>N21</f>
        <v>23.18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40.549999999999997</v>
      </c>
      <c r="C23" s="144" t="s">
        <v>172</v>
      </c>
      <c r="D23" s="145" t="s">
        <v>172</v>
      </c>
      <c r="E23" s="143">
        <v>43.11</v>
      </c>
      <c r="F23" s="144" t="s">
        <v>172</v>
      </c>
      <c r="G23" s="145" t="s">
        <v>172</v>
      </c>
      <c r="H23" s="143">
        <f>H22</f>
        <v>50.38</v>
      </c>
      <c r="I23" s="144" t="s">
        <v>172</v>
      </c>
      <c r="J23" s="145" t="s">
        <v>172</v>
      </c>
      <c r="K23" s="143">
        <v>43.78</v>
      </c>
      <c r="L23" s="144" t="s">
        <v>172</v>
      </c>
      <c r="M23" s="145" t="s">
        <v>172</v>
      </c>
      <c r="N23" s="143">
        <v>19.07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34.020000000000003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14.03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0.54900000000000004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1.2090000000000001</v>
      </c>
      <c r="F26" s="144" t="s">
        <v>172</v>
      </c>
      <c r="G26" s="145" t="s">
        <v>172</v>
      </c>
      <c r="H26" s="153">
        <v>1.329</v>
      </c>
      <c r="I26" s="144" t="s">
        <v>172</v>
      </c>
      <c r="J26" s="145" t="s">
        <v>172</v>
      </c>
      <c r="K26" s="153">
        <v>1.1439999999999999</v>
      </c>
      <c r="L26" s="144" t="s">
        <v>172</v>
      </c>
      <c r="M26" s="145" t="s">
        <v>172</v>
      </c>
      <c r="N26" s="153">
        <v>0.55200000000000005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</v>
      </c>
      <c r="F27" s="158" t="s">
        <v>172</v>
      </c>
      <c r="G27" s="159" t="s">
        <v>172</v>
      </c>
      <c r="H27" s="160">
        <v>5.29</v>
      </c>
      <c r="I27" s="158" t="s">
        <v>172</v>
      </c>
      <c r="J27" s="159" t="s">
        <v>172</v>
      </c>
      <c r="K27" s="160">
        <v>5.04</v>
      </c>
      <c r="L27" s="158" t="s">
        <v>172</v>
      </c>
      <c r="M27" s="159" t="s">
        <v>172</v>
      </c>
      <c r="N27" s="160">
        <v>2.33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7.4153000000000002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2.0125000000000002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2.3269000000000002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5.4469000000000003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3.1688999999999998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43325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0.62780702178007441</v>
      </c>
      <c r="C6" s="103" t="s">
        <v>172</v>
      </c>
      <c r="D6" s="104" t="s">
        <v>172</v>
      </c>
      <c r="E6" s="102">
        <f>E19/$B$32</f>
        <v>0.66644130004346347</v>
      </c>
      <c r="F6" s="103" t="s">
        <v>172</v>
      </c>
      <c r="G6" s="104" t="s">
        <v>172</v>
      </c>
      <c r="H6" s="102">
        <f>H19/$B$32</f>
        <v>0.76785628048486021</v>
      </c>
      <c r="I6" s="103" t="s">
        <v>172</v>
      </c>
      <c r="J6" s="104" t="s">
        <v>172</v>
      </c>
      <c r="K6" s="102">
        <f>K19/$B$32</f>
        <v>0.66644130004346347</v>
      </c>
      <c r="L6" s="103" t="s">
        <v>172</v>
      </c>
      <c r="M6" s="104" t="s">
        <v>172</v>
      </c>
      <c r="N6" s="102">
        <f>N19/$B$32</f>
        <v>0.36219635871927369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0.61499785096827164</v>
      </c>
      <c r="C7" s="107">
        <f>B7-B$6</f>
        <v>-1.2809170811802773E-2</v>
      </c>
      <c r="D7" s="108">
        <f>B7/B$6*100</f>
        <v>97.959696153846153</v>
      </c>
      <c r="E7" s="102">
        <f t="shared" ref="E7:E10" si="0">E20*$B$35/100/$B$32</f>
        <v>0.66699432559037997</v>
      </c>
      <c r="F7" s="107">
        <f>E7-E$6</f>
        <v>5.5302554691649686E-4</v>
      </c>
      <c r="G7" s="108">
        <f>E7/E$6*100</f>
        <v>100.08298188405797</v>
      </c>
      <c r="H7" s="102">
        <f t="shared" ref="H7:H10" si="1">H20*$B$35/100/$B$32</f>
        <v>0.74175761819674513</v>
      </c>
      <c r="I7" s="107">
        <f t="shared" ref="I7:I14" si="2">H7-H$6</f>
        <v>-2.6098662288115082E-2</v>
      </c>
      <c r="J7" s="108">
        <f t="shared" ref="J7:J14" si="3">H7/H$6*100</f>
        <v>96.601100628930823</v>
      </c>
      <c r="K7" s="102">
        <f t="shared" ref="K7:K10" si="4">K20*$B$35/100/$B$32</f>
        <v>0.64510880378615942</v>
      </c>
      <c r="L7" s="107">
        <f t="shared" ref="L7:L14" si="5">K7-K$6</f>
        <v>-2.1332496257304046E-2</v>
      </c>
      <c r="M7" s="108">
        <f t="shared" ref="M7:M14" si="6">K7/K$6*100</f>
        <v>96.799043478260899</v>
      </c>
      <c r="N7" s="102">
        <f t="shared" ref="N7:N10" si="7">N20*$B$35/100/$B$32</f>
        <v>0.35266535471096733</v>
      </c>
      <c r="O7" s="107">
        <f t="shared" ref="O7:O14" si="8">N7-N$6</f>
        <v>-9.5310040083063652E-3</v>
      </c>
      <c r="P7" s="108">
        <f t="shared" ref="P7:P14" si="9">N7/N$6*100</f>
        <v>97.368553333333324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0.60030958130100942</v>
      </c>
      <c r="C8" s="107">
        <f t="shared" ref="C8:C11" si="11">B8-B$6</f>
        <v>-2.7497440479064994E-2</v>
      </c>
      <c r="D8" s="108">
        <f t="shared" ref="D8:D11" si="12">B8/B$6*100</f>
        <v>95.620080769230782</v>
      </c>
      <c r="E8" s="102">
        <f t="shared" si="0"/>
        <v>0.64804645771961178</v>
      </c>
      <c r="F8" s="107">
        <f t="shared" ref="F8:F14" si="13">E8-E$6</f>
        <v>-1.839484232385169E-2</v>
      </c>
      <c r="G8" s="108">
        <f t="shared" ref="G8:G14" si="14">E8/E$6*100</f>
        <v>97.239840579710162</v>
      </c>
      <c r="H8" s="102">
        <f t="shared" si="1"/>
        <v>0.74175761819674513</v>
      </c>
      <c r="I8" s="107">
        <f t="shared" si="2"/>
        <v>-2.6098662288115082E-2</v>
      </c>
      <c r="J8" s="108">
        <f t="shared" si="3"/>
        <v>96.601100628930823</v>
      </c>
      <c r="K8" s="102">
        <f t="shared" si="4"/>
        <v>0.63658960737914727</v>
      </c>
      <c r="L8" s="107">
        <f t="shared" si="5"/>
        <v>-2.9851692664316198E-2</v>
      </c>
      <c r="M8" s="108">
        <f t="shared" si="6"/>
        <v>95.520731884058009</v>
      </c>
      <c r="N8" s="102">
        <f t="shared" si="7"/>
        <v>0.35266535471096733</v>
      </c>
      <c r="O8" s="107">
        <f t="shared" si="8"/>
        <v>-9.5310040083063652E-3</v>
      </c>
      <c r="P8" s="108">
        <f t="shared" si="9"/>
        <v>97.368553333333324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0.60104399478437254</v>
      </c>
      <c r="C9" s="107">
        <f t="shared" si="11"/>
        <v>-2.6763026995701877E-2</v>
      </c>
      <c r="D9" s="108">
        <f t="shared" si="12"/>
        <v>95.737061538461546</v>
      </c>
      <c r="E9" s="102">
        <f t="shared" si="0"/>
        <v>0.64760580962959391</v>
      </c>
      <c r="F9" s="107">
        <f t="shared" si="13"/>
        <v>-1.883549041386956E-2</v>
      </c>
      <c r="G9" s="108">
        <f t="shared" si="14"/>
        <v>97.17372101449277</v>
      </c>
      <c r="H9" s="102">
        <f t="shared" si="1"/>
        <v>0.69916163616168459</v>
      </c>
      <c r="I9" s="107">
        <f t="shared" si="2"/>
        <v>-6.8694644323175624E-2</v>
      </c>
      <c r="J9" s="108">
        <f t="shared" si="3"/>
        <v>91.053710691823923</v>
      </c>
      <c r="K9" s="102">
        <f t="shared" si="4"/>
        <v>0.62997988602887922</v>
      </c>
      <c r="L9" s="107">
        <f t="shared" si="5"/>
        <v>-3.6461414014584248E-2</v>
      </c>
      <c r="M9" s="108">
        <f t="shared" si="6"/>
        <v>94.52893840579712</v>
      </c>
      <c r="N9" s="102">
        <f t="shared" si="7"/>
        <v>0.35266535471096733</v>
      </c>
      <c r="O9" s="107">
        <f t="shared" si="8"/>
        <v>-9.5310040083063652E-3</v>
      </c>
      <c r="P9" s="108">
        <f t="shared" si="9"/>
        <v>97.368553333333324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0.59590310040083072</v>
      </c>
      <c r="C10" s="107">
        <f t="shared" si="11"/>
        <v>-3.1903921379243694E-2</v>
      </c>
      <c r="D10" s="108">
        <f t="shared" si="12"/>
        <v>94.918196153846154</v>
      </c>
      <c r="E10" s="102">
        <f t="shared" si="0"/>
        <v>0.63365195344569458</v>
      </c>
      <c r="F10" s="107">
        <f t="shared" si="13"/>
        <v>-3.2789346597768887E-2</v>
      </c>
      <c r="G10" s="108">
        <f t="shared" si="14"/>
        <v>95.079934782608689</v>
      </c>
      <c r="H10" s="102">
        <f t="shared" si="1"/>
        <v>0.69916163616168459</v>
      </c>
      <c r="I10" s="107">
        <f t="shared" si="2"/>
        <v>-6.8694644323175624E-2</v>
      </c>
      <c r="J10" s="108">
        <f t="shared" si="3"/>
        <v>91.053710691823923</v>
      </c>
      <c r="K10" s="102">
        <f t="shared" si="4"/>
        <v>0.64437439030279609</v>
      </c>
      <c r="L10" s="107">
        <f t="shared" si="5"/>
        <v>-2.2066909740667384E-2</v>
      </c>
      <c r="M10" s="108">
        <f t="shared" si="6"/>
        <v>96.688844202898551</v>
      </c>
      <c r="N10" s="102">
        <f t="shared" si="7"/>
        <v>0.30301900323562081</v>
      </c>
      <c r="O10" s="107">
        <f t="shared" si="8"/>
        <v>-5.9177355483652883E-2</v>
      </c>
      <c r="P10" s="108">
        <f t="shared" si="9"/>
        <v>83.66152666666666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1.0575341188969913</v>
      </c>
      <c r="C11" s="107">
        <f t="shared" si="11"/>
        <v>0.42972709711691692</v>
      </c>
      <c r="D11" s="108">
        <f t="shared" si="12"/>
        <v>168.44891538461536</v>
      </c>
      <c r="E11" s="102">
        <f>E24*$B$31/100/$B$32</f>
        <v>1.0940637948519825</v>
      </c>
      <c r="F11" s="107">
        <f t="shared" si="13"/>
        <v>0.42762249480851899</v>
      </c>
      <c r="G11" s="108">
        <f t="shared" si="14"/>
        <v>164.16506521739134</v>
      </c>
      <c r="H11" s="102">
        <f>H24*$B$31/100/$B$32</f>
        <v>1.2445660597865456</v>
      </c>
      <c r="I11" s="107">
        <f t="shared" si="2"/>
        <v>0.47670977930168534</v>
      </c>
      <c r="J11" s="108">
        <f t="shared" si="3"/>
        <v>162.0832037735849</v>
      </c>
      <c r="K11" s="102">
        <f>K24*$B$31/100/$B$32</f>
        <v>0.94392682667696903</v>
      </c>
      <c r="L11" s="107">
        <f t="shared" si="5"/>
        <v>0.27748552663350556</v>
      </c>
      <c r="M11" s="108">
        <f t="shared" si="6"/>
        <v>141.63690434782609</v>
      </c>
      <c r="N11" s="102">
        <f>N24*$B$31/100/$B$32</f>
        <v>0.51251135364852463</v>
      </c>
      <c r="O11" s="107">
        <f t="shared" si="8"/>
        <v>0.15031499492925093</v>
      </c>
      <c r="P11" s="108">
        <f t="shared" si="9"/>
        <v>141.50096799999997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1.463949292509779</v>
      </c>
      <c r="F12" s="107">
        <f t="shared" si="13"/>
        <v>0.79750799246631554</v>
      </c>
      <c r="G12" s="108">
        <f t="shared" si="14"/>
        <v>219.66665217391301</v>
      </c>
      <c r="H12" s="102">
        <f t="shared" ref="H12:H13" si="15">H25*$B$33/$B$32</f>
        <v>1.5265112280871203</v>
      </c>
      <c r="I12" s="107">
        <f t="shared" si="2"/>
        <v>0.75865494760226004</v>
      </c>
      <c r="J12" s="108">
        <f t="shared" si="3"/>
        <v>198.8016855345912</v>
      </c>
      <c r="K12" s="102">
        <f t="shared" ref="K12:K13" si="16">K25*$B$33/$B$32</f>
        <v>1.3843250108658909</v>
      </c>
      <c r="L12" s="107">
        <f t="shared" si="5"/>
        <v>0.71788371082242741</v>
      </c>
      <c r="M12" s="108">
        <f t="shared" si="6"/>
        <v>207.71897101449278</v>
      </c>
      <c r="N12" s="102">
        <f t="shared" ref="N12:N13" si="17">N25*$B$33/$B$32</f>
        <v>0.62448186603564015</v>
      </c>
      <c r="O12" s="107">
        <f t="shared" si="8"/>
        <v>0.26228550731636646</v>
      </c>
      <c r="P12" s="108">
        <f t="shared" si="9"/>
        <v>172.41528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1.3649876853238034</v>
      </c>
      <c r="F13" s="107">
        <f t="shared" si="13"/>
        <v>0.69854638528033997</v>
      </c>
      <c r="G13" s="108">
        <f t="shared" si="14"/>
        <v>204.81739130434784</v>
      </c>
      <c r="H13" s="102">
        <f t="shared" si="15"/>
        <v>1.4628118027720096</v>
      </c>
      <c r="I13" s="107">
        <f t="shared" si="2"/>
        <v>0.69495552228714941</v>
      </c>
      <c r="J13" s="108">
        <f t="shared" si="3"/>
        <v>190.50593710691825</v>
      </c>
      <c r="K13" s="102">
        <f t="shared" si="16"/>
        <v>1.2739885063022169</v>
      </c>
      <c r="L13" s="107">
        <f t="shared" si="5"/>
        <v>0.60754720625875347</v>
      </c>
      <c r="M13" s="108">
        <f t="shared" si="6"/>
        <v>191.16289855072469</v>
      </c>
      <c r="N13" s="102">
        <f t="shared" si="17"/>
        <v>0.6165194378712513</v>
      </c>
      <c r="O13" s="107">
        <f t="shared" si="8"/>
        <v>0.2543230791519776</v>
      </c>
      <c r="P13" s="108">
        <f t="shared" si="9"/>
        <v>170.21690666666666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1.3416724779060221</v>
      </c>
      <c r="F14" s="119">
        <f t="shared" si="13"/>
        <v>0.6752311778625586</v>
      </c>
      <c r="G14" s="120">
        <f t="shared" si="14"/>
        <v>201.31892753623188</v>
      </c>
      <c r="H14" s="118">
        <f>H27*$B$34/10/$B$32</f>
        <v>1.3997764041145504</v>
      </c>
      <c r="I14" s="119">
        <f t="shared" si="2"/>
        <v>0.63192012362969019</v>
      </c>
      <c r="J14" s="120">
        <f t="shared" si="3"/>
        <v>182.29666666666665</v>
      </c>
      <c r="K14" s="118">
        <f>K27*$B$34/10/$B$32</f>
        <v>1.317902689911624</v>
      </c>
      <c r="L14" s="119">
        <f t="shared" si="5"/>
        <v>0.65146138986816049</v>
      </c>
      <c r="M14" s="120">
        <f t="shared" si="6"/>
        <v>197.75225362318844</v>
      </c>
      <c r="N14" s="118">
        <f>N27*$B$34/10/$B$32</f>
        <v>0.61273231274448248</v>
      </c>
      <c r="O14" s="119">
        <f t="shared" si="8"/>
        <v>0.25053595402520878</v>
      </c>
      <c r="P14" s="120">
        <f t="shared" si="9"/>
        <v>169.17130666666665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</v>
      </c>
      <c r="C19" s="135" t="s">
        <v>172</v>
      </c>
      <c r="D19" s="136" t="s">
        <v>172</v>
      </c>
      <c r="E19" s="134">
        <v>1.38</v>
      </c>
      <c r="F19" s="135" t="s">
        <v>172</v>
      </c>
      <c r="G19" s="136" t="s">
        <v>172</v>
      </c>
      <c r="H19" s="134">
        <v>1.59</v>
      </c>
      <c r="I19" s="135" t="s">
        <v>172</v>
      </c>
      <c r="J19" s="136" t="s">
        <v>172</v>
      </c>
      <c r="K19" s="134">
        <v>1.38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41.87</v>
      </c>
      <c r="C20" s="144" t="s">
        <v>172</v>
      </c>
      <c r="D20" s="145" t="s">
        <v>172</v>
      </c>
      <c r="E20" s="143">
        <v>45.41</v>
      </c>
      <c r="F20" s="144" t="s">
        <v>172</v>
      </c>
      <c r="G20" s="145" t="s">
        <v>172</v>
      </c>
      <c r="H20" s="143">
        <v>50.5</v>
      </c>
      <c r="I20" s="144" t="s">
        <v>172</v>
      </c>
      <c r="J20" s="145" t="s">
        <v>172</v>
      </c>
      <c r="K20" s="143">
        <v>43.92</v>
      </c>
      <c r="L20" s="144" t="s">
        <v>172</v>
      </c>
      <c r="M20" s="145" t="s">
        <v>172</v>
      </c>
      <c r="N20" s="143">
        <v>24.01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40.869999999999997</v>
      </c>
      <c r="C21" s="144" t="s">
        <v>172</v>
      </c>
      <c r="D21" s="145" t="s">
        <v>172</v>
      </c>
      <c r="E21" s="143">
        <v>44.12</v>
      </c>
      <c r="F21" s="144" t="s">
        <v>172</v>
      </c>
      <c r="G21" s="145" t="s">
        <v>172</v>
      </c>
      <c r="H21" s="143">
        <f>H20</f>
        <v>50.5</v>
      </c>
      <c r="I21" s="144" t="s">
        <v>172</v>
      </c>
      <c r="J21" s="145" t="s">
        <v>172</v>
      </c>
      <c r="K21" s="143">
        <v>43.34</v>
      </c>
      <c r="L21" s="144" t="s">
        <v>172</v>
      </c>
      <c r="M21" s="145" t="s">
        <v>172</v>
      </c>
      <c r="N21" s="143">
        <f>N20</f>
        <v>24.01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40.92</v>
      </c>
      <c r="C22" s="144" t="s">
        <v>172</v>
      </c>
      <c r="D22" s="145" t="s">
        <v>172</v>
      </c>
      <c r="E22" s="143">
        <v>44.09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42.89</v>
      </c>
      <c r="L22" s="144" t="s">
        <v>172</v>
      </c>
      <c r="M22" s="145" t="s">
        <v>172</v>
      </c>
      <c r="N22" s="143">
        <f>N21</f>
        <v>24.01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40.57</v>
      </c>
      <c r="C23" s="144" t="s">
        <v>172</v>
      </c>
      <c r="D23" s="145" t="s">
        <v>172</v>
      </c>
      <c r="E23" s="143">
        <v>43.14</v>
      </c>
      <c r="F23" s="144" t="s">
        <v>172</v>
      </c>
      <c r="G23" s="145" t="s">
        <v>172</v>
      </c>
      <c r="H23" s="143">
        <f>H22</f>
        <v>47.6</v>
      </c>
      <c r="I23" s="144" t="s">
        <v>172</v>
      </c>
      <c r="J23" s="145" t="s">
        <v>172</v>
      </c>
      <c r="K23" s="143">
        <v>43.87</v>
      </c>
      <c r="L23" s="144" t="s">
        <v>172</v>
      </c>
      <c r="M23" s="145" t="s">
        <v>172</v>
      </c>
      <c r="N23" s="143">
        <v>20.63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28.95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34.07</v>
      </c>
      <c r="I24" s="144" t="s">
        <v>172</v>
      </c>
      <c r="J24" s="145" t="s">
        <v>172</v>
      </c>
      <c r="K24" s="143">
        <v>25.84</v>
      </c>
      <c r="L24" s="144" t="s">
        <v>172</v>
      </c>
      <c r="M24" s="145" t="s">
        <v>172</v>
      </c>
      <c r="N24" s="143">
        <v>14.03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0.54900000000000004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</v>
      </c>
      <c r="F26" s="144" t="s">
        <v>172</v>
      </c>
      <c r="G26" s="145" t="s">
        <v>172</v>
      </c>
      <c r="H26" s="153">
        <v>1.286</v>
      </c>
      <c r="I26" s="144" t="s">
        <v>172</v>
      </c>
      <c r="J26" s="145" t="s">
        <v>172</v>
      </c>
      <c r="K26" s="153">
        <v>1.1200000000000001</v>
      </c>
      <c r="L26" s="144" t="s">
        <v>172</v>
      </c>
      <c r="M26" s="145" t="s">
        <v>172</v>
      </c>
      <c r="N26" s="153">
        <v>0.54200000000000004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</v>
      </c>
      <c r="F27" s="158" t="s">
        <v>172</v>
      </c>
      <c r="G27" s="159" t="s">
        <v>172</v>
      </c>
      <c r="H27" s="160">
        <v>5.3</v>
      </c>
      <c r="I27" s="158" t="s">
        <v>172</v>
      </c>
      <c r="J27" s="159" t="s">
        <v>172</v>
      </c>
      <c r="K27" s="160">
        <v>4.99</v>
      </c>
      <c r="L27" s="158" t="s">
        <v>172</v>
      </c>
      <c r="M27" s="159" t="s">
        <v>172</v>
      </c>
      <c r="N27" s="160">
        <v>2.3199999999999998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7.5641999999999996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2.0707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2.3553999999999999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5.4688999999999997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3.0415000000000001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zoomScaleNormal="10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43332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0.63877511215135552</v>
      </c>
      <c r="C6" s="103" t="s">
        <v>172</v>
      </c>
      <c r="D6" s="104" t="s">
        <v>172</v>
      </c>
      <c r="E6" s="102">
        <f>E19/$B$32</f>
        <v>0.67778427930563667</v>
      </c>
      <c r="F6" s="103" t="s">
        <v>172</v>
      </c>
      <c r="G6" s="104" t="s">
        <v>172</v>
      </c>
      <c r="H6" s="102">
        <f>H19/$B$32</f>
        <v>0.78018334308562509</v>
      </c>
      <c r="I6" s="103" t="s">
        <v>172</v>
      </c>
      <c r="J6" s="104" t="s">
        <v>172</v>
      </c>
      <c r="K6" s="102">
        <f>K19/$B$32</f>
        <v>0.67778427930563667</v>
      </c>
      <c r="L6" s="103" t="s">
        <v>172</v>
      </c>
      <c r="M6" s="104" t="s">
        <v>172</v>
      </c>
      <c r="N6" s="102">
        <f>N19/$B$32</f>
        <v>0.36571094207138677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0.62330485664131063</v>
      </c>
      <c r="C7" s="107">
        <f>B7-B$6</f>
        <v>-1.5470255510044884E-2</v>
      </c>
      <c r="D7" s="108">
        <f>B7/B$6*100</f>
        <v>97.578137404580147</v>
      </c>
      <c r="E7" s="102">
        <f t="shared" ref="E7:E10" si="0">E20*$B$35/100/$B$32</f>
        <v>0.67987395162863273</v>
      </c>
      <c r="F7" s="107">
        <f>E7-E$6</f>
        <v>2.0896723229960612E-3</v>
      </c>
      <c r="G7" s="108">
        <f>E7/E$6*100</f>
        <v>100.30830935251799</v>
      </c>
      <c r="H7" s="102">
        <f t="shared" ref="H7:H10" si="1">H20*$B$35/100/$B$32</f>
        <v>0.76032445874780563</v>
      </c>
      <c r="I7" s="107">
        <f t="shared" ref="I7:I14" si="2">H7-H$6</f>
        <v>-1.985888433781946E-2</v>
      </c>
      <c r="J7" s="108">
        <f t="shared" ref="J7:J14" si="3">H7/H$6*100</f>
        <v>97.454587499999988</v>
      </c>
      <c r="K7" s="102">
        <f t="shared" ref="K7:K10" si="4">K20*$B$35/100/$B$32</f>
        <v>0.65449995123854099</v>
      </c>
      <c r="L7" s="107">
        <f t="shared" ref="L7:L14" si="5">K7-K$6</f>
        <v>-2.3284328067095683E-2</v>
      </c>
      <c r="M7" s="108">
        <f t="shared" ref="M7:M14" si="6">K7/K$6*100</f>
        <v>96.564640287769805</v>
      </c>
      <c r="N7" s="102">
        <f t="shared" ref="N7:N10" si="7">N20*$B$35/100/$B$32</f>
        <v>0.36553486444314404</v>
      </c>
      <c r="O7" s="107">
        <f t="shared" ref="O7:O14" si="8">N7-N$6</f>
        <v>-1.7607762824273232E-4</v>
      </c>
      <c r="P7" s="108">
        <f t="shared" ref="P7:P14" si="9">N7/N$6*100</f>
        <v>99.951853333333304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0.6128567388336259</v>
      </c>
      <c r="C8" s="107">
        <f t="shared" ref="C8:C11" si="11">B8-B$6</f>
        <v>-2.5918373317729615E-2</v>
      </c>
      <c r="D8" s="108">
        <f t="shared" ref="D8:D11" si="12">B8/B$6*100</f>
        <v>95.942488549618332</v>
      </c>
      <c r="E8" s="102">
        <f t="shared" si="0"/>
        <v>0.6576343865808465</v>
      </c>
      <c r="F8" s="107">
        <f t="shared" ref="F8:F14" si="13">E8-E$6</f>
        <v>-2.0149892724790175E-2</v>
      </c>
      <c r="G8" s="108">
        <f t="shared" ref="G8:G14" si="14">E8/E$6*100</f>
        <v>97.027093525179879</v>
      </c>
      <c r="H8" s="102">
        <f t="shared" si="1"/>
        <v>0.76032445874780563</v>
      </c>
      <c r="I8" s="107">
        <f t="shared" si="2"/>
        <v>-1.985888433781946E-2</v>
      </c>
      <c r="J8" s="108">
        <f t="shared" si="3"/>
        <v>97.454587499999988</v>
      </c>
      <c r="K8" s="102">
        <f t="shared" si="4"/>
        <v>0.66673917495611457</v>
      </c>
      <c r="L8" s="107">
        <f t="shared" si="5"/>
        <v>-1.1045104349522106E-2</v>
      </c>
      <c r="M8" s="108">
        <f t="shared" si="6"/>
        <v>98.370410071942445</v>
      </c>
      <c r="N8" s="102">
        <f t="shared" si="7"/>
        <v>0.36553486444314404</v>
      </c>
      <c r="O8" s="107">
        <f t="shared" si="8"/>
        <v>-1.7607762824273232E-4</v>
      </c>
      <c r="P8" s="108">
        <f t="shared" si="9"/>
        <v>99.951853333333304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0.61091637409791288</v>
      </c>
      <c r="C9" s="107">
        <f t="shared" si="11"/>
        <v>-2.7858738053442633E-2</v>
      </c>
      <c r="D9" s="108">
        <f t="shared" si="12"/>
        <v>95.638725190839679</v>
      </c>
      <c r="E9" s="102">
        <f t="shared" si="0"/>
        <v>0.6583806807099668</v>
      </c>
      <c r="F9" s="107">
        <f t="shared" si="13"/>
        <v>-1.9403598595669869E-2</v>
      </c>
      <c r="G9" s="108">
        <f t="shared" si="14"/>
        <v>97.137201438848948</v>
      </c>
      <c r="H9" s="102">
        <f t="shared" si="1"/>
        <v>0.71047201092256673</v>
      </c>
      <c r="I9" s="107">
        <f t="shared" si="2"/>
        <v>-6.9711332163058359E-2</v>
      </c>
      <c r="J9" s="108">
        <f t="shared" si="3"/>
        <v>91.064749999999989</v>
      </c>
      <c r="K9" s="102">
        <f t="shared" si="4"/>
        <v>0.63927555100448596</v>
      </c>
      <c r="L9" s="107">
        <f t="shared" si="5"/>
        <v>-3.8508728301150708E-2</v>
      </c>
      <c r="M9" s="108">
        <f t="shared" si="6"/>
        <v>94.318438848920877</v>
      </c>
      <c r="N9" s="102">
        <f t="shared" si="7"/>
        <v>0.36553486444314404</v>
      </c>
      <c r="O9" s="107">
        <f t="shared" si="8"/>
        <v>-1.7607762824273232E-4</v>
      </c>
      <c r="P9" s="108">
        <f t="shared" si="9"/>
        <v>99.951853333333304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0.6041997269358298</v>
      </c>
      <c r="C10" s="107">
        <f t="shared" si="11"/>
        <v>-3.4575385215525722E-2</v>
      </c>
      <c r="D10" s="108">
        <f t="shared" si="12"/>
        <v>94.587236641221367</v>
      </c>
      <c r="E10" s="102">
        <f t="shared" si="0"/>
        <v>0.65733586892919815</v>
      </c>
      <c r="F10" s="107">
        <f t="shared" si="13"/>
        <v>-2.0448410376438519E-2</v>
      </c>
      <c r="G10" s="108">
        <f t="shared" si="14"/>
        <v>96.983050359712223</v>
      </c>
      <c r="H10" s="102">
        <f t="shared" si="1"/>
        <v>0.71047201092256673</v>
      </c>
      <c r="I10" s="107">
        <f t="shared" si="2"/>
        <v>-6.9711332163058359E-2</v>
      </c>
      <c r="J10" s="108">
        <f t="shared" si="3"/>
        <v>91.064749999999989</v>
      </c>
      <c r="K10" s="102">
        <f t="shared" si="4"/>
        <v>0.66763472791105893</v>
      </c>
      <c r="L10" s="107">
        <f t="shared" si="5"/>
        <v>-1.0149551394577738E-2</v>
      </c>
      <c r="M10" s="108">
        <f t="shared" si="6"/>
        <v>98.502539568345327</v>
      </c>
      <c r="N10" s="102">
        <f t="shared" si="7"/>
        <v>0.36553486444314404</v>
      </c>
      <c r="O10" s="107">
        <f t="shared" si="8"/>
        <v>-1.7607762824273232E-4</v>
      </c>
      <c r="P10" s="108">
        <f t="shared" si="9"/>
        <v>99.951853333333304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1.0445393017359079</v>
      </c>
      <c r="C11" s="107">
        <f t="shared" si="11"/>
        <v>0.4057641895845524</v>
      </c>
      <c r="D11" s="108">
        <f t="shared" si="12"/>
        <v>163.5222290076336</v>
      </c>
      <c r="E11" s="102">
        <f>E24*$B$31/100/$B$32</f>
        <v>1.0803111956309732</v>
      </c>
      <c r="F11" s="107">
        <f t="shared" si="13"/>
        <v>0.40252691632533655</v>
      </c>
      <c r="G11" s="108">
        <f t="shared" si="14"/>
        <v>159.38864748201442</v>
      </c>
      <c r="H11" s="102">
        <f>H24*$B$31/100/$B$32</f>
        <v>1.2294799931733955</v>
      </c>
      <c r="I11" s="107">
        <f t="shared" si="2"/>
        <v>0.44929665008777042</v>
      </c>
      <c r="J11" s="108">
        <f t="shared" si="3"/>
        <v>157.58859812499998</v>
      </c>
      <c r="K11" s="102">
        <f>K24*$B$31/100/$B$32</f>
        <v>0.93328871172225469</v>
      </c>
      <c r="L11" s="107">
        <f t="shared" si="5"/>
        <v>0.25550443241661802</v>
      </c>
      <c r="M11" s="108">
        <f t="shared" si="6"/>
        <v>137.69701366906477</v>
      </c>
      <c r="N11" s="102">
        <f>N24*$B$31/100/$B$32</f>
        <v>0.50187967134776668</v>
      </c>
      <c r="O11" s="107">
        <f t="shared" si="8"/>
        <v>0.13616872927637991</v>
      </c>
      <c r="P11" s="108">
        <f t="shared" si="9"/>
        <v>137.23397733333331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1.4663566413107076</v>
      </c>
      <c r="F12" s="107">
        <f t="shared" si="13"/>
        <v>0.78857236200507097</v>
      </c>
      <c r="G12" s="108">
        <f t="shared" si="14"/>
        <v>216.34562589928055</v>
      </c>
      <c r="H12" s="102">
        <f t="shared" ref="H12:H13" si="15">H25*$B$33/$B$32</f>
        <v>1.5290214550419345</v>
      </c>
      <c r="I12" s="107">
        <f t="shared" si="2"/>
        <v>0.74883811195630945</v>
      </c>
      <c r="J12" s="108">
        <f t="shared" si="3"/>
        <v>195.98232499999997</v>
      </c>
      <c r="K12" s="102">
        <f t="shared" ref="K12:K13" si="16">K25*$B$33/$B$32</f>
        <v>1.3752078213380143</v>
      </c>
      <c r="L12" s="107">
        <f t="shared" si="5"/>
        <v>0.69742354203237766</v>
      </c>
      <c r="M12" s="108">
        <f t="shared" si="6"/>
        <v>202.89756834532375</v>
      </c>
      <c r="N12" s="102">
        <f t="shared" ref="N12:N13" si="17">N25*$B$33/$B$32</f>
        <v>0.61411517456602294</v>
      </c>
      <c r="O12" s="107">
        <f t="shared" si="8"/>
        <v>0.24840423249463617</v>
      </c>
      <c r="P12" s="108">
        <f t="shared" si="9"/>
        <v>167.92365333333333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1.4173641505753851</v>
      </c>
      <c r="F13" s="107">
        <f t="shared" si="13"/>
        <v>0.73957987126974845</v>
      </c>
      <c r="G13" s="108">
        <f t="shared" si="14"/>
        <v>209.11729496402879</v>
      </c>
      <c r="H13" s="102">
        <f t="shared" si="15"/>
        <v>1.5085129705480786</v>
      </c>
      <c r="I13" s="107">
        <f t="shared" si="2"/>
        <v>0.72832962746245355</v>
      </c>
      <c r="J13" s="108">
        <f t="shared" si="3"/>
        <v>193.35364999999999</v>
      </c>
      <c r="K13" s="102">
        <f t="shared" si="16"/>
        <v>1.2806409206163447</v>
      </c>
      <c r="L13" s="107">
        <f t="shared" si="5"/>
        <v>0.60285664131070804</v>
      </c>
      <c r="M13" s="108">
        <f t="shared" si="6"/>
        <v>188.94520863309353</v>
      </c>
      <c r="N13" s="102">
        <f t="shared" si="17"/>
        <v>0.62095133606397501</v>
      </c>
      <c r="O13" s="107">
        <f t="shared" si="8"/>
        <v>0.25524039399258824</v>
      </c>
      <c r="P13" s="108">
        <f t="shared" si="9"/>
        <v>169.79293333333334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1.3368453774136921</v>
      </c>
      <c r="F14" s="119">
        <f t="shared" si="13"/>
        <v>0.65906109810805547</v>
      </c>
      <c r="G14" s="120">
        <f t="shared" si="14"/>
        <v>197.23758992805759</v>
      </c>
      <c r="H14" s="118">
        <f>H27*$B$34/10/$B$32</f>
        <v>1.4080383265067289</v>
      </c>
      <c r="I14" s="119">
        <f t="shared" si="2"/>
        <v>0.6278549834211038</v>
      </c>
      <c r="J14" s="120">
        <f t="shared" si="3"/>
        <v>180.47531249999997</v>
      </c>
      <c r="K14" s="118">
        <f>K27*$B$34/10/$B$32</f>
        <v>1.3157511702750144</v>
      </c>
      <c r="L14" s="119">
        <f t="shared" si="5"/>
        <v>0.63796689096937775</v>
      </c>
      <c r="M14" s="120">
        <f t="shared" si="6"/>
        <v>194.12535971223025</v>
      </c>
      <c r="N14" s="118">
        <f>N27*$B$34/10/$B$32</f>
        <v>0.60118490345231124</v>
      </c>
      <c r="O14" s="119">
        <f t="shared" si="8"/>
        <v>0.23547396138092447</v>
      </c>
      <c r="P14" s="120">
        <f t="shared" si="9"/>
        <v>164.38799999999998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1.31</v>
      </c>
      <c r="C19" s="135" t="s">
        <v>172</v>
      </c>
      <c r="D19" s="136" t="s">
        <v>172</v>
      </c>
      <c r="E19" s="134">
        <v>1.39</v>
      </c>
      <c r="F19" s="135" t="s">
        <v>172</v>
      </c>
      <c r="G19" s="136" t="s">
        <v>172</v>
      </c>
      <c r="H19" s="134">
        <v>1.6</v>
      </c>
      <c r="I19" s="135" t="s">
        <v>172</v>
      </c>
      <c r="J19" s="136" t="s">
        <v>172</v>
      </c>
      <c r="K19" s="134">
        <v>1.39</v>
      </c>
      <c r="L19" s="135" t="s">
        <v>172</v>
      </c>
      <c r="M19" s="136" t="s">
        <v>172</v>
      </c>
      <c r="N19" s="134">
        <v>0.75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41.76</v>
      </c>
      <c r="C20" s="144" t="s">
        <v>172</v>
      </c>
      <c r="D20" s="145" t="s">
        <v>172</v>
      </c>
      <c r="E20" s="143">
        <v>45.55</v>
      </c>
      <c r="F20" s="144" t="s">
        <v>172</v>
      </c>
      <c r="G20" s="145" t="s">
        <v>172</v>
      </c>
      <c r="H20" s="143">
        <v>50.94</v>
      </c>
      <c r="I20" s="144" t="s">
        <v>172</v>
      </c>
      <c r="J20" s="145" t="s">
        <v>172</v>
      </c>
      <c r="K20" s="143">
        <v>43.85</v>
      </c>
      <c r="L20" s="144" t="s">
        <v>172</v>
      </c>
      <c r="M20" s="145" t="s">
        <v>172</v>
      </c>
      <c r="N20" s="143">
        <v>24.49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41.06</v>
      </c>
      <c r="C21" s="144" t="s">
        <v>172</v>
      </c>
      <c r="D21" s="145" t="s">
        <v>172</v>
      </c>
      <c r="E21" s="143">
        <v>44.06</v>
      </c>
      <c r="F21" s="144" t="s">
        <v>172</v>
      </c>
      <c r="G21" s="145" t="s">
        <v>172</v>
      </c>
      <c r="H21" s="143">
        <v>50.94</v>
      </c>
      <c r="I21" s="144" t="s">
        <v>172</v>
      </c>
      <c r="J21" s="145" t="s">
        <v>172</v>
      </c>
      <c r="K21" s="143">
        <v>44.67</v>
      </c>
      <c r="L21" s="144" t="s">
        <v>172</v>
      </c>
      <c r="M21" s="145" t="s">
        <v>172</v>
      </c>
      <c r="N21" s="143">
        <v>24.49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40.93</v>
      </c>
      <c r="C22" s="144" t="s">
        <v>172</v>
      </c>
      <c r="D22" s="145" t="s">
        <v>172</v>
      </c>
      <c r="E22" s="143">
        <v>44.11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42.83</v>
      </c>
      <c r="L22" s="144" t="s">
        <v>172</v>
      </c>
      <c r="M22" s="145" t="s">
        <v>172</v>
      </c>
      <c r="N22" s="143">
        <f>N21</f>
        <v>24.49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51">
        <v>40.479999999999997</v>
      </c>
      <c r="C23" s="144" t="s">
        <v>172</v>
      </c>
      <c r="D23" s="145" t="s">
        <v>172</v>
      </c>
      <c r="E23" s="143">
        <v>44.04</v>
      </c>
      <c r="F23" s="144" t="s">
        <v>172</v>
      </c>
      <c r="G23" s="145" t="s">
        <v>172</v>
      </c>
      <c r="H23" s="143">
        <f>H22</f>
        <v>47.6</v>
      </c>
      <c r="I23" s="144" t="s">
        <v>172</v>
      </c>
      <c r="J23" s="145" t="s">
        <v>172</v>
      </c>
      <c r="K23" s="143">
        <v>44.73</v>
      </c>
      <c r="L23" s="144" t="s">
        <v>172</v>
      </c>
      <c r="M23" s="145" t="s">
        <v>172</v>
      </c>
      <c r="N23" s="143">
        <f>N22</f>
        <v>24.49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29.2</v>
      </c>
      <c r="C24" s="144" t="s">
        <v>172</v>
      </c>
      <c r="D24" s="145" t="s">
        <v>172</v>
      </c>
      <c r="E24" s="143">
        <v>30.2</v>
      </c>
      <c r="F24" s="144" t="s">
        <v>172</v>
      </c>
      <c r="G24" s="145" t="s">
        <v>172</v>
      </c>
      <c r="H24" s="143">
        <v>34.369999999999997</v>
      </c>
      <c r="I24" s="144" t="s">
        <v>172</v>
      </c>
      <c r="J24" s="145" t="s">
        <v>172</v>
      </c>
      <c r="K24" s="143">
        <v>26.09</v>
      </c>
      <c r="L24" s="144" t="s">
        <v>172</v>
      </c>
      <c r="M24" s="145" t="s">
        <v>172</v>
      </c>
      <c r="N24" s="143">
        <v>14.03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1.2070000000000001</v>
      </c>
      <c r="L25" s="144" t="s">
        <v>172</v>
      </c>
      <c r="M25" s="145" t="s">
        <v>172</v>
      </c>
      <c r="N25" s="153">
        <v>0.53900000000000003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1.3240000000000001</v>
      </c>
      <c r="I26" s="144" t="s">
        <v>172</v>
      </c>
      <c r="J26" s="145" t="s">
        <v>172</v>
      </c>
      <c r="K26" s="153">
        <v>1.1240000000000001</v>
      </c>
      <c r="L26" s="144" t="s">
        <v>172</v>
      </c>
      <c r="M26" s="145" t="s">
        <v>172</v>
      </c>
      <c r="N26" s="153">
        <v>0.54500000000000004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5.07</v>
      </c>
      <c r="F27" s="158" t="s">
        <v>172</v>
      </c>
      <c r="G27" s="159" t="s">
        <v>172</v>
      </c>
      <c r="H27" s="160">
        <v>5.34</v>
      </c>
      <c r="I27" s="158" t="s">
        <v>172</v>
      </c>
      <c r="J27" s="159" t="s">
        <v>172</v>
      </c>
      <c r="K27" s="160">
        <v>4.99</v>
      </c>
      <c r="L27" s="158" t="s">
        <v>172</v>
      </c>
      <c r="M27" s="159" t="s">
        <v>172</v>
      </c>
      <c r="N27" s="160">
        <v>2.2799999999999998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7.3361000000000001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2.0508000000000002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2.3365999999999998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5.4074999999999998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3.0609999999999999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0" r:id="rId2"/>
    <hyperlink ref="Q22" r:id="rId3"/>
    <hyperlink ref="Q23" r:id="rId4"/>
    <hyperlink ref="Q24" r:id="rId5"/>
    <hyperlink ref="Q21" r:id="rId6"/>
    <hyperlink ref="Q25" r:id="rId7" location=".WOOTMl7SnSs"/>
    <hyperlink ref="Q26" r:id="rId8" location=".Vs2LGH2LRkg"/>
    <hyperlink ref="Q27" r:id="rId9" location=".VyhQfdKLTcs"/>
    <hyperlink ref="R27" r:id="rId10"/>
    <hyperlink ref="R25" r:id="rId11"/>
    <hyperlink ref="R26" r:id="rId12"/>
    <hyperlink ref="C31" r:id="rId13" display="www.nbrb.by"/>
    <hyperlink ref="C31:E35" r:id="rId14" display="http://www.nbrb.by/statistics/rates/ratesDaily.asp"/>
    <hyperlink ref="S25" r:id="rId15"/>
    <hyperlink ref="S26" r:id="rId16"/>
    <hyperlink ref="S27" r:id="rId17"/>
    <hyperlink ref="S24" r:id="rId18"/>
    <hyperlink ref="T25" r:id="rId19"/>
    <hyperlink ref="U25" r:id="rId20"/>
    <hyperlink ref="U26" r:id="rId21"/>
    <hyperlink ref="U27" r:id="rId22"/>
    <hyperlink ref="V24" r:id="rId23"/>
    <hyperlink ref="V25" r:id="rId24"/>
    <hyperlink ref="V26" r:id="rId25"/>
    <hyperlink ref="V27" r:id="rId26"/>
    <hyperlink ref="W24" r:id="rId27"/>
    <hyperlink ref="W25" r:id="rId28"/>
    <hyperlink ref="W26" r:id="rId29"/>
    <hyperlink ref="W27" r:id="rId30"/>
    <hyperlink ref="R24" r:id="rId31"/>
  </hyperlinks>
  <pageMargins left="0.25" right="0.25" top="0.75" bottom="0.75" header="0.3" footer="0.3"/>
  <pageSetup paperSize="9" orientation="landscape" r:id="rId3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zoomScale="115" zoomScaleNormal="115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6.140625" bestFit="1" customWidth="1"/>
    <col min="6" max="6" width="7" customWidth="1"/>
    <col min="7" max="7" width="8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43339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0.642023346303502</v>
      </c>
      <c r="C6" s="103" t="s">
        <v>172</v>
      </c>
      <c r="D6" s="104" t="s">
        <v>172</v>
      </c>
      <c r="E6" s="102">
        <f>E19/$B$32</f>
        <v>0.68093385214007773</v>
      </c>
      <c r="F6" s="103" t="s">
        <v>172</v>
      </c>
      <c r="G6" s="104" t="s">
        <v>172</v>
      </c>
      <c r="H6" s="102">
        <f>H19/$B$32</f>
        <v>0.78307392996108949</v>
      </c>
      <c r="I6" s="103" t="s">
        <v>172</v>
      </c>
      <c r="J6" s="104" t="s">
        <v>172</v>
      </c>
      <c r="K6" s="102">
        <f>K19/$B$32</f>
        <v>0.68093385214007773</v>
      </c>
      <c r="L6" s="103" t="s">
        <v>172</v>
      </c>
      <c r="M6" s="104" t="s">
        <v>172</v>
      </c>
      <c r="N6" s="102">
        <f>N19/$B$32</f>
        <v>0.36964980544747084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0.61701284533073941</v>
      </c>
      <c r="C7" s="107">
        <f>B7-B$6</f>
        <v>-2.5010500972762584E-2</v>
      </c>
      <c r="D7" s="108">
        <f>B7/B$6*100</f>
        <v>96.10442500000002</v>
      </c>
      <c r="E7" s="102">
        <f t="shared" ref="E7:E10" si="0">E20*$B$35/100/$B$32</f>
        <v>0.67070461575875484</v>
      </c>
      <c r="F7" s="107">
        <f>E7-E$6</f>
        <v>-1.0229236381322893E-2</v>
      </c>
      <c r="G7" s="108">
        <f>E7/E$6*100</f>
        <v>98.497763571428578</v>
      </c>
      <c r="H7" s="102">
        <f t="shared" ref="H7:H10" si="1">H20*$B$35/100/$B$32</f>
        <v>0.75138977626459147</v>
      </c>
      <c r="I7" s="107">
        <f t="shared" ref="I7:I14" si="2">H7-H$6</f>
        <v>-3.1684153696498019E-2</v>
      </c>
      <c r="J7" s="108">
        <f t="shared" ref="J7:J14" si="3">H7/H$6*100</f>
        <v>95.9538745341615</v>
      </c>
      <c r="K7" s="102">
        <f t="shared" ref="K7:K10" si="4">K20*$B$35/100/$B$32</f>
        <v>0.64651381809338515</v>
      </c>
      <c r="L7" s="107">
        <f t="shared" ref="L7:L14" si="5">K7-K$6</f>
        <v>-3.4420034046692582E-2</v>
      </c>
      <c r="M7" s="108">
        <f t="shared" ref="M7:M14" si="6">K7/K$6*100</f>
        <v>94.945172142857146</v>
      </c>
      <c r="N7" s="102">
        <f t="shared" ref="N7:N10" si="7">N20*$B$35/100/$B$32</f>
        <v>0.37274479085603113</v>
      </c>
      <c r="O7" s="107">
        <f t="shared" ref="O7:O14" si="8">N7-N$6</f>
        <v>3.0949854085602913E-3</v>
      </c>
      <c r="P7" s="108">
        <f t="shared" ref="P7:P14" si="9">N7/N$6*100</f>
        <v>100.83727499999999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0.60653999999999997</v>
      </c>
      <c r="C8" s="107">
        <f t="shared" ref="C8:C11" si="11">B8-B$6</f>
        <v>-3.5483346303502028E-2</v>
      </c>
      <c r="D8" s="108">
        <f t="shared" ref="D8:D11" si="12">B8/B$6*100</f>
        <v>94.473199999999991</v>
      </c>
      <c r="E8" s="102">
        <f t="shared" si="0"/>
        <v>0.65079145914396896</v>
      </c>
      <c r="F8" s="107">
        <f t="shared" ref="F8:F14" si="13">E8-E$6</f>
        <v>-3.0142392996108769E-2</v>
      </c>
      <c r="G8" s="108">
        <f t="shared" ref="G8:G14" si="14">E8/E$6*100</f>
        <v>95.573374285714308</v>
      </c>
      <c r="H8" s="102">
        <f t="shared" si="1"/>
        <v>0.75138977626459147</v>
      </c>
      <c r="I8" s="107">
        <f t="shared" si="2"/>
        <v>-3.1684153696498019E-2</v>
      </c>
      <c r="J8" s="108">
        <f t="shared" si="3"/>
        <v>95.9538745341615</v>
      </c>
      <c r="K8" s="102">
        <f t="shared" si="4"/>
        <v>0.65064395428015565</v>
      </c>
      <c r="L8" s="107">
        <f t="shared" si="5"/>
        <v>-3.0289897859922088E-2</v>
      </c>
      <c r="M8" s="108">
        <f t="shared" si="6"/>
        <v>95.551712142857156</v>
      </c>
      <c r="N8" s="102">
        <f t="shared" si="7"/>
        <v>0.37274479085603113</v>
      </c>
      <c r="O8" s="107">
        <f t="shared" si="8"/>
        <v>3.0949854085602913E-3</v>
      </c>
      <c r="P8" s="108">
        <f t="shared" si="9"/>
        <v>100.83727499999999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0.60255736867704279</v>
      </c>
      <c r="C9" s="107">
        <f t="shared" si="11"/>
        <v>-3.9465977626459203E-2</v>
      </c>
      <c r="D9" s="108">
        <f t="shared" si="12"/>
        <v>93.852874999999997</v>
      </c>
      <c r="E9" s="102">
        <f t="shared" si="0"/>
        <v>0.6499064299610896</v>
      </c>
      <c r="F9" s="107">
        <f t="shared" si="13"/>
        <v>-3.1027422178988129E-2</v>
      </c>
      <c r="G9" s="108">
        <f t="shared" si="14"/>
        <v>95.443401428571462</v>
      </c>
      <c r="H9" s="102">
        <f t="shared" si="1"/>
        <v>0.70212315175097284</v>
      </c>
      <c r="I9" s="107">
        <f t="shared" si="2"/>
        <v>-8.0950778210116647E-2</v>
      </c>
      <c r="J9" s="108">
        <f t="shared" si="3"/>
        <v>89.662434782608699</v>
      </c>
      <c r="K9" s="102">
        <f t="shared" si="4"/>
        <v>0.64253118677042809</v>
      </c>
      <c r="L9" s="107">
        <f t="shared" si="5"/>
        <v>-3.8402665369649647E-2</v>
      </c>
      <c r="M9" s="108">
        <f t="shared" si="6"/>
        <v>94.360294285714303</v>
      </c>
      <c r="N9" s="102">
        <f t="shared" si="7"/>
        <v>0.37274479085603113</v>
      </c>
      <c r="O9" s="107">
        <f t="shared" si="8"/>
        <v>3.0949854085602913E-3</v>
      </c>
      <c r="P9" s="108">
        <f t="shared" si="9"/>
        <v>100.83727499999999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0.60255736867704279</v>
      </c>
      <c r="C10" s="107">
        <f t="shared" si="11"/>
        <v>-3.9465977626459203E-2</v>
      </c>
      <c r="D10" s="108">
        <f t="shared" si="12"/>
        <v>93.852874999999997</v>
      </c>
      <c r="E10" s="102">
        <f t="shared" si="0"/>
        <v>0.6499064299610896</v>
      </c>
      <c r="F10" s="107">
        <f t="shared" si="13"/>
        <v>-3.1027422178988129E-2</v>
      </c>
      <c r="G10" s="108">
        <f t="shared" si="14"/>
        <v>95.443401428571462</v>
      </c>
      <c r="H10" s="102">
        <f t="shared" si="1"/>
        <v>0.70212315175097284</v>
      </c>
      <c r="I10" s="107">
        <f t="shared" si="2"/>
        <v>-8.0950778210116647E-2</v>
      </c>
      <c r="J10" s="108">
        <f t="shared" si="3"/>
        <v>89.662434782608699</v>
      </c>
      <c r="K10" s="102">
        <f t="shared" si="4"/>
        <v>0.64253118677042809</v>
      </c>
      <c r="L10" s="107">
        <f t="shared" si="5"/>
        <v>-3.8402665369649647E-2</v>
      </c>
      <c r="M10" s="108">
        <f t="shared" si="6"/>
        <v>94.360294285714303</v>
      </c>
      <c r="N10" s="102">
        <f t="shared" si="7"/>
        <v>0.37274479085603113</v>
      </c>
      <c r="O10" s="107">
        <f t="shared" si="8"/>
        <v>3.0949854085602913E-3</v>
      </c>
      <c r="P10" s="108">
        <f t="shared" si="9"/>
        <v>100.83727499999999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1.0488566147859921</v>
      </c>
      <c r="C11" s="107">
        <f t="shared" si="11"/>
        <v>0.40683326848249013</v>
      </c>
      <c r="D11" s="108">
        <f t="shared" si="12"/>
        <v>163.36736363636362</v>
      </c>
      <c r="E11" s="102">
        <f>E24*$B$31/100/$B$32</f>
        <v>1.0847763618677044</v>
      </c>
      <c r="F11" s="107">
        <f t="shared" si="13"/>
        <v>0.4038425097276267</v>
      </c>
      <c r="G11" s="108">
        <f t="shared" si="14"/>
        <v>159.30715714285719</v>
      </c>
      <c r="H11" s="102">
        <f>H24*$B$31/100/$B$32</f>
        <v>1.2399496692607006</v>
      </c>
      <c r="I11" s="107">
        <f t="shared" si="2"/>
        <v>0.45687573929961112</v>
      </c>
      <c r="J11" s="108">
        <f t="shared" si="3"/>
        <v>158.34388322981368</v>
      </c>
      <c r="K11" s="102">
        <f>K24*$B$31/100/$B$32</f>
        <v>0.93714620136186777</v>
      </c>
      <c r="L11" s="107">
        <f t="shared" si="5"/>
        <v>0.25621234922179004</v>
      </c>
      <c r="M11" s="108">
        <f t="shared" si="6"/>
        <v>137.62661357142861</v>
      </c>
      <c r="N11" s="102">
        <f>N24*$B$31/100/$B$32</f>
        <v>0.51113800097276274</v>
      </c>
      <c r="O11" s="107">
        <f t="shared" si="8"/>
        <v>0.1414881955252919</v>
      </c>
      <c r="P11" s="108">
        <f t="shared" si="9"/>
        <v>138.2762802631579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1.4868731031128404</v>
      </c>
      <c r="F12" s="107">
        <f t="shared" si="13"/>
        <v>0.80593925097276264</v>
      </c>
      <c r="G12" s="108">
        <f t="shared" si="14"/>
        <v>218.35793571428576</v>
      </c>
      <c r="H12" s="102">
        <f t="shared" ref="H12:H13" si="15">H25*$B$33/$B$32</f>
        <v>1.5504146887159533</v>
      </c>
      <c r="I12" s="107">
        <f t="shared" si="2"/>
        <v>0.76734075875486385</v>
      </c>
      <c r="J12" s="108">
        <f t="shared" si="3"/>
        <v>197.99084472049691</v>
      </c>
      <c r="K12" s="102">
        <f t="shared" ref="K12:K13" si="16">K25*$B$33/$B$32</f>
        <v>1.3944489785992218</v>
      </c>
      <c r="L12" s="107">
        <f t="shared" si="5"/>
        <v>0.71351512645914406</v>
      </c>
      <c r="M12" s="108">
        <f t="shared" si="6"/>
        <v>204.78479285714292</v>
      </c>
      <c r="N12" s="102">
        <f t="shared" ref="N12:N13" si="17">N25*$B$33/$B$32</f>
        <v>0.6227075389105059</v>
      </c>
      <c r="O12" s="107">
        <f t="shared" si="8"/>
        <v>0.25305773346303506</v>
      </c>
      <c r="P12" s="108">
        <f t="shared" si="9"/>
        <v>168.45877631578946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1.3979148832684827</v>
      </c>
      <c r="F13" s="107">
        <f t="shared" si="13"/>
        <v>0.71698103112840494</v>
      </c>
      <c r="G13" s="108">
        <f t="shared" si="14"/>
        <v>205.29378571428575</v>
      </c>
      <c r="H13" s="102">
        <f t="shared" si="15"/>
        <v>1.4949602140077822</v>
      </c>
      <c r="I13" s="107">
        <f t="shared" si="2"/>
        <v>0.71188628404669274</v>
      </c>
      <c r="J13" s="108">
        <f t="shared" si="3"/>
        <v>190.90920496894412</v>
      </c>
      <c r="K13" s="102">
        <f t="shared" si="16"/>
        <v>1.2997142509727626</v>
      </c>
      <c r="L13" s="107">
        <f t="shared" si="5"/>
        <v>0.61878039883268487</v>
      </c>
      <c r="M13" s="108">
        <f t="shared" si="6"/>
        <v>190.87232142857144</v>
      </c>
      <c r="N13" s="102">
        <f t="shared" si="17"/>
        <v>0.62386284046692619</v>
      </c>
      <c r="O13" s="107">
        <f t="shared" si="8"/>
        <v>0.25421303501945536</v>
      </c>
      <c r="P13" s="108">
        <f t="shared" si="9"/>
        <v>168.7713157894737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1.3717235408560311</v>
      </c>
      <c r="F14" s="119">
        <f t="shared" si="13"/>
        <v>0.69078968871595336</v>
      </c>
      <c r="G14" s="120">
        <f t="shared" si="14"/>
        <v>201.44740000000004</v>
      </c>
      <c r="H14" s="118">
        <f>H27*$B$34/10/$B$32</f>
        <v>1.4446301070038912</v>
      </c>
      <c r="I14" s="119">
        <f t="shared" si="2"/>
        <v>0.66155617704280167</v>
      </c>
      <c r="J14" s="120">
        <f t="shared" si="3"/>
        <v>184.48195652173916</v>
      </c>
      <c r="K14" s="118">
        <f>K27*$B$34/10/$B$32</f>
        <v>1.3501215953307393</v>
      </c>
      <c r="L14" s="119">
        <f t="shared" si="5"/>
        <v>0.66918774319066154</v>
      </c>
      <c r="M14" s="120">
        <f t="shared" si="6"/>
        <v>198.27500000000003</v>
      </c>
      <c r="N14" s="118">
        <f>N27*$B$34/10/$B$32</f>
        <v>0.61295520428015571</v>
      </c>
      <c r="O14" s="119">
        <f t="shared" si="8"/>
        <v>0.24330539883268487</v>
      </c>
      <c r="P14" s="120">
        <f t="shared" si="9"/>
        <v>165.82051315789474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1.32</v>
      </c>
      <c r="C19" s="135" t="s">
        <v>172</v>
      </c>
      <c r="D19" s="136" t="s">
        <v>172</v>
      </c>
      <c r="E19" s="134">
        <v>1.4</v>
      </c>
      <c r="F19" s="135" t="s">
        <v>172</v>
      </c>
      <c r="G19" s="136" t="s">
        <v>172</v>
      </c>
      <c r="H19" s="134">
        <v>1.61</v>
      </c>
      <c r="I19" s="135" t="s">
        <v>172</v>
      </c>
      <c r="J19" s="136" t="s">
        <v>172</v>
      </c>
      <c r="K19" s="134">
        <v>1.4</v>
      </c>
      <c r="L19" s="135" t="s">
        <v>172</v>
      </c>
      <c r="M19" s="136" t="s">
        <v>172</v>
      </c>
      <c r="N19" s="134">
        <v>0.76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41.83</v>
      </c>
      <c r="C20" s="144" t="s">
        <v>172</v>
      </c>
      <c r="D20" s="145" t="s">
        <v>172</v>
      </c>
      <c r="E20" s="143">
        <v>45.47</v>
      </c>
      <c r="F20" s="144" t="s">
        <v>172</v>
      </c>
      <c r="G20" s="145" t="s">
        <v>172</v>
      </c>
      <c r="H20" s="143">
        <v>50.94</v>
      </c>
      <c r="I20" s="144" t="s">
        <v>172</v>
      </c>
      <c r="J20" s="145" t="s">
        <v>172</v>
      </c>
      <c r="K20" s="143">
        <v>43.83</v>
      </c>
      <c r="L20" s="144" t="s">
        <v>172</v>
      </c>
      <c r="M20" s="145" t="s">
        <v>172</v>
      </c>
      <c r="N20" s="143">
        <v>25.27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41.12</v>
      </c>
      <c r="C21" s="144" t="s">
        <v>172</v>
      </c>
      <c r="D21" s="145" t="s">
        <v>172</v>
      </c>
      <c r="E21" s="143">
        <v>44.12</v>
      </c>
      <c r="F21" s="144" t="s">
        <v>172</v>
      </c>
      <c r="G21" s="145" t="s">
        <v>172</v>
      </c>
      <c r="H21" s="143">
        <v>50.94</v>
      </c>
      <c r="I21" s="144" t="s">
        <v>172</v>
      </c>
      <c r="J21" s="145" t="s">
        <v>172</v>
      </c>
      <c r="K21" s="143">
        <v>44.11</v>
      </c>
      <c r="L21" s="144" t="s">
        <v>172</v>
      </c>
      <c r="M21" s="145" t="s">
        <v>172</v>
      </c>
      <c r="N21" s="143">
        <v>25.27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40.85</v>
      </c>
      <c r="C22" s="144" t="s">
        <v>172</v>
      </c>
      <c r="D22" s="145" t="s">
        <v>172</v>
      </c>
      <c r="E22" s="143">
        <v>44.06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43.56</v>
      </c>
      <c r="L22" s="144" t="s">
        <v>172</v>
      </c>
      <c r="M22" s="145" t="s">
        <v>172</v>
      </c>
      <c r="N22" s="143">
        <v>25.27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40.85</v>
      </c>
      <c r="C23" s="144" t="s">
        <v>172</v>
      </c>
      <c r="D23" s="145" t="s">
        <v>172</v>
      </c>
      <c r="E23" s="143">
        <v>44.06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43.56</v>
      </c>
      <c r="L23" s="144" t="s">
        <v>172</v>
      </c>
      <c r="M23" s="145" t="s">
        <v>172</v>
      </c>
      <c r="N23" s="143">
        <v>25.27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29.2</v>
      </c>
      <c r="C24" s="144" t="s">
        <v>172</v>
      </c>
      <c r="D24" s="145" t="s">
        <v>172</v>
      </c>
      <c r="E24" s="143">
        <v>30.2</v>
      </c>
      <c r="F24" s="144" t="s">
        <v>172</v>
      </c>
      <c r="G24" s="145" t="s">
        <v>172</v>
      </c>
      <c r="H24" s="143">
        <v>34.520000000000003</v>
      </c>
      <c r="I24" s="144" t="s">
        <v>172</v>
      </c>
      <c r="J24" s="145" t="s">
        <v>172</v>
      </c>
      <c r="K24" s="143">
        <v>26.09</v>
      </c>
      <c r="L24" s="144" t="s">
        <v>172</v>
      </c>
      <c r="M24" s="145" t="s">
        <v>172</v>
      </c>
      <c r="N24" s="143">
        <v>14.23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1.2070000000000001</v>
      </c>
      <c r="L25" s="144" t="s">
        <v>172</v>
      </c>
      <c r="M25" s="145" t="s">
        <v>172</v>
      </c>
      <c r="N25" s="153">
        <v>0.53900000000000003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1.21</v>
      </c>
      <c r="F26" s="144" t="s">
        <v>172</v>
      </c>
      <c r="G26" s="145" t="s">
        <v>172</v>
      </c>
      <c r="H26" s="153">
        <v>1.294</v>
      </c>
      <c r="I26" s="144" t="s">
        <v>172</v>
      </c>
      <c r="J26" s="145" t="s">
        <v>172</v>
      </c>
      <c r="K26" s="153">
        <v>1.125</v>
      </c>
      <c r="L26" s="144" t="s">
        <v>172</v>
      </c>
      <c r="M26" s="145" t="s">
        <v>172</v>
      </c>
      <c r="N26" s="153">
        <v>0.54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</v>
      </c>
      <c r="F27" s="158" t="s">
        <v>172</v>
      </c>
      <c r="G27" s="159" t="s">
        <v>172</v>
      </c>
      <c r="H27" s="160">
        <v>5.35</v>
      </c>
      <c r="I27" s="158" t="s">
        <v>172</v>
      </c>
      <c r="J27" s="159" t="s">
        <v>172</v>
      </c>
      <c r="K27" s="160">
        <v>5</v>
      </c>
      <c r="L27" s="158" t="s">
        <v>172</v>
      </c>
      <c r="M27" s="159" t="s">
        <v>172</v>
      </c>
      <c r="N27" s="160">
        <v>2.27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174">
        <v>7.3851000000000004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174">
        <v>2.056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174">
        <v>2.3753000000000002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174">
        <v>5.5517000000000003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174">
        <v>3.0327000000000002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6" r:id="rId3" location=".Vs2LGH2LRkg"/>
    <hyperlink ref="Q27" r:id="rId4" location=".VyhQfdKLTcs"/>
    <hyperlink ref="R27" r:id="rId5"/>
    <hyperlink ref="R25" r:id="rId6"/>
    <hyperlink ref="R26" r:id="rId7"/>
    <hyperlink ref="C31" r:id="rId8" display="www.nbrb.by"/>
    <hyperlink ref="C31:E35" r:id="rId9" display="http://www.nbrb.by/statistics/rates/ratesDaily.asp"/>
    <hyperlink ref="S25" r:id="rId10"/>
    <hyperlink ref="S26" r:id="rId11"/>
    <hyperlink ref="S27" r:id="rId12"/>
    <hyperlink ref="S24" r:id="rId13"/>
    <hyperlink ref="T25" r:id="rId14"/>
    <hyperlink ref="U25" r:id="rId15"/>
    <hyperlink ref="U26" r:id="rId16"/>
    <hyperlink ref="U27" r:id="rId17"/>
    <hyperlink ref="V24" r:id="rId18"/>
    <hyperlink ref="V25" r:id="rId19"/>
    <hyperlink ref="V26" r:id="rId20"/>
    <hyperlink ref="V27" r:id="rId21"/>
    <hyperlink ref="W24" r:id="rId22"/>
    <hyperlink ref="W25" r:id="rId23"/>
    <hyperlink ref="W26" r:id="rId24"/>
    <hyperlink ref="W27" r:id="rId25"/>
    <hyperlink ref="R24" r:id="rId26"/>
    <hyperlink ref="Q23" r:id="rId27"/>
    <hyperlink ref="Q24" r:id="rId28"/>
    <hyperlink ref="Q20" r:id="rId29"/>
    <hyperlink ref="Q21" r:id="rId30"/>
    <hyperlink ref="Q22" r:id="rId31"/>
  </hyperlink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43346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0.63822640241854223</v>
      </c>
      <c r="C6" s="103" t="s">
        <v>172</v>
      </c>
      <c r="D6" s="104" t="s">
        <v>172</v>
      </c>
      <c r="E6" s="102">
        <f>E19/$B$32</f>
        <v>0.67661596045875527</v>
      </c>
      <c r="F6" s="103" t="s">
        <v>172</v>
      </c>
      <c r="G6" s="104" t="s">
        <v>172</v>
      </c>
      <c r="H6" s="102">
        <f>H19/$B$32</f>
        <v>0.77738855031431464</v>
      </c>
      <c r="I6" s="103" t="s">
        <v>172</v>
      </c>
      <c r="J6" s="104" t="s">
        <v>172</v>
      </c>
      <c r="K6" s="102">
        <f>K19/$B$32</f>
        <v>0.67661596045875527</v>
      </c>
      <c r="L6" s="103" t="s">
        <v>172</v>
      </c>
      <c r="M6" s="104" t="s">
        <v>172</v>
      </c>
      <c r="N6" s="102">
        <f>N19/$B$32</f>
        <v>0.3647008013820241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0.62238038293584141</v>
      </c>
      <c r="C7" s="107">
        <f>B7-B$6</f>
        <v>-1.5846019482700813E-2</v>
      </c>
      <c r="D7" s="108">
        <f>B7/B$6*100</f>
        <v>97.517178947368393</v>
      </c>
      <c r="E7" s="102">
        <f t="shared" ref="E7:E10" si="0">E20*$B$35/100/$B$32</f>
        <v>0.67850628149143433</v>
      </c>
      <c r="F7" s="107">
        <f>E7-E$6</f>
        <v>1.8903210326790543E-3</v>
      </c>
      <c r="G7" s="108">
        <f>E7/E$6*100</f>
        <v>100.27937872340425</v>
      </c>
      <c r="H7" s="102">
        <f t="shared" ref="H7:H10" si="1">H20*$B$35/100/$B$32</f>
        <v>0.74844326503191128</v>
      </c>
      <c r="I7" s="107">
        <f t="shared" ref="I7:I14" si="2">H7-H$6</f>
        <v>-2.8945285282403366E-2</v>
      </c>
      <c r="J7" s="108">
        <f t="shared" ref="J7:J14" si="3">H7/H$6*100</f>
        <v>96.276599999999974</v>
      </c>
      <c r="K7" s="102">
        <f t="shared" ref="K7:K10" si="4">K20*$B$35/100/$B$32</f>
        <v>0.65441034598589187</v>
      </c>
      <c r="L7" s="107">
        <f t="shared" ref="L7:L14" si="5">K7-K$6</f>
        <v>-2.22056144728634E-2</v>
      </c>
      <c r="M7" s="108">
        <f t="shared" ref="M7:M14" si="6">K7/K$6*100</f>
        <v>96.718136170212759</v>
      </c>
      <c r="N7" s="102">
        <f t="shared" ref="N7:N10" si="7">N20*$B$35/100/$B$32</f>
        <v>0.37128310379576757</v>
      </c>
      <c r="O7" s="107">
        <f t="shared" ref="O7:O14" si="8">N7-N$6</f>
        <v>6.5823024137434683E-3</v>
      </c>
      <c r="P7" s="108">
        <f t="shared" ref="P7:P14" si="9">N7/N$6*100</f>
        <v>101.80484999999999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0.62238038293584141</v>
      </c>
      <c r="C8" s="107">
        <f t="shared" ref="C8:C11" si="11">B8-B$6</f>
        <v>-1.5846019482700813E-2</v>
      </c>
      <c r="D8" s="108">
        <f t="shared" ref="D8:D11" si="12">B8/B$6*100</f>
        <v>97.517178947368393</v>
      </c>
      <c r="E8" s="102">
        <f t="shared" si="0"/>
        <v>0.67850628149143433</v>
      </c>
      <c r="F8" s="107">
        <f t="shared" ref="F8:F14" si="13">E8-E$6</f>
        <v>1.8903210326790543E-3</v>
      </c>
      <c r="G8" s="108">
        <f t="shared" ref="G8:G14" si="14">E8/E$6*100</f>
        <v>100.27937872340425</v>
      </c>
      <c r="H8" s="102">
        <f t="shared" si="1"/>
        <v>0.74844326503191128</v>
      </c>
      <c r="I8" s="107">
        <f t="shared" si="2"/>
        <v>-2.8945285282403366E-2</v>
      </c>
      <c r="J8" s="108">
        <f t="shared" si="3"/>
        <v>96.276599999999974</v>
      </c>
      <c r="K8" s="102">
        <f t="shared" si="4"/>
        <v>0.65441034598589187</v>
      </c>
      <c r="L8" s="107">
        <f t="shared" si="5"/>
        <v>-2.22056144728634E-2</v>
      </c>
      <c r="M8" s="108">
        <f t="shared" si="6"/>
        <v>96.718136170212759</v>
      </c>
      <c r="N8" s="102">
        <f t="shared" si="7"/>
        <v>0.37128310379576757</v>
      </c>
      <c r="O8" s="107">
        <f t="shared" si="8"/>
        <v>6.5823024137434683E-3</v>
      </c>
      <c r="P8" s="108">
        <f t="shared" si="9"/>
        <v>101.80484999999999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0.62238038293584141</v>
      </c>
      <c r="C9" s="107">
        <f t="shared" si="11"/>
        <v>-1.5846019482700813E-2</v>
      </c>
      <c r="D9" s="108">
        <f t="shared" si="12"/>
        <v>97.517178947368393</v>
      </c>
      <c r="E9" s="102">
        <f t="shared" si="0"/>
        <v>0.67850628149143433</v>
      </c>
      <c r="F9" s="107">
        <f t="shared" si="13"/>
        <v>1.8903210326790543E-3</v>
      </c>
      <c r="G9" s="108">
        <f t="shared" si="14"/>
        <v>100.27937872340425</v>
      </c>
      <c r="H9" s="102">
        <f t="shared" si="1"/>
        <v>0.69936983540476994</v>
      </c>
      <c r="I9" s="107">
        <f t="shared" si="2"/>
        <v>-7.8018714909544706E-2</v>
      </c>
      <c r="J9" s="108">
        <f t="shared" si="3"/>
        <v>89.963999999999984</v>
      </c>
      <c r="K9" s="102">
        <f t="shared" si="4"/>
        <v>0.65441034598589187</v>
      </c>
      <c r="L9" s="107">
        <f t="shared" si="5"/>
        <v>-2.22056144728634E-2</v>
      </c>
      <c r="M9" s="108">
        <f t="shared" si="6"/>
        <v>96.718136170212759</v>
      </c>
      <c r="N9" s="102">
        <f t="shared" si="7"/>
        <v>0.37128310379576757</v>
      </c>
      <c r="O9" s="107">
        <f t="shared" si="8"/>
        <v>6.5823024137434683E-3</v>
      </c>
      <c r="P9" s="108">
        <f t="shared" si="9"/>
        <v>101.80484999999999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0.62238038293584141</v>
      </c>
      <c r="C10" s="107">
        <f t="shared" si="11"/>
        <v>-1.5846019482700813E-2</v>
      </c>
      <c r="D10" s="108">
        <f t="shared" si="12"/>
        <v>97.517178947368393</v>
      </c>
      <c r="E10" s="102">
        <f t="shared" si="0"/>
        <v>0.67850628149143433</v>
      </c>
      <c r="F10" s="107">
        <f t="shared" si="13"/>
        <v>1.8903210326790543E-3</v>
      </c>
      <c r="G10" s="108">
        <f t="shared" si="14"/>
        <v>100.27937872340425</v>
      </c>
      <c r="H10" s="102">
        <f t="shared" si="1"/>
        <v>0.69936983540476994</v>
      </c>
      <c r="I10" s="107">
        <f t="shared" si="2"/>
        <v>-7.8018714909544706E-2</v>
      </c>
      <c r="J10" s="108">
        <f t="shared" si="3"/>
        <v>89.963999999999984</v>
      </c>
      <c r="K10" s="102">
        <f t="shared" si="4"/>
        <v>0.65441034598589187</v>
      </c>
      <c r="L10" s="107">
        <f t="shared" si="5"/>
        <v>-2.22056144728634E-2</v>
      </c>
      <c r="M10" s="108">
        <f t="shared" si="6"/>
        <v>96.718136170212759</v>
      </c>
      <c r="N10" s="102">
        <f t="shared" si="7"/>
        <v>0.37128310379576757</v>
      </c>
      <c r="O10" s="107">
        <f t="shared" si="8"/>
        <v>6.5823024137434683E-3</v>
      </c>
      <c r="P10" s="108">
        <f t="shared" si="9"/>
        <v>101.80484999999999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1.0424726234464228</v>
      </c>
      <c r="C11" s="107">
        <f t="shared" si="11"/>
        <v>0.40424622102788055</v>
      </c>
      <c r="D11" s="108">
        <f t="shared" si="12"/>
        <v>163.339</v>
      </c>
      <c r="E11" s="102">
        <f>E24*$B$31/100/$B$32</f>
        <v>1.077870675176352</v>
      </c>
      <c r="F11" s="107">
        <f t="shared" si="13"/>
        <v>0.40125471471759677</v>
      </c>
      <c r="G11" s="108">
        <f t="shared" si="14"/>
        <v>159.30317021276593</v>
      </c>
      <c r="H11" s="102">
        <f>H24*$B$31/100/$B$32</f>
        <v>1.2396397715821297</v>
      </c>
      <c r="I11" s="107">
        <f t="shared" si="2"/>
        <v>0.46225122126781504</v>
      </c>
      <c r="J11" s="108">
        <f t="shared" si="3"/>
        <v>159.46205679012343</v>
      </c>
      <c r="K11" s="102">
        <f>K24*$B$31/100/$B$32</f>
        <v>0.93238468256634199</v>
      </c>
      <c r="L11" s="107">
        <f t="shared" si="5"/>
        <v>0.25576872210758672</v>
      </c>
      <c r="M11" s="108">
        <f t="shared" si="6"/>
        <v>137.80116595744681</v>
      </c>
      <c r="N11" s="102">
        <f>N24*$B$31/100/$B$32</f>
        <v>0.49805058784010753</v>
      </c>
      <c r="O11" s="107">
        <f t="shared" si="8"/>
        <v>0.13334978645808343</v>
      </c>
      <c r="P11" s="108">
        <f t="shared" si="9"/>
        <v>136.56416052631579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1.5136542060559528</v>
      </c>
      <c r="F12" s="107">
        <f t="shared" si="13"/>
        <v>0.83703824559719753</v>
      </c>
      <c r="G12" s="108">
        <f t="shared" si="14"/>
        <v>223.70950354609928</v>
      </c>
      <c r="H12" s="102">
        <f t="shared" ref="H12:H13" si="15">H25*$B$33/$B$32</f>
        <v>1.5778415470991893</v>
      </c>
      <c r="I12" s="107">
        <f t="shared" si="2"/>
        <v>0.80045299678487469</v>
      </c>
      <c r="J12" s="108">
        <f t="shared" si="3"/>
        <v>202.96691358024691</v>
      </c>
      <c r="K12" s="102">
        <f t="shared" ref="K12:K13" si="16">K25*$B$33/$B$32</f>
        <v>1.4202908009021549</v>
      </c>
      <c r="L12" s="107">
        <f t="shared" si="5"/>
        <v>0.7436748404433996</v>
      </c>
      <c r="M12" s="108">
        <f t="shared" si="6"/>
        <v>209.91092198581563</v>
      </c>
      <c r="N12" s="102">
        <f t="shared" ref="N12:N13" si="17">N25*$B$33/$B$32</f>
        <v>0.60569509093526563</v>
      </c>
      <c r="O12" s="107">
        <f t="shared" si="8"/>
        <v>0.24099428955324154</v>
      </c>
      <c r="P12" s="108">
        <f t="shared" si="9"/>
        <v>166.08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1.4121215029511973</v>
      </c>
      <c r="F13" s="107">
        <f t="shared" si="13"/>
        <v>0.73550554249244204</v>
      </c>
      <c r="G13" s="108">
        <f t="shared" si="14"/>
        <v>208.70354609929075</v>
      </c>
      <c r="H13" s="102">
        <f t="shared" si="15"/>
        <v>1.5124871634915305</v>
      </c>
      <c r="I13" s="107">
        <f t="shared" si="2"/>
        <v>0.73509861317721581</v>
      </c>
      <c r="J13" s="108">
        <f t="shared" si="3"/>
        <v>194.55999999999997</v>
      </c>
      <c r="K13" s="102">
        <f t="shared" si="16"/>
        <v>1.3187580977973989</v>
      </c>
      <c r="L13" s="107">
        <f t="shared" si="5"/>
        <v>0.64214213733864367</v>
      </c>
      <c r="M13" s="108">
        <f t="shared" si="6"/>
        <v>194.90496453900704</v>
      </c>
      <c r="N13" s="102">
        <f t="shared" si="17"/>
        <v>0.63020298478813763</v>
      </c>
      <c r="O13" s="107">
        <f t="shared" si="8"/>
        <v>0.26550218340611353</v>
      </c>
      <c r="P13" s="108">
        <f t="shared" si="9"/>
        <v>172.8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1.3855093814482462</v>
      </c>
      <c r="F14" s="119">
        <f t="shared" si="13"/>
        <v>0.70889342098949093</v>
      </c>
      <c r="G14" s="120">
        <f t="shared" si="14"/>
        <v>204.7704255319149</v>
      </c>
      <c r="H14" s="118">
        <f>H27*$B$34/10/$B$32</f>
        <v>1.4425597677431738</v>
      </c>
      <c r="I14" s="119">
        <f t="shared" si="2"/>
        <v>0.66517121742885921</v>
      </c>
      <c r="J14" s="120">
        <f t="shared" si="3"/>
        <v>185.5648333333333</v>
      </c>
      <c r="K14" s="118">
        <f>K27*$B$34/10/$B$32</f>
        <v>1.3610592158932771</v>
      </c>
      <c r="L14" s="119">
        <f t="shared" si="5"/>
        <v>0.68444325543452178</v>
      </c>
      <c r="M14" s="120">
        <f t="shared" si="6"/>
        <v>201.15682978723402</v>
      </c>
      <c r="N14" s="118">
        <f>N27*$B$34/10/$B$32</f>
        <v>0.61397082393588931</v>
      </c>
      <c r="O14" s="119">
        <f t="shared" si="8"/>
        <v>0.24927002255386521</v>
      </c>
      <c r="P14" s="120">
        <f t="shared" si="9"/>
        <v>168.34918421052626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1.33</v>
      </c>
      <c r="C19" s="135" t="s">
        <v>172</v>
      </c>
      <c r="D19" s="136" t="s">
        <v>172</v>
      </c>
      <c r="E19" s="134">
        <v>1.41</v>
      </c>
      <c r="F19" s="135" t="s">
        <v>172</v>
      </c>
      <c r="G19" s="136" t="s">
        <v>172</v>
      </c>
      <c r="H19" s="134">
        <v>1.62</v>
      </c>
      <c r="I19" s="135" t="s">
        <v>172</v>
      </c>
      <c r="J19" s="136" t="s">
        <v>172</v>
      </c>
      <c r="K19" s="134">
        <v>1.41</v>
      </c>
      <c r="L19" s="135" t="s">
        <v>172</v>
      </c>
      <c r="M19" s="136" t="s">
        <v>172</v>
      </c>
      <c r="N19" s="134">
        <v>0.76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42.36</v>
      </c>
      <c r="C20" s="144" t="s">
        <v>172</v>
      </c>
      <c r="D20" s="145" t="s">
        <v>172</v>
      </c>
      <c r="E20" s="143">
        <v>46.18</v>
      </c>
      <c r="F20" s="144" t="s">
        <v>172</v>
      </c>
      <c r="G20" s="145" t="s">
        <v>172</v>
      </c>
      <c r="H20" s="143">
        <v>50.94</v>
      </c>
      <c r="I20" s="144" t="s">
        <v>172</v>
      </c>
      <c r="J20" s="145" t="s">
        <v>172</v>
      </c>
      <c r="K20" s="143">
        <v>44.54</v>
      </c>
      <c r="L20" s="144" t="s">
        <v>172</v>
      </c>
      <c r="M20" s="145" t="s">
        <v>172</v>
      </c>
      <c r="N20" s="143">
        <v>25.27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42.36</v>
      </c>
      <c r="C21" s="144" t="s">
        <v>172</v>
      </c>
      <c r="D21" s="145" t="s">
        <v>172</v>
      </c>
      <c r="E21" s="143">
        <v>46.18</v>
      </c>
      <c r="F21" s="144" t="s">
        <v>172</v>
      </c>
      <c r="G21" s="145" t="s">
        <v>172</v>
      </c>
      <c r="H21" s="143">
        <v>50.94</v>
      </c>
      <c r="I21" s="144" t="s">
        <v>172</v>
      </c>
      <c r="J21" s="145" t="s">
        <v>172</v>
      </c>
      <c r="K21" s="143">
        <v>44.54</v>
      </c>
      <c r="L21" s="144" t="s">
        <v>172</v>
      </c>
      <c r="M21" s="145" t="s">
        <v>172</v>
      </c>
      <c r="N21" s="143">
        <v>25.27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42.36</v>
      </c>
      <c r="C22" s="144" t="s">
        <v>172</v>
      </c>
      <c r="D22" s="145" t="s">
        <v>172</v>
      </c>
      <c r="E22" s="143">
        <v>46.18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44.54</v>
      </c>
      <c r="L22" s="144" t="s">
        <v>172</v>
      </c>
      <c r="M22" s="145" t="s">
        <v>172</v>
      </c>
      <c r="N22" s="143">
        <v>25.27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42.36</v>
      </c>
      <c r="C23" s="144" t="s">
        <v>172</v>
      </c>
      <c r="D23" s="145" t="s">
        <v>172</v>
      </c>
      <c r="E23" s="143">
        <v>46.18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44.54</v>
      </c>
      <c r="L23" s="144" t="s">
        <v>172</v>
      </c>
      <c r="M23" s="145" t="s">
        <v>172</v>
      </c>
      <c r="N23" s="143">
        <v>25.27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29.45</v>
      </c>
      <c r="C24" s="144" t="s">
        <v>172</v>
      </c>
      <c r="D24" s="145" t="s">
        <v>172</v>
      </c>
      <c r="E24" s="143">
        <v>30.45</v>
      </c>
      <c r="F24" s="144" t="s">
        <v>172</v>
      </c>
      <c r="G24" s="145" t="s">
        <v>172</v>
      </c>
      <c r="H24" s="143">
        <v>35.020000000000003</v>
      </c>
      <c r="I24" s="144" t="s">
        <v>172</v>
      </c>
      <c r="J24" s="145" t="s">
        <v>172</v>
      </c>
      <c r="K24" s="143">
        <v>26.34</v>
      </c>
      <c r="L24" s="144" t="s">
        <v>172</v>
      </c>
      <c r="M24" s="145" t="s">
        <v>172</v>
      </c>
      <c r="N24" s="143">
        <v>14.07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1.2969999999999999</v>
      </c>
      <c r="F25" s="144" t="s">
        <v>172</v>
      </c>
      <c r="G25" s="145" t="s">
        <v>172</v>
      </c>
      <c r="H25" s="153">
        <v>1.3520000000000001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0.51900000000000002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1.21</v>
      </c>
      <c r="F26" s="144" t="s">
        <v>172</v>
      </c>
      <c r="G26" s="145" t="s">
        <v>172</v>
      </c>
      <c r="H26" s="153">
        <v>1.296</v>
      </c>
      <c r="I26" s="144" t="s">
        <v>172</v>
      </c>
      <c r="J26" s="145" t="s">
        <v>172</v>
      </c>
      <c r="K26" s="153">
        <v>1.1299999999999999</v>
      </c>
      <c r="L26" s="144" t="s">
        <v>172</v>
      </c>
      <c r="M26" s="145" t="s">
        <v>172</v>
      </c>
      <c r="N26" s="153">
        <v>0.54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5.0999999999999996</v>
      </c>
      <c r="F27" s="158" t="s">
        <v>172</v>
      </c>
      <c r="G27" s="159" t="s">
        <v>172</v>
      </c>
      <c r="H27" s="160">
        <v>5.31</v>
      </c>
      <c r="I27" s="158" t="s">
        <v>172</v>
      </c>
      <c r="J27" s="159" t="s">
        <v>172</v>
      </c>
      <c r="K27" s="160">
        <v>5.01</v>
      </c>
      <c r="L27" s="158" t="s">
        <v>172</v>
      </c>
      <c r="M27" s="159" t="s">
        <v>172</v>
      </c>
      <c r="N27" s="160">
        <v>2.2599999999999998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02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203">
        <v>7.3765999999999998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203">
        <v>2.0838999999999999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203">
        <v>2.4319999999999999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203">
        <v>5.6612999999999998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203">
        <v>3.0617999999999999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6" r:id="rId3" location=".Vs2LGH2LRkg"/>
    <hyperlink ref="Q27" r:id="rId4" location=".VyhQfdKLTcs"/>
    <hyperlink ref="R27" r:id="rId5"/>
    <hyperlink ref="R25" r:id="rId6"/>
    <hyperlink ref="R26" r:id="rId7"/>
    <hyperlink ref="C31" r:id="rId8" display="www.nbrb.by"/>
    <hyperlink ref="C31:E35" r:id="rId9" display="http://www.nbrb.by/statistics/rates/ratesDaily.asp"/>
    <hyperlink ref="S25" r:id="rId10"/>
    <hyperlink ref="S26" r:id="rId11"/>
    <hyperlink ref="S27" r:id="rId12"/>
    <hyperlink ref="S24" r:id="rId13"/>
    <hyperlink ref="T25" r:id="rId14"/>
    <hyperlink ref="U25" r:id="rId15"/>
    <hyperlink ref="U26" r:id="rId16"/>
    <hyperlink ref="U27" r:id="rId17"/>
    <hyperlink ref="V24" r:id="rId18"/>
    <hyperlink ref="V25" r:id="rId19"/>
    <hyperlink ref="V26" r:id="rId20"/>
    <hyperlink ref="V27" r:id="rId21"/>
    <hyperlink ref="W24" r:id="rId22"/>
    <hyperlink ref="W25" r:id="rId23"/>
    <hyperlink ref="W26" r:id="rId24"/>
    <hyperlink ref="W27" r:id="rId25"/>
    <hyperlink ref="R24" r:id="rId26"/>
    <hyperlink ref="Q23" r:id="rId27"/>
    <hyperlink ref="Q24" r:id="rId28"/>
    <hyperlink ref="Q20" r:id="rId29"/>
    <hyperlink ref="Q21" r:id="rId30"/>
    <hyperlink ref="Q22" r:id="rId31"/>
  </hyperlinks>
  <pageMargins left="0.7" right="0.7" top="0.75" bottom="0.75" header="0.3" footer="0.3"/>
  <pageSetup paperSize="9" orientation="portrait" r:id="rId3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7.28515625" bestFit="1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43353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0.62022679935200198</v>
      </c>
      <c r="C6" s="103" t="s">
        <v>172</v>
      </c>
      <c r="D6" s="104" t="s">
        <v>172</v>
      </c>
      <c r="E6" s="102">
        <f>E19/$B$32</f>
        <v>0.65725526498495723</v>
      </c>
      <c r="F6" s="103" t="s">
        <v>172</v>
      </c>
      <c r="G6" s="104" t="s">
        <v>172</v>
      </c>
      <c r="H6" s="102">
        <f>H19/$B$32</f>
        <v>0.75445498727146498</v>
      </c>
      <c r="I6" s="103" t="s">
        <v>172</v>
      </c>
      <c r="J6" s="104" t="s">
        <v>172</v>
      </c>
      <c r="K6" s="102">
        <f>K19/$B$32</f>
        <v>0.65725526498495723</v>
      </c>
      <c r="L6" s="103" t="s">
        <v>172</v>
      </c>
      <c r="M6" s="104" t="s">
        <v>172</v>
      </c>
      <c r="N6" s="102">
        <f>N19/$B$32</f>
        <v>0.35177042351307569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0.59336523952788722</v>
      </c>
      <c r="C7" s="107">
        <f>B7-B$6</f>
        <v>-2.6861559824114756E-2</v>
      </c>
      <c r="D7" s="108">
        <f>B7/B$6*100</f>
        <v>95.66907462686568</v>
      </c>
      <c r="E7" s="102">
        <f t="shared" ref="E7:E10" si="0">E20*$B$35/100/$B$32</f>
        <v>0.64747671372367499</v>
      </c>
      <c r="F7" s="107">
        <f>E7-E$6</f>
        <v>-9.7785512612822423E-3</v>
      </c>
      <c r="G7" s="108">
        <f>E7/E$6*100</f>
        <v>98.512214084507022</v>
      </c>
      <c r="H7" s="102">
        <f t="shared" ref="H7:H10" si="1">H20*$B$35/100/$B$32</f>
        <v>0.71189513538532745</v>
      </c>
      <c r="I7" s="107">
        <f t="shared" ref="I7:I14" si="2">H7-H$6</f>
        <v>-4.2559851886137534E-2</v>
      </c>
      <c r="J7" s="108">
        <f t="shared" ref="J7:J14" si="3">H7/H$6*100</f>
        <v>94.358861349693242</v>
      </c>
      <c r="K7" s="102">
        <f t="shared" ref="K7:K10" si="4">K20*$B$35/100/$B$32</f>
        <v>0.62714912288822044</v>
      </c>
      <c r="L7" s="107">
        <f t="shared" ref="L7:L14" si="5">K7-K$6</f>
        <v>-3.0106142096736788E-2</v>
      </c>
      <c r="M7" s="108">
        <f t="shared" ref="M7:M14" si="6">K7/K$6*100</f>
        <v>95.419414084507054</v>
      </c>
      <c r="N7" s="102">
        <f t="shared" ref="N7:N10" si="7">N20*$B$35/100/$B$32</f>
        <v>0.36389250636426757</v>
      </c>
      <c r="O7" s="107">
        <f t="shared" ref="O7:O14" si="8">N7-N$6</f>
        <v>1.2122082851191873E-2</v>
      </c>
      <c r="P7" s="108">
        <f t="shared" ref="P7:P14" si="9">N7/N$6*100</f>
        <v>103.44602105263159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0.58864122193936586</v>
      </c>
      <c r="C8" s="107">
        <f t="shared" ref="C8:C11" si="11">B8-B$6</f>
        <v>-3.1585577412636123E-2</v>
      </c>
      <c r="D8" s="108">
        <f t="shared" ref="D8:D11" si="12">B8/B$6*100</f>
        <v>94.907414925373118</v>
      </c>
      <c r="E8" s="102">
        <f t="shared" si="0"/>
        <v>0.63144368433233045</v>
      </c>
      <c r="F8" s="107">
        <f t="shared" ref="F8:F14" si="13">E8-E$6</f>
        <v>-2.5811580652626787E-2</v>
      </c>
      <c r="G8" s="108">
        <f t="shared" ref="G8:G14" si="14">E8/E$6*100</f>
        <v>96.072822535211259</v>
      </c>
      <c r="H8" s="102">
        <f t="shared" si="1"/>
        <v>0.68140374913214541</v>
      </c>
      <c r="I8" s="107">
        <f t="shared" si="2"/>
        <v>-7.3051238139319574E-2</v>
      </c>
      <c r="J8" s="108">
        <f t="shared" si="3"/>
        <v>90.317349693251543</v>
      </c>
      <c r="K8" s="102">
        <f t="shared" si="4"/>
        <v>0.62371347373293229</v>
      </c>
      <c r="L8" s="107">
        <f t="shared" si="5"/>
        <v>-3.3541791252024944E-2</v>
      </c>
      <c r="M8" s="108">
        <f t="shared" si="6"/>
        <v>94.896687323943667</v>
      </c>
      <c r="N8" s="102">
        <f t="shared" si="7"/>
        <v>0.36088631335339044</v>
      </c>
      <c r="O8" s="107">
        <f t="shared" si="8"/>
        <v>9.1158898403147504E-3</v>
      </c>
      <c r="P8" s="108">
        <f t="shared" si="9"/>
        <v>102.59143157894736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0.58534872483221478</v>
      </c>
      <c r="C9" s="107">
        <f t="shared" si="11"/>
        <v>-3.4878074519787194E-2</v>
      </c>
      <c r="D9" s="108">
        <f t="shared" si="12"/>
        <v>94.376561194029847</v>
      </c>
      <c r="E9" s="102">
        <f t="shared" si="0"/>
        <v>0.63287520481370063</v>
      </c>
      <c r="F9" s="107">
        <f t="shared" si="13"/>
        <v>-2.4380060171256601E-2</v>
      </c>
      <c r="G9" s="108">
        <f t="shared" si="14"/>
        <v>96.290625352112684</v>
      </c>
      <c r="H9" s="102">
        <f t="shared" si="1"/>
        <v>0.68140374913214541</v>
      </c>
      <c r="I9" s="107">
        <f t="shared" si="2"/>
        <v>-7.3051238139319574E-2</v>
      </c>
      <c r="J9" s="108">
        <f t="shared" si="3"/>
        <v>90.317349693251543</v>
      </c>
      <c r="K9" s="102">
        <f t="shared" si="4"/>
        <v>0.62042097662578122</v>
      </c>
      <c r="L9" s="107">
        <f t="shared" si="5"/>
        <v>-3.6834288359176015E-2</v>
      </c>
      <c r="M9" s="108">
        <f t="shared" si="6"/>
        <v>94.395740845070435</v>
      </c>
      <c r="N9" s="102">
        <f t="shared" si="7"/>
        <v>0.36389250636426757</v>
      </c>
      <c r="O9" s="107">
        <f t="shared" si="8"/>
        <v>1.2122082851191873E-2</v>
      </c>
      <c r="P9" s="108">
        <f t="shared" si="9"/>
        <v>103.44602105263159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0.58062470724369375</v>
      </c>
      <c r="C10" s="107">
        <f t="shared" si="11"/>
        <v>-3.9602092108308229E-2</v>
      </c>
      <c r="D10" s="108">
        <f t="shared" si="12"/>
        <v>93.614901492537314</v>
      </c>
      <c r="E10" s="102">
        <f t="shared" si="0"/>
        <v>0.61741478361490409</v>
      </c>
      <c r="F10" s="107">
        <f t="shared" si="13"/>
        <v>-3.9840481370053138E-2</v>
      </c>
      <c r="G10" s="108">
        <f t="shared" si="14"/>
        <v>93.938354929577486</v>
      </c>
      <c r="H10" s="102">
        <f t="shared" si="1"/>
        <v>0.68140374913214541</v>
      </c>
      <c r="I10" s="107">
        <f t="shared" si="2"/>
        <v>-7.3051238139319574E-2</v>
      </c>
      <c r="J10" s="108">
        <f t="shared" si="3"/>
        <v>90.317349693251543</v>
      </c>
      <c r="K10" s="102">
        <f t="shared" si="4"/>
        <v>0.62800803517704229</v>
      </c>
      <c r="L10" s="107">
        <f t="shared" si="5"/>
        <v>-2.9247229807914943E-2</v>
      </c>
      <c r="M10" s="108">
        <f t="shared" si="6"/>
        <v>95.550095774647872</v>
      </c>
      <c r="N10" s="102">
        <f t="shared" si="7"/>
        <v>0.31665233047905583</v>
      </c>
      <c r="O10" s="107">
        <f t="shared" si="8"/>
        <v>-3.5118093034019859E-2</v>
      </c>
      <c r="P10" s="108">
        <f t="shared" si="9"/>
        <v>90.016757894736855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1.0528137931034485</v>
      </c>
      <c r="C11" s="107">
        <f t="shared" si="11"/>
        <v>0.43258699375144649</v>
      </c>
      <c r="D11" s="108">
        <f t="shared" si="12"/>
        <v>169.74658208955225</v>
      </c>
      <c r="E11" s="102">
        <f>E24*$B$31/100/$B$32</f>
        <v>1.0882620689655171</v>
      </c>
      <c r="F11" s="107">
        <f t="shared" si="13"/>
        <v>0.4310068039805599</v>
      </c>
      <c r="G11" s="108">
        <f t="shared" si="14"/>
        <v>165.57677464788731</v>
      </c>
      <c r="H11" s="102">
        <f>H24*$B$31/100/$B$32</f>
        <v>1.2484882758620688</v>
      </c>
      <c r="I11" s="107">
        <f t="shared" si="2"/>
        <v>0.4940332885906038</v>
      </c>
      <c r="J11" s="108">
        <f t="shared" si="3"/>
        <v>165.48214233128832</v>
      </c>
      <c r="K11" s="102">
        <f>K24*$B$31/100/$B$32</f>
        <v>0.94256965517241376</v>
      </c>
      <c r="L11" s="107">
        <f t="shared" si="5"/>
        <v>0.28531439018745652</v>
      </c>
      <c r="M11" s="108">
        <f t="shared" si="6"/>
        <v>143.40998169014082</v>
      </c>
      <c r="N11" s="102">
        <f>N24*$B$31/100/$B$32</f>
        <v>0.50442896551724137</v>
      </c>
      <c r="O11" s="107">
        <f t="shared" si="8"/>
        <v>0.15265854200416568</v>
      </c>
      <c r="P11" s="108">
        <f t="shared" si="9"/>
        <v>143.39720789473682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1.4994292524878501</v>
      </c>
      <c r="F12" s="107">
        <f t="shared" si="13"/>
        <v>0.84217398750289285</v>
      </c>
      <c r="G12" s="108">
        <f t="shared" si="14"/>
        <v>228.13499295774648</v>
      </c>
      <c r="H12" s="102">
        <f t="shared" ref="H12:H13" si="15">H25*$B$33/$B$32</f>
        <v>1.5630133765332102</v>
      </c>
      <c r="I12" s="107">
        <f t="shared" si="2"/>
        <v>0.80855838926174517</v>
      </c>
      <c r="J12" s="108">
        <f t="shared" si="3"/>
        <v>207.17119018404907</v>
      </c>
      <c r="K12" s="102">
        <f t="shared" ref="K12:K13" si="16">K25*$B$33/$B$32</f>
        <v>1.4069432538764177</v>
      </c>
      <c r="L12" s="107">
        <f t="shared" si="5"/>
        <v>0.74968798889146049</v>
      </c>
      <c r="M12" s="108">
        <f t="shared" si="6"/>
        <v>214.06344366197186</v>
      </c>
      <c r="N12" s="102">
        <f t="shared" ref="N12:N13" si="17">N25*$B$33/$B$32</f>
        <v>0.60000291599166866</v>
      </c>
      <c r="O12" s="107">
        <f t="shared" si="8"/>
        <v>0.24823249247859297</v>
      </c>
      <c r="P12" s="108">
        <f t="shared" si="9"/>
        <v>170.56661842105265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1.3988507289979173</v>
      </c>
      <c r="F13" s="107">
        <f t="shared" si="13"/>
        <v>0.74159546401296006</v>
      </c>
      <c r="G13" s="108">
        <f t="shared" si="14"/>
        <v>212.83218309859157</v>
      </c>
      <c r="H13" s="102">
        <f t="shared" si="15"/>
        <v>1.5664816014811389</v>
      </c>
      <c r="I13" s="107">
        <f t="shared" si="2"/>
        <v>0.81202661420967392</v>
      </c>
      <c r="J13" s="108">
        <f t="shared" si="3"/>
        <v>207.63088957055217</v>
      </c>
      <c r="K13" s="102">
        <f t="shared" si="16"/>
        <v>1.3179254802129137</v>
      </c>
      <c r="L13" s="107">
        <f t="shared" si="5"/>
        <v>0.66067021522795644</v>
      </c>
      <c r="M13" s="108">
        <f t="shared" si="6"/>
        <v>200.51957746478871</v>
      </c>
      <c r="N13" s="102">
        <f t="shared" si="17"/>
        <v>0.62428049062716973</v>
      </c>
      <c r="O13" s="107">
        <f t="shared" si="8"/>
        <v>0.27251006711409403</v>
      </c>
      <c r="P13" s="108">
        <f t="shared" si="9"/>
        <v>177.46815789473686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1.3686081925480211</v>
      </c>
      <c r="F14" s="119">
        <f t="shared" si="13"/>
        <v>0.7113529275630639</v>
      </c>
      <c r="G14" s="120">
        <f t="shared" si="14"/>
        <v>208.23084507042248</v>
      </c>
      <c r="H14" s="118">
        <f>H27*$B$34/10/$B$32</f>
        <v>1.4517981022911361</v>
      </c>
      <c r="I14" s="119">
        <f t="shared" si="2"/>
        <v>0.69734311501967117</v>
      </c>
      <c r="J14" s="120">
        <f t="shared" si="3"/>
        <v>192.43004907975455</v>
      </c>
      <c r="K14" s="118">
        <f>K27*$B$34/10/$B$32</f>
        <v>1.3525069196945152</v>
      </c>
      <c r="L14" s="119">
        <f t="shared" si="5"/>
        <v>0.69525165470955796</v>
      </c>
      <c r="M14" s="120">
        <f t="shared" si="6"/>
        <v>205.78107042253521</v>
      </c>
      <c r="N14" s="118">
        <f>N27*$B$34/10/$B$32</f>
        <v>0.60648127748206437</v>
      </c>
      <c r="O14" s="119">
        <f t="shared" si="8"/>
        <v>0.25471085396898868</v>
      </c>
      <c r="P14" s="120">
        <f t="shared" si="9"/>
        <v>172.40826315789474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1.34</v>
      </c>
      <c r="C19" s="135" t="s">
        <v>172</v>
      </c>
      <c r="D19" s="136" t="s">
        <v>172</v>
      </c>
      <c r="E19" s="134">
        <v>1.42</v>
      </c>
      <c r="F19" s="135" t="s">
        <v>172</v>
      </c>
      <c r="G19" s="136" t="s">
        <v>172</v>
      </c>
      <c r="H19" s="134">
        <v>1.63</v>
      </c>
      <c r="I19" s="135" t="s">
        <v>172</v>
      </c>
      <c r="J19" s="136" t="s">
        <v>172</v>
      </c>
      <c r="K19" s="134">
        <v>1.42</v>
      </c>
      <c r="L19" s="135" t="s">
        <v>172</v>
      </c>
      <c r="M19" s="136" t="s">
        <v>172</v>
      </c>
      <c r="N19" s="134">
        <v>0.76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41.45</v>
      </c>
      <c r="C20" s="144" t="s">
        <v>172</v>
      </c>
      <c r="D20" s="145" t="s">
        <v>172</v>
      </c>
      <c r="E20" s="143">
        <v>45.23</v>
      </c>
      <c r="F20" s="144" t="s">
        <v>172</v>
      </c>
      <c r="G20" s="145" t="s">
        <v>172</v>
      </c>
      <c r="H20" s="143">
        <v>49.73</v>
      </c>
      <c r="I20" s="144" t="s">
        <v>172</v>
      </c>
      <c r="J20" s="145" t="s">
        <v>172</v>
      </c>
      <c r="K20" s="143">
        <v>43.81</v>
      </c>
      <c r="L20" s="144" t="s">
        <v>172</v>
      </c>
      <c r="M20" s="145" t="s">
        <v>172</v>
      </c>
      <c r="N20" s="143">
        <v>25.42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41.12</v>
      </c>
      <c r="C21" s="144" t="s">
        <v>172</v>
      </c>
      <c r="D21" s="145" t="s">
        <v>172</v>
      </c>
      <c r="E21" s="143">
        <v>44.11</v>
      </c>
      <c r="F21" s="144" t="s">
        <v>172</v>
      </c>
      <c r="G21" s="145" t="s">
        <v>172</v>
      </c>
      <c r="H21" s="143">
        <v>47.6</v>
      </c>
      <c r="I21" s="144" t="s">
        <v>172</v>
      </c>
      <c r="J21" s="145" t="s">
        <v>172</v>
      </c>
      <c r="K21" s="143">
        <v>43.57</v>
      </c>
      <c r="L21" s="144" t="s">
        <v>172</v>
      </c>
      <c r="M21" s="145" t="s">
        <v>172</v>
      </c>
      <c r="N21" s="143">
        <v>25.21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40.89</v>
      </c>
      <c r="C22" s="144" t="s">
        <v>172</v>
      </c>
      <c r="D22" s="145" t="s">
        <v>172</v>
      </c>
      <c r="E22" s="143">
        <v>44.21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43.34</v>
      </c>
      <c r="L22" s="144" t="s">
        <v>172</v>
      </c>
      <c r="M22" s="145" t="s">
        <v>172</v>
      </c>
      <c r="N22" s="143">
        <v>25.42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40.56</v>
      </c>
      <c r="C23" s="144" t="s">
        <v>172</v>
      </c>
      <c r="D23" s="145" t="s">
        <v>172</v>
      </c>
      <c r="E23" s="143">
        <v>43.13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43.87</v>
      </c>
      <c r="L23" s="144" t="s">
        <v>172</v>
      </c>
      <c r="M23" s="145" t="s">
        <v>172</v>
      </c>
      <c r="N23" s="143">
        <v>22.12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29.7</v>
      </c>
      <c r="C24" s="144" t="s">
        <v>172</v>
      </c>
      <c r="D24" s="145" t="s">
        <v>172</v>
      </c>
      <c r="E24" s="143">
        <v>30.7</v>
      </c>
      <c r="F24" s="144" t="s">
        <v>172</v>
      </c>
      <c r="G24" s="145" t="s">
        <v>172</v>
      </c>
      <c r="H24" s="143">
        <v>35.22</v>
      </c>
      <c r="I24" s="144" t="s">
        <v>172</v>
      </c>
      <c r="J24" s="145" t="s">
        <v>172</v>
      </c>
      <c r="K24" s="143">
        <v>26.59</v>
      </c>
      <c r="L24" s="144" t="s">
        <v>172</v>
      </c>
      <c r="M24" s="145" t="s">
        <v>172</v>
      </c>
      <c r="N24" s="143">
        <v>14.23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1.2969999999999999</v>
      </c>
      <c r="F25" s="144" t="s">
        <v>172</v>
      </c>
      <c r="G25" s="145" t="s">
        <v>172</v>
      </c>
      <c r="H25" s="153">
        <v>1.3520000000000001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0.51900000000000002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1.21</v>
      </c>
      <c r="F26" s="144" t="s">
        <v>172</v>
      </c>
      <c r="G26" s="145" t="s">
        <v>172</v>
      </c>
      <c r="H26" s="153">
        <v>1.355</v>
      </c>
      <c r="I26" s="144" t="s">
        <v>172</v>
      </c>
      <c r="J26" s="145" t="s">
        <v>172</v>
      </c>
      <c r="K26" s="153">
        <v>1.1399999999999999</v>
      </c>
      <c r="L26" s="144" t="s">
        <v>172</v>
      </c>
      <c r="M26" s="145" t="s">
        <v>172</v>
      </c>
      <c r="N26" s="153">
        <v>0.54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5.0999999999999996</v>
      </c>
      <c r="F27" s="158" t="s">
        <v>172</v>
      </c>
      <c r="G27" s="159" t="s">
        <v>172</v>
      </c>
      <c r="H27" s="160">
        <v>5.41</v>
      </c>
      <c r="I27" s="158" t="s">
        <v>172</v>
      </c>
      <c r="J27" s="159" t="s">
        <v>172</v>
      </c>
      <c r="K27" s="160">
        <v>5.04</v>
      </c>
      <c r="L27" s="158" t="s">
        <v>172</v>
      </c>
      <c r="M27" s="159" t="s">
        <v>172</v>
      </c>
      <c r="N27" s="160">
        <v>2.2599999999999998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02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204">
        <v>7.6585999999999999</v>
      </c>
      <c r="C31" s="513" t="s">
        <v>203</v>
      </c>
      <c r="D31" s="513"/>
      <c r="E31" s="514"/>
      <c r="F31" s="175"/>
      <c r="G31" s="175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204">
        <v>2.1604999999999999</v>
      </c>
      <c r="C32" s="515"/>
      <c r="D32" s="515"/>
      <c r="E32" s="516"/>
      <c r="F32" s="175"/>
      <c r="G32" s="175"/>
      <c r="H32" s="177"/>
      <c r="I32" s="177"/>
      <c r="J32" s="178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204">
        <v>2.4977</v>
      </c>
      <c r="C33" s="515"/>
      <c r="D33" s="515"/>
      <c r="E33" s="516"/>
      <c r="F33" s="175"/>
      <c r="G33" s="175"/>
      <c r="H33" s="177"/>
      <c r="I33" s="177"/>
      <c r="J33" s="178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204">
        <v>5.7977999999999996</v>
      </c>
      <c r="C34" s="515"/>
      <c r="D34" s="515"/>
      <c r="E34" s="516"/>
      <c r="F34" s="175"/>
      <c r="G34" s="175"/>
      <c r="H34" s="177"/>
      <c r="I34" s="177"/>
      <c r="J34" s="178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204">
        <v>3.0928</v>
      </c>
      <c r="C35" s="517"/>
      <c r="D35" s="517"/>
      <c r="E35" s="518"/>
      <c r="F35" s="175"/>
      <c r="G35" s="175"/>
      <c r="H35" s="177"/>
      <c r="I35" s="177"/>
      <c r="J35" s="178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6" r:id="rId3" location=".Vs2LGH2LRkg"/>
    <hyperlink ref="Q27" r:id="rId4" location=".VyhQfdKLTcs"/>
    <hyperlink ref="R27" r:id="rId5"/>
    <hyperlink ref="R25" r:id="rId6"/>
    <hyperlink ref="R26" r:id="rId7"/>
    <hyperlink ref="C31" r:id="rId8" display="www.nbrb.by"/>
    <hyperlink ref="C31:E35" r:id="rId9" display="http://www.nbrb.by/statistics/rates/ratesDaily.asp"/>
    <hyperlink ref="S25" r:id="rId10"/>
    <hyperlink ref="S26" r:id="rId11"/>
    <hyperlink ref="S27" r:id="rId12"/>
    <hyperlink ref="S24" r:id="rId13"/>
    <hyperlink ref="T25" r:id="rId14"/>
    <hyperlink ref="U25" r:id="rId15"/>
    <hyperlink ref="U26" r:id="rId16"/>
    <hyperlink ref="U27" r:id="rId17"/>
    <hyperlink ref="V24" r:id="rId18"/>
    <hyperlink ref="V25" r:id="rId19"/>
    <hyperlink ref="V26" r:id="rId20"/>
    <hyperlink ref="V27" r:id="rId21"/>
    <hyperlink ref="W24" r:id="rId22"/>
    <hyperlink ref="W25" r:id="rId23"/>
    <hyperlink ref="W26" r:id="rId24"/>
    <hyperlink ref="W27" r:id="rId25"/>
    <hyperlink ref="R24" r:id="rId26"/>
    <hyperlink ref="Q23" r:id="rId27"/>
    <hyperlink ref="Q24" r:id="rId28"/>
    <hyperlink ref="Q20" r:id="rId29"/>
    <hyperlink ref="Q21" r:id="rId30"/>
    <hyperlink ref="Q22" r:id="rId31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A7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.7109375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43360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0.631224575676813</v>
      </c>
      <c r="C6" s="103" t="s">
        <v>172</v>
      </c>
      <c r="D6" s="104" t="s">
        <v>172</v>
      </c>
      <c r="E6" s="102">
        <f>E19/$B$32</f>
        <v>0.66863047645766116</v>
      </c>
      <c r="F6" s="103" t="s">
        <v>172</v>
      </c>
      <c r="G6" s="104" t="s">
        <v>172</v>
      </c>
      <c r="H6" s="102">
        <f>H19/$B$32</f>
        <v>0.76682096600738758</v>
      </c>
      <c r="I6" s="103" t="s">
        <v>172</v>
      </c>
      <c r="J6" s="104" t="s">
        <v>172</v>
      </c>
      <c r="K6" s="102">
        <f>K19/$B$32</f>
        <v>0.66863047645766116</v>
      </c>
      <c r="L6" s="103" t="s">
        <v>172</v>
      </c>
      <c r="M6" s="104" t="s">
        <v>172</v>
      </c>
      <c r="N6" s="102">
        <f>N19/$B$32</f>
        <v>0.36003179501566374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0.61096479169588991</v>
      </c>
      <c r="C7" s="107">
        <f>B7-B$6</f>
        <v>-2.0259783980923096E-2</v>
      </c>
      <c r="D7" s="108">
        <f>B7/B$6*100</f>
        <v>96.790399999999991</v>
      </c>
      <c r="E7" s="102">
        <f t="shared" ref="E7:E10" si="0">E20*$B$35/100/$B$32</f>
        <v>0.66451199326693777</v>
      </c>
      <c r="F7" s="107">
        <f>E7-E$6</f>
        <v>-4.1184831907233876E-3</v>
      </c>
      <c r="G7" s="108">
        <f>E7/E$6*100</f>
        <v>99.384041958041948</v>
      </c>
      <c r="H7" s="102">
        <f t="shared" ref="H7:H10" si="1">H20*$B$35/100/$B$32</f>
        <v>0.72976350119231315</v>
      </c>
      <c r="I7" s="107">
        <f t="shared" ref="I7:I14" si="2">H7-H$6</f>
        <v>-3.7057464815074437E-2</v>
      </c>
      <c r="J7" s="108">
        <f t="shared" ref="J7:J14" si="3">H7/H$6*100</f>
        <v>95.16739024390246</v>
      </c>
      <c r="K7" s="102">
        <f t="shared" ref="K7:K10" si="4">K20*$B$35/100/$B$32</f>
        <v>0.64373684948800669</v>
      </c>
      <c r="L7" s="107">
        <f t="shared" ref="L7:L14" si="5">K7-K$6</f>
        <v>-2.489362696965447E-2</v>
      </c>
      <c r="M7" s="108">
        <f t="shared" ref="M7:M14" si="6">K7/K$6*100</f>
        <v>96.276923076923069</v>
      </c>
      <c r="N7" s="102">
        <f t="shared" ref="N7:N10" si="7">N20*$B$35/100/$B$32</f>
        <v>0.37395258802076026</v>
      </c>
      <c r="O7" s="107">
        <f t="shared" ref="O7:O14" si="8">N7-N$6</f>
        <v>1.3920793005096521E-2</v>
      </c>
      <c r="P7" s="108">
        <f t="shared" ref="P7:P14" si="9">N7/N$6*100</f>
        <v>103.86654545454546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0.60160134661242803</v>
      </c>
      <c r="C8" s="107">
        <f t="shared" ref="C8:C11" si="11">B8-B$6</f>
        <v>-2.962322906438497E-2</v>
      </c>
      <c r="D8" s="108">
        <f t="shared" ref="D8:D11" si="12">B8/B$6*100</f>
        <v>95.307022222222216</v>
      </c>
      <c r="E8" s="102">
        <f t="shared" si="0"/>
        <v>0.64549249544115583</v>
      </c>
      <c r="F8" s="107">
        <f t="shared" ref="F8:F14" si="13">E8-E$6</f>
        <v>-2.3137981016505327E-2</v>
      </c>
      <c r="G8" s="108">
        <f t="shared" ref="G8:G14" si="14">E8/E$6*100</f>
        <v>96.539496503496508</v>
      </c>
      <c r="H8" s="102">
        <f t="shared" si="1"/>
        <v>0.69640622808248009</v>
      </c>
      <c r="I8" s="107">
        <f t="shared" si="2"/>
        <v>-7.0414737924907489E-2</v>
      </c>
      <c r="J8" s="108">
        <f t="shared" si="3"/>
        <v>90.817317073170756</v>
      </c>
      <c r="K8" s="102">
        <f t="shared" si="4"/>
        <v>0.63846991162855937</v>
      </c>
      <c r="L8" s="107">
        <f t="shared" si="5"/>
        <v>-3.0160564829101788E-2</v>
      </c>
      <c r="M8" s="108">
        <f t="shared" si="6"/>
        <v>95.489202797202793</v>
      </c>
      <c r="N8" s="102">
        <f t="shared" si="7"/>
        <v>0.36883195399074203</v>
      </c>
      <c r="O8" s="107">
        <f t="shared" si="8"/>
        <v>8.8001589750782983E-3</v>
      </c>
      <c r="P8" s="108">
        <f t="shared" si="9"/>
        <v>102.44427272727272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0.59882157385327539</v>
      </c>
      <c r="C9" s="107">
        <f t="shared" si="11"/>
        <v>-3.2403001823537614E-2</v>
      </c>
      <c r="D9" s="108">
        <f t="shared" si="12"/>
        <v>94.866644444444447</v>
      </c>
      <c r="E9" s="102">
        <f t="shared" si="0"/>
        <v>0.64534619161172668</v>
      </c>
      <c r="F9" s="107">
        <f t="shared" si="13"/>
        <v>-2.3284284845934478E-2</v>
      </c>
      <c r="G9" s="108">
        <f t="shared" si="14"/>
        <v>96.517615384615382</v>
      </c>
      <c r="H9" s="102">
        <f t="shared" si="1"/>
        <v>0.69640622808248009</v>
      </c>
      <c r="I9" s="107">
        <f t="shared" si="2"/>
        <v>-7.0414737924907489E-2</v>
      </c>
      <c r="J9" s="108">
        <f t="shared" si="3"/>
        <v>90.817317073170756</v>
      </c>
      <c r="K9" s="102">
        <f t="shared" si="4"/>
        <v>0.63554383503997747</v>
      </c>
      <c r="L9" s="107">
        <f t="shared" si="5"/>
        <v>-3.3086641417683693E-2</v>
      </c>
      <c r="M9" s="108">
        <f t="shared" si="6"/>
        <v>95.051580419580404</v>
      </c>
      <c r="N9" s="102">
        <f t="shared" si="7"/>
        <v>0.37190433440875298</v>
      </c>
      <c r="O9" s="107">
        <f t="shared" si="8"/>
        <v>1.1872539393089243E-2</v>
      </c>
      <c r="P9" s="108">
        <f t="shared" si="9"/>
        <v>103.29763636363636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0.59370093982325711</v>
      </c>
      <c r="C10" s="107">
        <f t="shared" si="11"/>
        <v>-3.7523635853555892E-2</v>
      </c>
      <c r="D10" s="108">
        <f t="shared" si="12"/>
        <v>94.055422222222219</v>
      </c>
      <c r="E10" s="102">
        <f t="shared" si="0"/>
        <v>0.63832360779913033</v>
      </c>
      <c r="F10" s="107">
        <f t="shared" si="13"/>
        <v>-3.0306868658530828E-2</v>
      </c>
      <c r="G10" s="108">
        <f t="shared" si="14"/>
        <v>95.467321678321682</v>
      </c>
      <c r="H10" s="102">
        <f t="shared" si="1"/>
        <v>0.69640622808248009</v>
      </c>
      <c r="I10" s="107">
        <f t="shared" si="2"/>
        <v>-7.0414737924907489E-2</v>
      </c>
      <c r="J10" s="108">
        <f t="shared" si="3"/>
        <v>90.817317073170756</v>
      </c>
      <c r="K10" s="102">
        <f t="shared" si="4"/>
        <v>0.64300533034086127</v>
      </c>
      <c r="L10" s="107">
        <f t="shared" si="5"/>
        <v>-2.5625146116799891E-2</v>
      </c>
      <c r="M10" s="108">
        <f t="shared" si="6"/>
        <v>96.167517482517482</v>
      </c>
      <c r="N10" s="102">
        <f t="shared" si="7"/>
        <v>0.32362407069715249</v>
      </c>
      <c r="O10" s="107">
        <f t="shared" si="8"/>
        <v>-3.6407724318511248E-2</v>
      </c>
      <c r="P10" s="108">
        <f t="shared" si="9"/>
        <v>89.887636363636361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1.0744145976527797</v>
      </c>
      <c r="C11" s="107">
        <f t="shared" si="11"/>
        <v>0.44319002197596669</v>
      </c>
      <c r="D11" s="108">
        <f t="shared" si="12"/>
        <v>170.21114814814814</v>
      </c>
      <c r="E11" s="102">
        <f>E24*$B$31/100/$B$32</f>
        <v>1.0992770842100341</v>
      </c>
      <c r="F11" s="107">
        <f t="shared" si="13"/>
        <v>0.43064660775237296</v>
      </c>
      <c r="G11" s="108">
        <f t="shared" si="14"/>
        <v>164.40726573426574</v>
      </c>
      <c r="H11" s="102">
        <f>H24*$B$31/100/$B$32</f>
        <v>1.2818387712161594</v>
      </c>
      <c r="I11" s="107">
        <f t="shared" si="2"/>
        <v>0.51501780520877183</v>
      </c>
      <c r="J11" s="108">
        <f t="shared" si="3"/>
        <v>167.16271829268294</v>
      </c>
      <c r="K11" s="102">
        <f>K24*$B$31/100/$B$32</f>
        <v>0.95329877028101173</v>
      </c>
      <c r="L11" s="107">
        <f t="shared" si="5"/>
        <v>0.28466829382335057</v>
      </c>
      <c r="M11" s="108">
        <f t="shared" si="6"/>
        <v>142.57483076923077</v>
      </c>
      <c r="N11" s="102">
        <f>N24*$B$31/100/$B$32</f>
        <v>0.5192707906672277</v>
      </c>
      <c r="O11" s="107">
        <f t="shared" si="8"/>
        <v>0.15923899565156396</v>
      </c>
      <c r="P11" s="108">
        <f t="shared" si="9"/>
        <v>144.22914805194802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1.52989030719596</v>
      </c>
      <c r="F12" s="107">
        <f t="shared" si="13"/>
        <v>0.86125983073829881</v>
      </c>
      <c r="G12" s="108">
        <f t="shared" si="14"/>
        <v>228.80953846153847</v>
      </c>
      <c r="H12" s="102">
        <f t="shared" ref="H12:H13" si="15">H25*$B$33/$B$32</f>
        <v>1.5941714125403283</v>
      </c>
      <c r="I12" s="107">
        <f t="shared" si="2"/>
        <v>0.82735044653294076</v>
      </c>
      <c r="J12" s="108">
        <f t="shared" si="3"/>
        <v>207.8935609756098</v>
      </c>
      <c r="K12" s="102">
        <f t="shared" ref="K12:K13" si="16">K25*$B$33/$B$32</f>
        <v>1.436390517604152</v>
      </c>
      <c r="L12" s="107">
        <f t="shared" si="5"/>
        <v>0.76776004114649088</v>
      </c>
      <c r="M12" s="108">
        <f t="shared" si="6"/>
        <v>214.82576223776223</v>
      </c>
      <c r="N12" s="102">
        <f t="shared" ref="N12:N13" si="17">N25*$B$33/$B$32</f>
        <v>0.62995483237480721</v>
      </c>
      <c r="O12" s="107">
        <f t="shared" si="8"/>
        <v>0.26992303735914347</v>
      </c>
      <c r="P12" s="108">
        <f t="shared" si="9"/>
        <v>174.97200000000001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1.4095093280965072</v>
      </c>
      <c r="F13" s="107">
        <f t="shared" si="13"/>
        <v>0.74087885163884604</v>
      </c>
      <c r="G13" s="108">
        <f t="shared" si="14"/>
        <v>210.80542657342659</v>
      </c>
      <c r="H13" s="102">
        <f t="shared" si="15"/>
        <v>1.4901528966194415</v>
      </c>
      <c r="I13" s="107">
        <f t="shared" si="2"/>
        <v>0.72333193061205392</v>
      </c>
      <c r="J13" s="108">
        <f t="shared" si="3"/>
        <v>194.32865853658535</v>
      </c>
      <c r="K13" s="102">
        <f t="shared" si="16"/>
        <v>1.316009538504699</v>
      </c>
      <c r="L13" s="107">
        <f t="shared" si="5"/>
        <v>0.64737906204703788</v>
      </c>
      <c r="M13" s="108">
        <f t="shared" si="6"/>
        <v>196.82165034965035</v>
      </c>
      <c r="N13" s="102">
        <f t="shared" si="17"/>
        <v>0.68839220086968722</v>
      </c>
      <c r="O13" s="107">
        <f t="shared" si="8"/>
        <v>0.32836040585402348</v>
      </c>
      <c r="P13" s="108">
        <f t="shared" si="9"/>
        <v>191.20316883116882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1.3883516622247158</v>
      </c>
      <c r="F14" s="119">
        <f t="shared" si="13"/>
        <v>0.71972118576705468</v>
      </c>
      <c r="G14" s="120">
        <f t="shared" si="14"/>
        <v>207.6410979020979</v>
      </c>
      <c r="H14" s="118">
        <f>H27*$B$34/10/$B$32</f>
        <v>1.4508410716790572</v>
      </c>
      <c r="I14" s="119">
        <f t="shared" si="2"/>
        <v>0.6840201056716696</v>
      </c>
      <c r="J14" s="120">
        <f t="shared" si="3"/>
        <v>189.20206097560975</v>
      </c>
      <c r="K14" s="118">
        <f>K27*$B$34/10/$B$32</f>
        <v>1.3720500771496702</v>
      </c>
      <c r="L14" s="119">
        <f t="shared" si="5"/>
        <v>0.70341960069200904</v>
      </c>
      <c r="M14" s="120">
        <f t="shared" si="6"/>
        <v>205.20304195804195</v>
      </c>
      <c r="N14" s="118">
        <f>N27*$B$34/10/$B$32</f>
        <v>0.61946023285173224</v>
      </c>
      <c r="O14" s="119">
        <f t="shared" si="8"/>
        <v>0.2594284378360685</v>
      </c>
      <c r="P14" s="120">
        <f t="shared" si="9"/>
        <v>172.05709090909087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1.35</v>
      </c>
      <c r="C19" s="135" t="s">
        <v>172</v>
      </c>
      <c r="D19" s="136" t="s">
        <v>172</v>
      </c>
      <c r="E19" s="134">
        <v>1.43</v>
      </c>
      <c r="F19" s="135" t="s">
        <v>172</v>
      </c>
      <c r="G19" s="136" t="s">
        <v>172</v>
      </c>
      <c r="H19" s="134">
        <v>1.64</v>
      </c>
      <c r="I19" s="135" t="s">
        <v>172</v>
      </c>
      <c r="J19" s="136" t="s">
        <v>172</v>
      </c>
      <c r="K19" s="134">
        <v>1.43</v>
      </c>
      <c r="L19" s="135" t="s">
        <v>172</v>
      </c>
      <c r="M19" s="136" t="s">
        <v>172</v>
      </c>
      <c r="N19" s="134">
        <v>0.77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41.76</v>
      </c>
      <c r="C20" s="144" t="s">
        <v>172</v>
      </c>
      <c r="D20" s="145" t="s">
        <v>172</v>
      </c>
      <c r="E20" s="143">
        <v>45.42</v>
      </c>
      <c r="F20" s="144" t="s">
        <v>172</v>
      </c>
      <c r="G20" s="145" t="s">
        <v>172</v>
      </c>
      <c r="H20" s="143">
        <v>49.88</v>
      </c>
      <c r="I20" s="144" t="s">
        <v>172</v>
      </c>
      <c r="J20" s="145" t="s">
        <v>172</v>
      </c>
      <c r="K20" s="143">
        <v>44</v>
      </c>
      <c r="L20" s="144" t="s">
        <v>172</v>
      </c>
      <c r="M20" s="145" t="s">
        <v>172</v>
      </c>
      <c r="N20" s="143">
        <v>25.56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41.12</v>
      </c>
      <c r="C21" s="144" t="s">
        <v>172</v>
      </c>
      <c r="D21" s="145" t="s">
        <v>172</v>
      </c>
      <c r="E21" s="143">
        <v>44.12</v>
      </c>
      <c r="F21" s="144" t="s">
        <v>172</v>
      </c>
      <c r="G21" s="145" t="s">
        <v>172</v>
      </c>
      <c r="H21" s="143">
        <v>47.6</v>
      </c>
      <c r="I21" s="144" t="s">
        <v>172</v>
      </c>
      <c r="J21" s="145" t="s">
        <v>172</v>
      </c>
      <c r="K21" s="143">
        <v>43.64</v>
      </c>
      <c r="L21" s="144" t="s">
        <v>172</v>
      </c>
      <c r="M21" s="145" t="s">
        <v>172</v>
      </c>
      <c r="N21" s="143">
        <v>25.21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40.93</v>
      </c>
      <c r="C22" s="144" t="s">
        <v>172</v>
      </c>
      <c r="D22" s="145" t="s">
        <v>172</v>
      </c>
      <c r="E22" s="143">
        <v>44.11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43.44</v>
      </c>
      <c r="L22" s="144" t="s">
        <v>172</v>
      </c>
      <c r="M22" s="145" t="s">
        <v>172</v>
      </c>
      <c r="N22" s="143">
        <v>25.42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40.58</v>
      </c>
      <c r="C23" s="144" t="s">
        <v>172</v>
      </c>
      <c r="D23" s="145" t="s">
        <v>172</v>
      </c>
      <c r="E23" s="143">
        <v>43.63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43.95</v>
      </c>
      <c r="L23" s="144" t="s">
        <v>172</v>
      </c>
      <c r="M23" s="145" t="s">
        <v>172</v>
      </c>
      <c r="N23" s="143">
        <v>22.12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30.25</v>
      </c>
      <c r="C24" s="144" t="s">
        <v>172</v>
      </c>
      <c r="D24" s="145" t="s">
        <v>172</v>
      </c>
      <c r="E24" s="143">
        <v>30.95</v>
      </c>
      <c r="F24" s="144" t="s">
        <v>172</v>
      </c>
      <c r="G24" s="145" t="s">
        <v>172</v>
      </c>
      <c r="H24" s="143">
        <v>36.090000000000003</v>
      </c>
      <c r="I24" s="144" t="s">
        <v>172</v>
      </c>
      <c r="J24" s="145" t="s">
        <v>172</v>
      </c>
      <c r="K24" s="143">
        <v>26.84</v>
      </c>
      <c r="L24" s="144" t="s">
        <v>172</v>
      </c>
      <c r="M24" s="145" t="s">
        <v>172</v>
      </c>
      <c r="N24" s="143">
        <v>14.62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1.3089999999999999</v>
      </c>
      <c r="F25" s="144" t="s">
        <v>172</v>
      </c>
      <c r="G25" s="145" t="s">
        <v>172</v>
      </c>
      <c r="H25" s="153">
        <v>1.3640000000000001</v>
      </c>
      <c r="I25" s="144" t="s">
        <v>172</v>
      </c>
      <c r="J25" s="145" t="s">
        <v>172</v>
      </c>
      <c r="K25" s="153">
        <v>1.2290000000000001</v>
      </c>
      <c r="L25" s="144" t="s">
        <v>172</v>
      </c>
      <c r="M25" s="145" t="s">
        <v>172</v>
      </c>
      <c r="N25" s="153">
        <v>0.53900000000000003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1.206</v>
      </c>
      <c r="F26" s="144" t="s">
        <v>172</v>
      </c>
      <c r="G26" s="145" t="s">
        <v>172</v>
      </c>
      <c r="H26" s="153">
        <v>1.2749999999999999</v>
      </c>
      <c r="I26" s="144" t="s">
        <v>172</v>
      </c>
      <c r="J26" s="145" t="s">
        <v>172</v>
      </c>
      <c r="K26" s="153">
        <v>1.1259999999999999</v>
      </c>
      <c r="L26" s="144" t="s">
        <v>172</v>
      </c>
      <c r="M26" s="145" t="s">
        <v>172</v>
      </c>
      <c r="N26" s="153">
        <v>0.58899999999999997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5.1100000000000003</v>
      </c>
      <c r="F27" s="158" t="s">
        <v>172</v>
      </c>
      <c r="G27" s="159" t="s">
        <v>172</v>
      </c>
      <c r="H27" s="160">
        <v>5.34</v>
      </c>
      <c r="I27" s="158" t="s">
        <v>172</v>
      </c>
      <c r="J27" s="159" t="s">
        <v>172</v>
      </c>
      <c r="K27" s="160">
        <v>5.05</v>
      </c>
      <c r="L27" s="158" t="s">
        <v>172</v>
      </c>
      <c r="M27" s="159" t="s">
        <v>172</v>
      </c>
      <c r="N27" s="160">
        <v>2.2799999999999998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02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173" t="s">
        <v>202</v>
      </c>
      <c r="B31" s="204">
        <v>7.5961999999999996</v>
      </c>
      <c r="C31" s="513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176" t="s">
        <v>204</v>
      </c>
      <c r="B32" s="204">
        <v>2.1387</v>
      </c>
      <c r="C32" s="515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176" t="s">
        <v>205</v>
      </c>
      <c r="B33" s="205">
        <v>2.4996</v>
      </c>
      <c r="C33" s="515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176" t="s">
        <v>206</v>
      </c>
      <c r="B34" s="204">
        <v>5.8106999999999998</v>
      </c>
      <c r="C34" s="515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180" t="s">
        <v>207</v>
      </c>
      <c r="B35" s="206">
        <v>3.129</v>
      </c>
      <c r="C35" s="517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6" r:id="rId3" location=".Vs2LGH2LRkg"/>
    <hyperlink ref="Q27" r:id="rId4" location=".VyhQfdKLTcs"/>
    <hyperlink ref="R27" r:id="rId5"/>
    <hyperlink ref="R25" r:id="rId6"/>
    <hyperlink ref="R26" r:id="rId7"/>
    <hyperlink ref="C31" r:id="rId8" display="www.nbrb.by"/>
    <hyperlink ref="C31:E35" r:id="rId9" display="http://www.nbrb.by/statistics/rates/ratesDaily.asp"/>
    <hyperlink ref="S25" r:id="rId10"/>
    <hyperlink ref="S26" r:id="rId11"/>
    <hyperlink ref="S27" r:id="rId12"/>
    <hyperlink ref="S24" r:id="rId13"/>
    <hyperlink ref="T25" r:id="rId14"/>
    <hyperlink ref="U25" r:id="rId15"/>
    <hyperlink ref="U26" r:id="rId16"/>
    <hyperlink ref="U27" r:id="rId17"/>
    <hyperlink ref="V24" r:id="rId18"/>
    <hyperlink ref="V25" r:id="rId19"/>
    <hyperlink ref="V26" r:id="rId20"/>
    <hyperlink ref="V27" r:id="rId21"/>
    <hyperlink ref="W24" r:id="rId22"/>
    <hyperlink ref="W25" r:id="rId23"/>
    <hyperlink ref="W26" r:id="rId24"/>
    <hyperlink ref="W27" r:id="rId25"/>
    <hyperlink ref="R24" r:id="rId26"/>
    <hyperlink ref="Q23" r:id="rId27"/>
    <hyperlink ref="Q24" r:id="rId28"/>
    <hyperlink ref="Q20" r:id="rId29"/>
    <hyperlink ref="Q21" r:id="rId30"/>
    <hyperlink ref="Q22" r:id="rId31"/>
  </hyperlinks>
  <pageMargins left="0.7" right="0.7" top="0.75" bottom="0.75" header="0.3" footer="0.3"/>
  <pageSetup paperSize="9" orientation="portrait" r:id="rId3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43367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0.65422359053299983</v>
      </c>
      <c r="C6" s="103" t="s">
        <v>172</v>
      </c>
      <c r="D6" s="104" t="s">
        <v>172</v>
      </c>
      <c r="E6" s="102">
        <f>E19/$B$32</f>
        <v>0.69270733115258798</v>
      </c>
      <c r="F6" s="103" t="s">
        <v>172</v>
      </c>
      <c r="G6" s="104" t="s">
        <v>172</v>
      </c>
      <c r="H6" s="102">
        <f>H19/$B$32</f>
        <v>0.74562247450452179</v>
      </c>
      <c r="I6" s="103" t="s">
        <v>172</v>
      </c>
      <c r="J6" s="104" t="s">
        <v>172</v>
      </c>
      <c r="K6" s="102">
        <f>K19/$B$32</f>
        <v>0.69270733115258798</v>
      </c>
      <c r="L6" s="103" t="s">
        <v>172</v>
      </c>
      <c r="M6" s="104" t="s">
        <v>172</v>
      </c>
      <c r="N6" s="102">
        <f>N19/$B$32</f>
        <v>0.37040600346353664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0.63025633057533181</v>
      </c>
      <c r="C7" s="107">
        <f>B7-B$6</f>
        <v>-2.3967259957668019E-2</v>
      </c>
      <c r="D7" s="108">
        <f>B7/B$6*100</f>
        <v>96.336533823529393</v>
      </c>
      <c r="E7" s="102">
        <f t="shared" ref="E7:E10" si="0">E20*$B$35/100/$B$32</f>
        <v>0.68401082355204912</v>
      </c>
      <c r="F7" s="107">
        <f>E7-E$6</f>
        <v>-8.6965076005388608E-3</v>
      </c>
      <c r="G7" s="108">
        <f>E7/E$6*100</f>
        <v>98.744562499999986</v>
      </c>
      <c r="H7" s="102">
        <f t="shared" ref="H7:H10" si="1">H20*$B$35/100/$B$32</f>
        <v>0.75316688474119675</v>
      </c>
      <c r="I7" s="107">
        <f t="shared" ref="I7:I14" si="2">H7-H$6</f>
        <v>7.5444102366749588E-3</v>
      </c>
      <c r="J7" s="108">
        <f t="shared" ref="J7:J14" si="3">H7/H$6*100</f>
        <v>101.01182709677418</v>
      </c>
      <c r="K7" s="102">
        <f t="shared" ref="K7:K10" si="4">K20*$B$35/100/$B$32</f>
        <v>0.66528734847027127</v>
      </c>
      <c r="L7" s="107">
        <f t="shared" ref="L7:L14" si="5">K7-K$6</f>
        <v>-2.7419982682316713E-2</v>
      </c>
      <c r="M7" s="108">
        <f t="shared" ref="M7:M14" si="6">K7/K$6*100</f>
        <v>96.041620833333326</v>
      </c>
      <c r="N7" s="102">
        <f t="shared" ref="N7:N10" si="7">N20*$B$35/100/$B$32</f>
        <v>0.39742085818741579</v>
      </c>
      <c r="O7" s="107">
        <f t="shared" ref="O7:O14" si="8">N7-N$6</f>
        <v>2.7014854723879156E-2</v>
      </c>
      <c r="P7" s="108">
        <f t="shared" ref="P7:P14" si="9">N7/N$6*100</f>
        <v>107.29330909090908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0.62044160573407736</v>
      </c>
      <c r="C8" s="107">
        <f t="shared" ref="C8:C11" si="11">B8-B$6</f>
        <v>-3.3781984798922471E-2</v>
      </c>
      <c r="D8" s="108">
        <f t="shared" ref="D8:D11" si="12">B8/B$6*100</f>
        <v>94.83632426470588</v>
      </c>
      <c r="E8" s="102">
        <f t="shared" si="0"/>
        <v>0.66574033577063685</v>
      </c>
      <c r="F8" s="107">
        <f t="shared" ref="F8:F14" si="13">E8-E$6</f>
        <v>-2.6966995381951131E-2</v>
      </c>
      <c r="G8" s="108">
        <f t="shared" ref="G8:G14" si="14">E8/E$6*100</f>
        <v>96.107014583333324</v>
      </c>
      <c r="H8" s="102">
        <f t="shared" si="1"/>
        <v>0.71873984991341155</v>
      </c>
      <c r="I8" s="107">
        <f t="shared" si="2"/>
        <v>-2.6882624591110238E-2</v>
      </c>
      <c r="J8" s="108">
        <f t="shared" si="3"/>
        <v>96.394606451612901</v>
      </c>
      <c r="K8" s="102">
        <f t="shared" si="4"/>
        <v>0.65743556859726759</v>
      </c>
      <c r="L8" s="107">
        <f t="shared" si="5"/>
        <v>-3.5271762555320385E-2</v>
      </c>
      <c r="M8" s="108">
        <f t="shared" si="6"/>
        <v>94.908129166666669</v>
      </c>
      <c r="N8" s="102">
        <f t="shared" si="7"/>
        <v>0.37869738310563777</v>
      </c>
      <c r="O8" s="107">
        <f t="shared" si="8"/>
        <v>8.2913796421011376E-3</v>
      </c>
      <c r="P8" s="108">
        <f t="shared" si="9"/>
        <v>102.23845714285713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0.61817666923224923</v>
      </c>
      <c r="C9" s="107">
        <f t="shared" si="11"/>
        <v>-3.6046921300750601E-2</v>
      </c>
      <c r="D9" s="108">
        <f t="shared" si="12"/>
        <v>94.490122058823502</v>
      </c>
      <c r="E9" s="102">
        <f t="shared" si="0"/>
        <v>0.66528734847027127</v>
      </c>
      <c r="F9" s="107">
        <f t="shared" si="13"/>
        <v>-2.7419982682316713E-2</v>
      </c>
      <c r="G9" s="108">
        <f t="shared" si="14"/>
        <v>96.041620833333326</v>
      </c>
      <c r="H9" s="102">
        <f t="shared" si="1"/>
        <v>0.71873984991341155</v>
      </c>
      <c r="I9" s="107">
        <f t="shared" si="2"/>
        <v>-2.6882624591110238E-2</v>
      </c>
      <c r="J9" s="108">
        <f t="shared" si="3"/>
        <v>96.394606451612901</v>
      </c>
      <c r="K9" s="102">
        <f t="shared" si="4"/>
        <v>0.66287141620165468</v>
      </c>
      <c r="L9" s="107">
        <f t="shared" si="5"/>
        <v>-2.9835914950933295E-2</v>
      </c>
      <c r="M9" s="108">
        <f t="shared" si="6"/>
        <v>95.692854166666649</v>
      </c>
      <c r="N9" s="102">
        <f t="shared" si="7"/>
        <v>0.37869738310563777</v>
      </c>
      <c r="O9" s="107">
        <f t="shared" si="8"/>
        <v>8.2913796421011376E-3</v>
      </c>
      <c r="P9" s="108">
        <f t="shared" si="9"/>
        <v>102.23845714285713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0.61168385126034241</v>
      </c>
      <c r="C10" s="107">
        <f t="shared" si="11"/>
        <v>-4.2539739272657418E-2</v>
      </c>
      <c r="D10" s="108">
        <f t="shared" si="12"/>
        <v>93.497675735294109</v>
      </c>
      <c r="E10" s="102">
        <f t="shared" si="0"/>
        <v>0.65003677602462939</v>
      </c>
      <c r="F10" s="107">
        <f t="shared" si="13"/>
        <v>-4.2670555127958587E-2</v>
      </c>
      <c r="G10" s="108">
        <f t="shared" si="14"/>
        <v>93.840031249999981</v>
      </c>
      <c r="H10" s="102">
        <f t="shared" si="1"/>
        <v>0.71873984991341155</v>
      </c>
      <c r="I10" s="107">
        <f t="shared" si="2"/>
        <v>-2.6882624591110238E-2</v>
      </c>
      <c r="J10" s="108">
        <f t="shared" si="3"/>
        <v>96.394606451612901</v>
      </c>
      <c r="K10" s="102">
        <f t="shared" si="4"/>
        <v>0.66105946700019236</v>
      </c>
      <c r="L10" s="107">
        <f t="shared" si="5"/>
        <v>-3.1647864152395622E-2</v>
      </c>
      <c r="M10" s="108">
        <f t="shared" si="6"/>
        <v>95.431279166666656</v>
      </c>
      <c r="N10" s="102">
        <f t="shared" si="7"/>
        <v>0.3383815133730998</v>
      </c>
      <c r="O10" s="107">
        <f t="shared" si="8"/>
        <v>-3.2024490090436841E-2</v>
      </c>
      <c r="P10" s="108">
        <f t="shared" si="9"/>
        <v>91.354219480519475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1.0784384019626707</v>
      </c>
      <c r="C11" s="107">
        <f t="shared" si="11"/>
        <v>0.42421481142967088</v>
      </c>
      <c r="D11" s="108">
        <f t="shared" si="12"/>
        <v>164.84248161764705</v>
      </c>
      <c r="E11" s="102">
        <f>E24*$B$31/100/$B$32</f>
        <v>1.103394001346931</v>
      </c>
      <c r="F11" s="107">
        <f t="shared" si="13"/>
        <v>0.41068667019434302</v>
      </c>
      <c r="G11" s="108">
        <f t="shared" si="14"/>
        <v>159.28718402777778</v>
      </c>
      <c r="H11" s="102">
        <f>H24*$B$31/100/$B$32</f>
        <v>1.2866394025399268</v>
      </c>
      <c r="I11" s="107">
        <f t="shared" si="2"/>
        <v>0.54101692803540502</v>
      </c>
      <c r="J11" s="108">
        <f t="shared" si="3"/>
        <v>172.55909612903227</v>
      </c>
      <c r="K11" s="102">
        <f>K24*$B$31/100/$B$32</f>
        <v>0.95686898210506055</v>
      </c>
      <c r="L11" s="107">
        <f t="shared" si="5"/>
        <v>0.26416165095247257</v>
      </c>
      <c r="M11" s="108">
        <f t="shared" si="6"/>
        <v>138.13466944444443</v>
      </c>
      <c r="N11" s="102">
        <f>N24*$B$31/100/$B$32</f>
        <v>0.53262379257263803</v>
      </c>
      <c r="O11" s="107">
        <f t="shared" si="8"/>
        <v>0.1622177891091014</v>
      </c>
      <c r="P11" s="108">
        <f t="shared" si="9"/>
        <v>143.79458961038961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1.54274100442563</v>
      </c>
      <c r="F12" s="107">
        <f t="shared" si="13"/>
        <v>0.85003367327304202</v>
      </c>
      <c r="G12" s="108">
        <f t="shared" si="14"/>
        <v>222.71180555555557</v>
      </c>
      <c r="H12" s="102">
        <f t="shared" ref="H12:H13" si="15">H25*$B$33/$B$32</f>
        <v>1.6075620550317491</v>
      </c>
      <c r="I12" s="107">
        <f t="shared" si="2"/>
        <v>0.8619395805272273</v>
      </c>
      <c r="J12" s="108">
        <f t="shared" si="3"/>
        <v>215.60000000000002</v>
      </c>
      <c r="K12" s="102">
        <f t="shared" ref="K12:K13" si="16">K25*$B$33/$B$32</f>
        <v>1.448455839907639</v>
      </c>
      <c r="L12" s="107">
        <f t="shared" si="5"/>
        <v>0.75574850875505106</v>
      </c>
      <c r="M12" s="108">
        <f t="shared" si="6"/>
        <v>209.10069444444446</v>
      </c>
      <c r="N12" s="102">
        <f t="shared" ref="N12:N13" si="17">N25*$B$33/$B$32</f>
        <v>0.6352462959399654</v>
      </c>
      <c r="O12" s="107">
        <f t="shared" si="8"/>
        <v>0.26484029247642876</v>
      </c>
      <c r="P12" s="108">
        <f t="shared" si="9"/>
        <v>171.5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1.4213488551087166</v>
      </c>
      <c r="F13" s="107">
        <f t="shared" si="13"/>
        <v>0.72864152395612858</v>
      </c>
      <c r="G13" s="108">
        <f t="shared" si="14"/>
        <v>205.18750000000003</v>
      </c>
      <c r="H13" s="102">
        <f t="shared" si="15"/>
        <v>1.5026698095054838</v>
      </c>
      <c r="I13" s="107">
        <f t="shared" si="2"/>
        <v>0.757047335000962</v>
      </c>
      <c r="J13" s="108">
        <f t="shared" si="3"/>
        <v>201.5322580645161</v>
      </c>
      <c r="K13" s="102">
        <f t="shared" si="16"/>
        <v>1.3600634981720223</v>
      </c>
      <c r="L13" s="107">
        <f t="shared" si="5"/>
        <v>0.66735616701943434</v>
      </c>
      <c r="M13" s="108">
        <f t="shared" si="6"/>
        <v>196.34027777777777</v>
      </c>
      <c r="N13" s="102">
        <f t="shared" si="17"/>
        <v>0.69417452376370969</v>
      </c>
      <c r="O13" s="107">
        <f t="shared" si="8"/>
        <v>0.32376852030017306</v>
      </c>
      <c r="P13" s="108">
        <f t="shared" si="9"/>
        <v>187.40909090909088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1.4032097363863767</v>
      </c>
      <c r="F14" s="119">
        <f t="shared" si="13"/>
        <v>0.71050240523378871</v>
      </c>
      <c r="G14" s="120">
        <f t="shared" si="14"/>
        <v>202.56891666666667</v>
      </c>
      <c r="H14" s="118">
        <f>H27*$B$34/10/$B$32</f>
        <v>1.458129882624591</v>
      </c>
      <c r="I14" s="119">
        <f t="shared" si="2"/>
        <v>0.71250740812006919</v>
      </c>
      <c r="J14" s="120">
        <f t="shared" si="3"/>
        <v>195.55873548387098</v>
      </c>
      <c r="K14" s="118">
        <f>K27*$B$34/10/$B$32</f>
        <v>1.3839876852030015</v>
      </c>
      <c r="L14" s="119">
        <f t="shared" si="5"/>
        <v>0.69128035405041355</v>
      </c>
      <c r="M14" s="120">
        <f t="shared" si="6"/>
        <v>199.79399999999998</v>
      </c>
      <c r="N14" s="118">
        <f>N27*$B$34/10/$B$32</f>
        <v>0.63707369636328637</v>
      </c>
      <c r="O14" s="119">
        <f t="shared" si="8"/>
        <v>0.26666769289974973</v>
      </c>
      <c r="P14" s="120">
        <f t="shared" si="9"/>
        <v>171.99335064935062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1.36</v>
      </c>
      <c r="C19" s="135" t="s">
        <v>172</v>
      </c>
      <c r="D19" s="136" t="s">
        <v>172</v>
      </c>
      <c r="E19" s="134">
        <v>1.44</v>
      </c>
      <c r="F19" s="135" t="s">
        <v>172</v>
      </c>
      <c r="G19" s="136" t="s">
        <v>172</v>
      </c>
      <c r="H19" s="134">
        <v>1.55</v>
      </c>
      <c r="I19" s="135" t="s">
        <v>172</v>
      </c>
      <c r="J19" s="136" t="s">
        <v>172</v>
      </c>
      <c r="K19" s="134">
        <v>1.44</v>
      </c>
      <c r="L19" s="135" t="s">
        <v>172</v>
      </c>
      <c r="M19" s="136" t="s">
        <v>172</v>
      </c>
      <c r="N19" s="134">
        <v>0.77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41.74</v>
      </c>
      <c r="C20" s="144" t="s">
        <v>172</v>
      </c>
      <c r="D20" s="145" t="s">
        <v>172</v>
      </c>
      <c r="E20" s="143">
        <v>45.3</v>
      </c>
      <c r="F20" s="144" t="s">
        <v>172</v>
      </c>
      <c r="G20" s="145" t="s">
        <v>172</v>
      </c>
      <c r="H20" s="143">
        <v>49.88</v>
      </c>
      <c r="I20" s="144" t="s">
        <v>172</v>
      </c>
      <c r="J20" s="145" t="s">
        <v>172</v>
      </c>
      <c r="K20" s="143">
        <v>44.06</v>
      </c>
      <c r="L20" s="144" t="s">
        <v>172</v>
      </c>
      <c r="M20" s="145" t="s">
        <v>172</v>
      </c>
      <c r="N20" s="143">
        <v>26.32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41.09</v>
      </c>
      <c r="C21" s="144" t="s">
        <v>172</v>
      </c>
      <c r="D21" s="145" t="s">
        <v>172</v>
      </c>
      <c r="E21" s="143">
        <v>44.09</v>
      </c>
      <c r="F21" s="144" t="s">
        <v>172</v>
      </c>
      <c r="G21" s="145" t="s">
        <v>172</v>
      </c>
      <c r="H21" s="143">
        <v>47.6</v>
      </c>
      <c r="I21" s="144" t="s">
        <v>172</v>
      </c>
      <c r="J21" s="145" t="s">
        <v>172</v>
      </c>
      <c r="K21" s="143">
        <v>43.54</v>
      </c>
      <c r="L21" s="144" t="s">
        <v>172</v>
      </c>
      <c r="M21" s="145" t="s">
        <v>172</v>
      </c>
      <c r="N21" s="143">
        <v>25.08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40.94</v>
      </c>
      <c r="C22" s="144" t="s">
        <v>172</v>
      </c>
      <c r="D22" s="145" t="s">
        <v>172</v>
      </c>
      <c r="E22" s="143">
        <v>44.06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43.9</v>
      </c>
      <c r="L22" s="144" t="s">
        <v>172</v>
      </c>
      <c r="M22" s="145" t="s">
        <v>172</v>
      </c>
      <c r="N22" s="143">
        <v>25.08</v>
      </c>
      <c r="O22" s="144" t="s">
        <v>172</v>
      </c>
      <c r="P22" s="145" t="s">
        <v>172</v>
      </c>
      <c r="Q22" s="147" t="s">
        <v>221</v>
      </c>
      <c r="R22" s="148"/>
      <c r="S22" s="190"/>
      <c r="T22" s="191"/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40.51</v>
      </c>
      <c r="C23" s="144" t="s">
        <v>172</v>
      </c>
      <c r="D23" s="145" t="s">
        <v>172</v>
      </c>
      <c r="E23" s="143">
        <v>43.05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43.78</v>
      </c>
      <c r="L23" s="144" t="s">
        <v>172</v>
      </c>
      <c r="M23" s="145" t="s">
        <v>172</v>
      </c>
      <c r="N23" s="143">
        <v>22.41</v>
      </c>
      <c r="O23" s="144" t="s">
        <v>172</v>
      </c>
      <c r="P23" s="145" t="s">
        <v>172</v>
      </c>
      <c r="Q23" s="147" t="s">
        <v>222</v>
      </c>
      <c r="R23" s="148"/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30.25</v>
      </c>
      <c r="C24" s="144" t="s">
        <v>172</v>
      </c>
      <c r="D24" s="145" t="s">
        <v>172</v>
      </c>
      <c r="E24" s="143">
        <v>30.95</v>
      </c>
      <c r="F24" s="144" t="s">
        <v>172</v>
      </c>
      <c r="G24" s="145" t="s">
        <v>172</v>
      </c>
      <c r="H24" s="143">
        <v>36.090000000000003</v>
      </c>
      <c r="I24" s="144" t="s">
        <v>172</v>
      </c>
      <c r="J24" s="145" t="s">
        <v>172</v>
      </c>
      <c r="K24" s="143">
        <v>26.84</v>
      </c>
      <c r="L24" s="144" t="s">
        <v>172</v>
      </c>
      <c r="M24" s="145" t="s">
        <v>172</v>
      </c>
      <c r="N24" s="143">
        <v>14.94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1.3089999999999999</v>
      </c>
      <c r="F25" s="144" t="s">
        <v>172</v>
      </c>
      <c r="G25" s="145" t="s">
        <v>172</v>
      </c>
      <c r="H25" s="153">
        <v>1.3640000000000001</v>
      </c>
      <c r="I25" s="144" t="s">
        <v>172</v>
      </c>
      <c r="J25" s="145" t="s">
        <v>172</v>
      </c>
      <c r="K25" s="153">
        <v>1.2290000000000001</v>
      </c>
      <c r="L25" s="144" t="s">
        <v>172</v>
      </c>
      <c r="M25" s="145" t="s">
        <v>172</v>
      </c>
      <c r="N25" s="153">
        <v>0.53900000000000003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1.206</v>
      </c>
      <c r="F26" s="144" t="s">
        <v>172</v>
      </c>
      <c r="G26" s="145" t="s">
        <v>172</v>
      </c>
      <c r="H26" s="153">
        <v>1.2749999999999999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0.58899999999999997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5.1100000000000003</v>
      </c>
      <c r="F27" s="158" t="s">
        <v>172</v>
      </c>
      <c r="G27" s="159" t="s">
        <v>172</v>
      </c>
      <c r="H27" s="160">
        <v>5.31</v>
      </c>
      <c r="I27" s="158" t="s">
        <v>172</v>
      </c>
      <c r="J27" s="159" t="s">
        <v>172</v>
      </c>
      <c r="K27" s="160">
        <v>5.04</v>
      </c>
      <c r="L27" s="158" t="s">
        <v>172</v>
      </c>
      <c r="M27" s="159" t="s">
        <v>172</v>
      </c>
      <c r="N27" s="160">
        <v>2.3199999999999998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7.4111000000000002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2.0788000000000002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2.4500000000000002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5.7084000000000001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3.1389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6" r:id="rId3" location=".Vs2LGH2LRkg"/>
    <hyperlink ref="Q27" r:id="rId4" location=".VyhQfdKLTcs"/>
    <hyperlink ref="R27" r:id="rId5"/>
    <hyperlink ref="R25" r:id="rId6"/>
    <hyperlink ref="R26" r:id="rId7"/>
    <hyperlink ref="C31" r:id="rId8" display="www.nbrb.by"/>
    <hyperlink ref="C31:E35" r:id="rId9" display="http://www.nbrb.by/statistics/rates/ratesDaily.asp"/>
    <hyperlink ref="S25" r:id="rId10"/>
    <hyperlink ref="S26" r:id="rId11"/>
    <hyperlink ref="S27" r:id="rId12"/>
    <hyperlink ref="S24" r:id="rId13"/>
    <hyperlink ref="T25" r:id="rId14"/>
    <hyperlink ref="U25" r:id="rId15"/>
    <hyperlink ref="U26" r:id="rId16"/>
    <hyperlink ref="U27" r:id="rId17"/>
    <hyperlink ref="V24" r:id="rId18"/>
    <hyperlink ref="V25" r:id="rId19"/>
    <hyperlink ref="V26" r:id="rId20"/>
    <hyperlink ref="V27" r:id="rId21"/>
    <hyperlink ref="W24" r:id="rId22"/>
    <hyperlink ref="W25" r:id="rId23"/>
    <hyperlink ref="W26" r:id="rId24"/>
    <hyperlink ref="W27" r:id="rId25"/>
    <hyperlink ref="R24" r:id="rId26"/>
    <hyperlink ref="Q23" r:id="rId27"/>
    <hyperlink ref="Q24" r:id="rId28"/>
    <hyperlink ref="Q20" r:id="rId29"/>
    <hyperlink ref="Q21" r:id="rId30"/>
    <hyperlink ref="Q22" r:id="rId31"/>
  </hyperlinks>
  <pageMargins left="0.7" right="0.7" top="0.75" bottom="0.75" header="0.3" footer="0.3"/>
  <pageSetup paperSize="9" orientation="portrait" r:id="rId3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43374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0.64390890582832261</v>
      </c>
      <c r="C6" s="103" t="s">
        <v>172</v>
      </c>
      <c r="D6" s="104" t="s">
        <v>172</v>
      </c>
      <c r="E6" s="102">
        <f>E19/$B$32</f>
        <v>0.68178590028881214</v>
      </c>
      <c r="F6" s="103" t="s">
        <v>172</v>
      </c>
      <c r="G6" s="104" t="s">
        <v>172</v>
      </c>
      <c r="H6" s="102">
        <f>H19/$B$32</f>
        <v>0.73386676767198533</v>
      </c>
      <c r="I6" s="103" t="s">
        <v>172</v>
      </c>
      <c r="J6" s="104" t="s">
        <v>172</v>
      </c>
      <c r="K6" s="102">
        <f>K19/$B$32</f>
        <v>0.68178590028881214</v>
      </c>
      <c r="L6" s="103" t="s">
        <v>172</v>
      </c>
      <c r="M6" s="104" t="s">
        <v>172</v>
      </c>
      <c r="N6" s="102">
        <f>N19/$B$32</f>
        <v>0.36456607168221206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0.63608985370010906</v>
      </c>
      <c r="C7" s="107">
        <f>B7-B$6</f>
        <v>-7.8190521282135439E-3</v>
      </c>
      <c r="D7" s="108">
        <f>B7/B$6*100</f>
        <v>98.785689705882362</v>
      </c>
      <c r="E7" s="102">
        <f t="shared" ref="E7:E10" si="0">E20*$B$35/100/$B$32</f>
        <v>0.69064667392642398</v>
      </c>
      <c r="F7" s="107">
        <f>E7-E$6</f>
        <v>8.8607736376118407E-3</v>
      </c>
      <c r="G7" s="108">
        <f>E7/E$6*100</f>
        <v>101.29964166666667</v>
      </c>
      <c r="H7" s="102">
        <f t="shared" ref="H7:H10" si="1">H20*$B$35/100/$B$32</f>
        <v>0.75510906207092465</v>
      </c>
      <c r="I7" s="107">
        <f t="shared" ref="I7:I14" si="2">H7-H$6</f>
        <v>2.1242294398939321E-2</v>
      </c>
      <c r="J7" s="108">
        <f t="shared" ref="J7:J14" si="3">H7/H$6*100</f>
        <v>102.89457096774193</v>
      </c>
      <c r="K7" s="102">
        <f t="shared" ref="K7:K10" si="4">K20*$B$35/100/$B$32</f>
        <v>0.67220707826333981</v>
      </c>
      <c r="L7" s="107">
        <f t="shared" ref="L7:L14" si="5">K7-K$6</f>
        <v>-9.5788220254723333E-3</v>
      </c>
      <c r="M7" s="108">
        <f t="shared" ref="M7:M14" si="6">K7/K$6*100</f>
        <v>98.595039583333318</v>
      </c>
      <c r="N7" s="102">
        <f t="shared" ref="N7:N10" si="7">N20*$B$35/100/$B$32</f>
        <v>0.39119373609204117</v>
      </c>
      <c r="O7" s="107">
        <f t="shared" ref="O7:O14" si="8">N7-N$6</f>
        <v>2.662766440982911E-2</v>
      </c>
      <c r="P7" s="108">
        <f t="shared" ref="P7:P14" si="9">N7/N$6*100</f>
        <v>107.30393376623377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0.62481274560863598</v>
      </c>
      <c r="C8" s="107">
        <f t="shared" ref="C8:C11" si="11">B8-B$6</f>
        <v>-1.9096160219686631E-2</v>
      </c>
      <c r="D8" s="108">
        <f t="shared" ref="D8:D11" si="12">B8/B$6*100</f>
        <v>97.034338235294101</v>
      </c>
      <c r="E8" s="102">
        <f t="shared" si="0"/>
        <v>0.66321587046067909</v>
      </c>
      <c r="F8" s="107">
        <f t="shared" ref="F8:F14" si="13">E8-E$6</f>
        <v>-1.857002982813305E-2</v>
      </c>
      <c r="G8" s="108">
        <f t="shared" ref="G8:G14" si="14">E8/E$6*100</f>
        <v>97.276266666666672</v>
      </c>
      <c r="H8" s="102">
        <f t="shared" si="1"/>
        <v>0.71929662421286877</v>
      </c>
      <c r="I8" s="107">
        <f t="shared" si="2"/>
        <v>-1.4570143459116558E-2</v>
      </c>
      <c r="J8" s="108">
        <f t="shared" si="3"/>
        <v>98.014606451612892</v>
      </c>
      <c r="K8" s="102">
        <f t="shared" si="4"/>
        <v>0.67479776525732682</v>
      </c>
      <c r="L8" s="107">
        <f t="shared" si="5"/>
        <v>-6.9881350314853208E-3</v>
      </c>
      <c r="M8" s="108">
        <f t="shared" si="6"/>
        <v>98.975024999999988</v>
      </c>
      <c r="N8" s="102">
        <f t="shared" si="7"/>
        <v>0.38220252828938028</v>
      </c>
      <c r="O8" s="107">
        <f t="shared" si="8"/>
        <v>1.7636456607168227E-2</v>
      </c>
      <c r="P8" s="108">
        <f t="shared" si="9"/>
        <v>104.83765714285715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0.62283163202499892</v>
      </c>
      <c r="C9" s="107">
        <f t="shared" si="11"/>
        <v>-2.1077273803323693E-2</v>
      </c>
      <c r="D9" s="108">
        <f t="shared" si="12"/>
        <v>96.726668382352941</v>
      </c>
      <c r="E9" s="102">
        <f t="shared" si="0"/>
        <v>0.66794006439089071</v>
      </c>
      <c r="F9" s="107">
        <f t="shared" si="13"/>
        <v>-1.3845835897921432E-2</v>
      </c>
      <c r="G9" s="108">
        <f t="shared" si="14"/>
        <v>97.96918125000002</v>
      </c>
      <c r="H9" s="102">
        <f t="shared" si="1"/>
        <v>0.73194527247762897</v>
      </c>
      <c r="I9" s="107">
        <f t="shared" si="2"/>
        <v>-1.9214951943563596E-3</v>
      </c>
      <c r="J9" s="108">
        <f t="shared" si="3"/>
        <v>99.738168387096778</v>
      </c>
      <c r="K9" s="102">
        <f t="shared" si="4"/>
        <v>0.66854963780124055</v>
      </c>
      <c r="L9" s="107">
        <f t="shared" si="5"/>
        <v>-1.3236262487571593E-2</v>
      </c>
      <c r="M9" s="108">
        <f t="shared" si="6"/>
        <v>98.05858958333333</v>
      </c>
      <c r="N9" s="102">
        <f t="shared" si="7"/>
        <v>0.39530835661190289</v>
      </c>
      <c r="O9" s="107">
        <f t="shared" si="8"/>
        <v>3.0742284929690833E-2</v>
      </c>
      <c r="P9" s="108">
        <f t="shared" si="9"/>
        <v>108.43256883116882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0.62603189242933588</v>
      </c>
      <c r="C10" s="107">
        <f t="shared" si="11"/>
        <v>-1.787701339898673E-2</v>
      </c>
      <c r="D10" s="108">
        <f t="shared" si="12"/>
        <v>97.223673529411769</v>
      </c>
      <c r="E10" s="102">
        <f t="shared" si="0"/>
        <v>0.67235947161592724</v>
      </c>
      <c r="F10" s="107">
        <f t="shared" si="13"/>
        <v>-9.4264286728849012E-3</v>
      </c>
      <c r="G10" s="108">
        <f t="shared" si="14"/>
        <v>98.617391666666649</v>
      </c>
      <c r="H10" s="102">
        <f t="shared" si="1"/>
        <v>0.72523996496378029</v>
      </c>
      <c r="I10" s="107">
        <f t="shared" si="2"/>
        <v>-8.6268027082050391E-3</v>
      </c>
      <c r="J10" s="108">
        <f t="shared" si="3"/>
        <v>98.824472903225811</v>
      </c>
      <c r="K10" s="102">
        <f t="shared" si="4"/>
        <v>0.67997913924530096</v>
      </c>
      <c r="L10" s="107">
        <f t="shared" si="5"/>
        <v>-1.8067610435111847E-3</v>
      </c>
      <c r="M10" s="108">
        <f t="shared" si="6"/>
        <v>99.734995833333343</v>
      </c>
      <c r="N10" s="102">
        <f t="shared" si="7"/>
        <v>0.36422011268405852</v>
      </c>
      <c r="O10" s="107">
        <f t="shared" si="8"/>
        <v>-3.4595899815353937E-4</v>
      </c>
      <c r="P10" s="108">
        <f t="shared" si="9"/>
        <v>99.905103896103881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1.0872114246484543</v>
      </c>
      <c r="C11" s="107">
        <f t="shared" si="11"/>
        <v>0.44330251882013172</v>
      </c>
      <c r="D11" s="108">
        <f t="shared" si="12"/>
        <v>168.8455330882353</v>
      </c>
      <c r="E11" s="102">
        <f>E24*$B$31/100/$B$32</f>
        <v>1.11197706074523</v>
      </c>
      <c r="F11" s="107">
        <f t="shared" si="13"/>
        <v>0.43019116045641781</v>
      </c>
      <c r="G11" s="108">
        <f t="shared" si="14"/>
        <v>163.09769097222221</v>
      </c>
      <c r="H11" s="102">
        <f>H24*$B$31/100/$B$32</f>
        <v>1.3044414326973155</v>
      </c>
      <c r="I11" s="107">
        <f t="shared" si="2"/>
        <v>0.57057466502533016</v>
      </c>
      <c r="J11" s="108">
        <f t="shared" si="3"/>
        <v>177.74908064516126</v>
      </c>
      <c r="K11" s="102">
        <f>K24*$B$31/100/$B$32</f>
        <v>0.96656739737701824</v>
      </c>
      <c r="L11" s="107">
        <f t="shared" si="5"/>
        <v>0.2847814970882061</v>
      </c>
      <c r="M11" s="108">
        <f t="shared" si="6"/>
        <v>141.76993055555556</v>
      </c>
      <c r="N11" s="102">
        <f>N24*$B$31/100/$B$32</f>
        <v>0.56536409260925147</v>
      </c>
      <c r="O11" s="107">
        <f t="shared" si="8"/>
        <v>0.20079802092703941</v>
      </c>
      <c r="P11" s="108">
        <f t="shared" si="9"/>
        <v>155.07863636363635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1.5183873396146017</v>
      </c>
      <c r="F12" s="107">
        <f t="shared" si="13"/>
        <v>0.83660143932578956</v>
      </c>
      <c r="G12" s="108">
        <f t="shared" si="14"/>
        <v>222.70735416666665</v>
      </c>
      <c r="H12" s="102">
        <f t="shared" ref="H12:H13" si="15">H25*$B$33/$B$32</f>
        <v>1.5822827517636477</v>
      </c>
      <c r="I12" s="107">
        <f t="shared" si="2"/>
        <v>0.84841598409166241</v>
      </c>
      <c r="J12" s="108">
        <f t="shared" si="3"/>
        <v>215.6089935483871</v>
      </c>
      <c r="K12" s="102">
        <f t="shared" ref="K12:K13" si="16">K25*$B$33/$B$32</f>
        <v>1.4254485583068985</v>
      </c>
      <c r="L12" s="107">
        <f t="shared" si="5"/>
        <v>0.7436626580180864</v>
      </c>
      <c r="M12" s="108">
        <f t="shared" si="6"/>
        <v>209.07568750000002</v>
      </c>
      <c r="N12" s="102">
        <f t="shared" ref="N12:N13" si="17">N25*$B$33/$B$32</f>
        <v>0.64940973438757643</v>
      </c>
      <c r="O12" s="107">
        <f t="shared" si="8"/>
        <v>0.28484366270536438</v>
      </c>
      <c r="P12" s="108">
        <f t="shared" si="9"/>
        <v>178.13224675324676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1.4010521282136261</v>
      </c>
      <c r="F13" s="107">
        <f t="shared" si="13"/>
        <v>0.71926622792481398</v>
      </c>
      <c r="G13" s="108">
        <f t="shared" si="14"/>
        <v>205.49737499999998</v>
      </c>
      <c r="H13" s="102">
        <f t="shared" si="15"/>
        <v>1.4812118270915202</v>
      </c>
      <c r="I13" s="107">
        <f t="shared" si="2"/>
        <v>0.74734505941953489</v>
      </c>
      <c r="J13" s="108">
        <f t="shared" si="3"/>
        <v>201.83661290322576</v>
      </c>
      <c r="K13" s="102">
        <f t="shared" si="16"/>
        <v>1.3301863074665028</v>
      </c>
      <c r="L13" s="107">
        <f t="shared" si="5"/>
        <v>0.64840040717769065</v>
      </c>
      <c r="M13" s="108">
        <f t="shared" si="6"/>
        <v>195.10322916666669</v>
      </c>
      <c r="N13" s="102">
        <f t="shared" si="17"/>
        <v>0.6958791250414279</v>
      </c>
      <c r="O13" s="107">
        <f t="shared" si="8"/>
        <v>0.33131305335921585</v>
      </c>
      <c r="P13" s="108">
        <f t="shared" si="9"/>
        <v>190.87874025974023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1.382778277543677</v>
      </c>
      <c r="F14" s="119">
        <f t="shared" si="13"/>
        <v>0.70099237725486485</v>
      </c>
      <c r="G14" s="120">
        <f t="shared" si="14"/>
        <v>202.81708333333333</v>
      </c>
      <c r="H14" s="118">
        <f>H27*$B$34/10/$B$32</f>
        <v>1.445138866530941</v>
      </c>
      <c r="I14" s="119">
        <f t="shared" si="2"/>
        <v>0.7112720988589557</v>
      </c>
      <c r="J14" s="120">
        <f t="shared" si="3"/>
        <v>196.92114838709676</v>
      </c>
      <c r="K14" s="118">
        <f>K27*$B$34/10/$B$32</f>
        <v>1.3665102978078691</v>
      </c>
      <c r="L14" s="119">
        <f t="shared" si="5"/>
        <v>0.684724397519057</v>
      </c>
      <c r="M14" s="120">
        <f t="shared" si="6"/>
        <v>200.43100000000004</v>
      </c>
      <c r="N14" s="118">
        <f>N27*$B$34/10/$B$32</f>
        <v>0.63987386960844661</v>
      </c>
      <c r="O14" s="119">
        <f t="shared" si="8"/>
        <v>0.27530779792623455</v>
      </c>
      <c r="P14" s="120">
        <f t="shared" si="9"/>
        <v>175.51657142857141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1.36</v>
      </c>
      <c r="C19" s="135" t="s">
        <v>172</v>
      </c>
      <c r="D19" s="136" t="s">
        <v>172</v>
      </c>
      <c r="E19" s="134">
        <v>1.44</v>
      </c>
      <c r="F19" s="135" t="s">
        <v>172</v>
      </c>
      <c r="G19" s="136" t="s">
        <v>172</v>
      </c>
      <c r="H19" s="134">
        <v>1.55</v>
      </c>
      <c r="I19" s="135" t="s">
        <v>172</v>
      </c>
      <c r="J19" s="136" t="s">
        <v>172</v>
      </c>
      <c r="K19" s="134">
        <v>1.44</v>
      </c>
      <c r="L19" s="135" t="s">
        <v>172</v>
      </c>
      <c r="M19" s="136" t="s">
        <v>172</v>
      </c>
      <c r="N19" s="134">
        <v>0.77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41.74</v>
      </c>
      <c r="C20" s="144" t="s">
        <v>172</v>
      </c>
      <c r="D20" s="145" t="s">
        <v>172</v>
      </c>
      <c r="E20" s="143">
        <v>45.32</v>
      </c>
      <c r="F20" s="144" t="s">
        <v>172</v>
      </c>
      <c r="G20" s="145" t="s">
        <v>172</v>
      </c>
      <c r="H20" s="143">
        <v>49.55</v>
      </c>
      <c r="I20" s="144" t="s">
        <v>172</v>
      </c>
      <c r="J20" s="145" t="s">
        <v>172</v>
      </c>
      <c r="K20" s="143">
        <v>44.11</v>
      </c>
      <c r="L20" s="144" t="s">
        <v>172</v>
      </c>
      <c r="M20" s="145" t="s">
        <v>172</v>
      </c>
      <c r="N20" s="143">
        <v>25.67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</v>
      </c>
      <c r="C21" s="144" t="s">
        <v>172</v>
      </c>
      <c r="D21" s="145" t="s">
        <v>172</v>
      </c>
      <c r="E21" s="143">
        <v>43.52</v>
      </c>
      <c r="F21" s="144" t="s">
        <v>172</v>
      </c>
      <c r="G21" s="145" t="s">
        <v>172</v>
      </c>
      <c r="H21" s="143">
        <v>47.2</v>
      </c>
      <c r="I21" s="144" t="s">
        <v>172</v>
      </c>
      <c r="J21" s="145" t="s">
        <v>172</v>
      </c>
      <c r="K21" s="143">
        <v>44.28</v>
      </c>
      <c r="L21" s="144" t="s">
        <v>172</v>
      </c>
      <c r="M21" s="145" t="s">
        <v>172</v>
      </c>
      <c r="N21" s="143">
        <v>25.08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40.869999999999997</v>
      </c>
      <c r="C22" s="144" t="s">
        <v>172</v>
      </c>
      <c r="D22" s="145" t="s">
        <v>172</v>
      </c>
      <c r="E22" s="143">
        <v>43.83</v>
      </c>
      <c r="F22" s="144" t="s">
        <v>172</v>
      </c>
      <c r="G22" s="145" t="s">
        <v>172</v>
      </c>
      <c r="H22" s="143">
        <v>48.03</v>
      </c>
      <c r="I22" s="144" t="s">
        <v>172</v>
      </c>
      <c r="J22" s="145" t="s">
        <v>172</v>
      </c>
      <c r="K22" s="143">
        <v>43.87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41.08</v>
      </c>
      <c r="C23" s="144" t="s">
        <v>172</v>
      </c>
      <c r="D23" s="145" t="s">
        <v>172</v>
      </c>
      <c r="E23" s="143">
        <v>44.12</v>
      </c>
      <c r="F23" s="144" t="s">
        <v>172</v>
      </c>
      <c r="G23" s="145" t="s">
        <v>172</v>
      </c>
      <c r="H23" s="143">
        <v>47.59</v>
      </c>
      <c r="I23" s="144" t="s">
        <v>172</v>
      </c>
      <c r="J23" s="145" t="s">
        <v>172</v>
      </c>
      <c r="K23" s="143">
        <v>44.62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30.73</v>
      </c>
      <c r="C24" s="144" t="s">
        <v>172</v>
      </c>
      <c r="D24" s="145" t="s">
        <v>172</v>
      </c>
      <c r="E24" s="143">
        <v>31.43</v>
      </c>
      <c r="F24" s="144" t="s">
        <v>172</v>
      </c>
      <c r="G24" s="145" t="s">
        <v>172</v>
      </c>
      <c r="H24" s="143">
        <v>36.869999999999997</v>
      </c>
      <c r="I24" s="144" t="s">
        <v>172</v>
      </c>
      <c r="J24" s="145" t="s">
        <v>172</v>
      </c>
      <c r="K24" s="143">
        <v>27.32</v>
      </c>
      <c r="L24" s="144" t="s">
        <v>172</v>
      </c>
      <c r="M24" s="145" t="s">
        <v>172</v>
      </c>
      <c r="N24" s="143">
        <v>15.98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1.3069999999999999</v>
      </c>
      <c r="F25" s="144" t="s">
        <v>172</v>
      </c>
      <c r="G25" s="145" t="s">
        <v>172</v>
      </c>
      <c r="H25" s="153">
        <v>1.3620000000000001</v>
      </c>
      <c r="I25" s="144" t="s">
        <v>172</v>
      </c>
      <c r="J25" s="145" t="s">
        <v>172</v>
      </c>
      <c r="K25" s="153">
        <v>1.2270000000000001</v>
      </c>
      <c r="L25" s="144" t="s">
        <v>172</v>
      </c>
      <c r="M25" s="145" t="s">
        <v>172</v>
      </c>
      <c r="N25" s="153">
        <v>0.55900000000000005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1.206</v>
      </c>
      <c r="F26" s="144" t="s">
        <v>172</v>
      </c>
      <c r="G26" s="145" t="s">
        <v>172</v>
      </c>
      <c r="H26" s="153">
        <v>1.2749999999999999</v>
      </c>
      <c r="I26" s="144" t="s">
        <v>172</v>
      </c>
      <c r="J26" s="145" t="s">
        <v>172</v>
      </c>
      <c r="K26" s="153">
        <v>1.145</v>
      </c>
      <c r="L26" s="144" t="s">
        <v>172</v>
      </c>
      <c r="M26" s="145" t="s">
        <v>172</v>
      </c>
      <c r="N26" s="153">
        <v>0.59899999999999998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5.0999999999999996</v>
      </c>
      <c r="F27" s="158" t="s">
        <v>172</v>
      </c>
      <c r="G27" s="159" t="s">
        <v>172</v>
      </c>
      <c r="H27" s="160">
        <v>5.33</v>
      </c>
      <c r="I27" s="158" t="s">
        <v>172</v>
      </c>
      <c r="J27" s="159" t="s">
        <v>172</v>
      </c>
      <c r="K27" s="160">
        <v>5.04</v>
      </c>
      <c r="L27" s="158" t="s">
        <v>172</v>
      </c>
      <c r="M27" s="159" t="s">
        <v>172</v>
      </c>
      <c r="N27" s="160">
        <v>2.36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7.4725000000000001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2.1120999999999999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2.4537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5.7266000000000004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3.2187000000000001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43381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0.64019298571163474</v>
      </c>
      <c r="C6" s="103" t="s">
        <v>172</v>
      </c>
      <c r="D6" s="104" t="s">
        <v>172</v>
      </c>
      <c r="E6" s="102">
        <f>E19/$B$32</f>
        <v>0.67730562256448312</v>
      </c>
      <c r="F6" s="103" t="s">
        <v>172</v>
      </c>
      <c r="G6" s="104" t="s">
        <v>172</v>
      </c>
      <c r="H6" s="102">
        <f>H19/$B$32</f>
        <v>0.72833549823714971</v>
      </c>
      <c r="I6" s="103" t="s">
        <v>172</v>
      </c>
      <c r="J6" s="104" t="s">
        <v>172</v>
      </c>
      <c r="K6" s="102">
        <f>K19/$B$32</f>
        <v>0.67730562256448312</v>
      </c>
      <c r="L6" s="103" t="s">
        <v>172</v>
      </c>
      <c r="M6" s="104" t="s">
        <v>172</v>
      </c>
      <c r="N6" s="102">
        <f>N19/$B$32</f>
        <v>0.35720912970866575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0.62875955650398963</v>
      </c>
      <c r="C7" s="107">
        <f>B7-B$6</f>
        <v>-1.1433429207645118E-2</v>
      </c>
      <c r="D7" s="108">
        <f>B7/B$6*100</f>
        <v>98.214065217391322</v>
      </c>
      <c r="E7" s="102">
        <f t="shared" ref="E7:E10" si="0">E20*$B$35/100/$B$32</f>
        <v>0.68494977732417883</v>
      </c>
      <c r="F7" s="107">
        <f>E7-E$6</f>
        <v>7.6441547596957093E-3</v>
      </c>
      <c r="G7" s="108">
        <f>E7/E$6*100</f>
        <v>101.12861232876713</v>
      </c>
      <c r="H7" s="102">
        <f t="shared" ref="H7:H10" si="1">H20*$B$35/100/$B$32</f>
        <v>0.76457763035813686</v>
      </c>
      <c r="I7" s="107">
        <f t="shared" ref="I7:I14" si="2">H7-H$6</f>
        <v>3.6242132120987147E-2</v>
      </c>
      <c r="J7" s="108">
        <f t="shared" ref="J7:J14" si="3">H7/H$6*100</f>
        <v>104.97602165605096</v>
      </c>
      <c r="K7" s="102">
        <f t="shared" ref="K7:K10" si="4">K20*$B$35/100/$B$32</f>
        <v>0.66346528112822412</v>
      </c>
      <c r="L7" s="107">
        <f t="shared" ref="L7:L14" si="5">K7-K$6</f>
        <v>-1.3840341436259007E-2</v>
      </c>
      <c r="M7" s="108">
        <f t="shared" ref="M7:M14" si="6">K7/K$6*100</f>
        <v>97.956558904109585</v>
      </c>
      <c r="N7" s="102">
        <f t="shared" ref="N7:N10" si="7">N20*$B$35/100/$B$32</f>
        <v>0.39528468175913895</v>
      </c>
      <c r="O7" s="107">
        <f t="shared" ref="O7:O14" si="8">N7-N$6</f>
        <v>3.8075552050473194E-2</v>
      </c>
      <c r="P7" s="108">
        <f t="shared" ref="P7:P14" si="9">N7/N$6*100</f>
        <v>110.65917662337664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0.62049628873631457</v>
      </c>
      <c r="C8" s="107">
        <f t="shared" ref="C8:C11" si="11">B8-B$6</f>
        <v>-1.9696696975320171E-2</v>
      </c>
      <c r="D8" s="108">
        <f t="shared" ref="D8:D11" si="12">B8/B$6*100</f>
        <v>96.923318840579697</v>
      </c>
      <c r="E8" s="102">
        <f t="shared" si="0"/>
        <v>0.66812275932455001</v>
      </c>
      <c r="F8" s="107">
        <f t="shared" ref="F8:F14" si="13">E8-E$6</f>
        <v>-9.1828632399331145E-3</v>
      </c>
      <c r="G8" s="108">
        <f t="shared" ref="G8:G14" si="14">E8/E$6*100</f>
        <v>98.644206849315083</v>
      </c>
      <c r="H8" s="102">
        <f t="shared" si="1"/>
        <v>0.72866997587678595</v>
      </c>
      <c r="I8" s="107">
        <f t="shared" si="2"/>
        <v>3.3447763963623256E-4</v>
      </c>
      <c r="J8" s="108">
        <f t="shared" si="3"/>
        <v>100.04592356687898</v>
      </c>
      <c r="K8" s="102">
        <f t="shared" si="4"/>
        <v>0.66631986453887537</v>
      </c>
      <c r="L8" s="107">
        <f t="shared" si="5"/>
        <v>-1.098575802560775E-2</v>
      </c>
      <c r="M8" s="108">
        <f t="shared" si="6"/>
        <v>98.378020547945198</v>
      </c>
      <c r="N8" s="102">
        <f t="shared" si="7"/>
        <v>0.37680501020597507</v>
      </c>
      <c r="O8" s="107">
        <f t="shared" si="8"/>
        <v>1.9595880497309315E-2</v>
      </c>
      <c r="P8" s="108">
        <f t="shared" si="9"/>
        <v>105.48582857142857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0.61343495082575605</v>
      </c>
      <c r="C9" s="107">
        <f t="shared" si="11"/>
        <v>-2.675803488587869E-2</v>
      </c>
      <c r="D9" s="108">
        <f t="shared" si="12"/>
        <v>95.820317391304343</v>
      </c>
      <c r="E9" s="102">
        <f t="shared" si="0"/>
        <v>0.66151214511041012</v>
      </c>
      <c r="F9" s="107">
        <f t="shared" si="13"/>
        <v>-1.5793477454073002E-2</v>
      </c>
      <c r="G9" s="108">
        <f t="shared" si="14"/>
        <v>97.668190410958928</v>
      </c>
      <c r="H9" s="102">
        <f t="shared" si="1"/>
        <v>0.71514826498422712</v>
      </c>
      <c r="I9" s="107">
        <f t="shared" si="2"/>
        <v>-1.3187233252922592E-2</v>
      </c>
      <c r="J9" s="108">
        <f t="shared" si="3"/>
        <v>98.189401273885352</v>
      </c>
      <c r="K9" s="102">
        <f t="shared" si="4"/>
        <v>0.6464880218964556</v>
      </c>
      <c r="L9" s="107">
        <f t="shared" si="5"/>
        <v>-3.0817600668027523E-2</v>
      </c>
      <c r="M9" s="108">
        <f t="shared" si="6"/>
        <v>95.449971232876706</v>
      </c>
      <c r="N9" s="102">
        <f t="shared" si="7"/>
        <v>0.38972575616997585</v>
      </c>
      <c r="O9" s="107">
        <f t="shared" si="8"/>
        <v>3.2516626461310094E-2</v>
      </c>
      <c r="P9" s="108">
        <f t="shared" si="9"/>
        <v>109.10296623376622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0.60922819632584879</v>
      </c>
      <c r="C10" s="107">
        <f t="shared" si="11"/>
        <v>-3.0964789385785951E-2</v>
      </c>
      <c r="D10" s="108">
        <f t="shared" si="12"/>
        <v>95.163210144927518</v>
      </c>
      <c r="E10" s="102">
        <f t="shared" si="0"/>
        <v>0.64768995175357202</v>
      </c>
      <c r="F10" s="107">
        <f t="shared" si="13"/>
        <v>-2.9615670810911099E-2</v>
      </c>
      <c r="G10" s="108">
        <f t="shared" si="14"/>
        <v>95.627428767123291</v>
      </c>
      <c r="H10" s="102">
        <f t="shared" si="1"/>
        <v>0.74970374837632192</v>
      </c>
      <c r="I10" s="107">
        <f t="shared" si="2"/>
        <v>2.1368250139172207E-2</v>
      </c>
      <c r="J10" s="108">
        <f t="shared" si="3"/>
        <v>102.93384713375792</v>
      </c>
      <c r="K10" s="102">
        <f t="shared" si="4"/>
        <v>0.67698699202078305</v>
      </c>
      <c r="L10" s="107">
        <f t="shared" si="5"/>
        <v>-3.1863054370007138E-4</v>
      </c>
      <c r="M10" s="108">
        <f t="shared" si="6"/>
        <v>99.952956164383565</v>
      </c>
      <c r="N10" s="102">
        <f t="shared" si="7"/>
        <v>0.35907654481350892</v>
      </c>
      <c r="O10" s="107">
        <f t="shared" si="8"/>
        <v>1.8674151048431731E-3</v>
      </c>
      <c r="P10" s="108">
        <f t="shared" si="9"/>
        <v>100.52277922077921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1.1037961588420857</v>
      </c>
      <c r="C11" s="107">
        <f t="shared" si="11"/>
        <v>0.46360317313045096</v>
      </c>
      <c r="D11" s="108">
        <f t="shared" si="12"/>
        <v>172.41615942028986</v>
      </c>
      <c r="E11" s="102">
        <f>E24*$B$31/100/$B$32</f>
        <v>1.128720588235294</v>
      </c>
      <c r="F11" s="107">
        <f t="shared" si="13"/>
        <v>0.45141496567081085</v>
      </c>
      <c r="G11" s="108">
        <f t="shared" si="14"/>
        <v>166.64863698630137</v>
      </c>
      <c r="H11" s="102">
        <f>H24*$B$31/100/$B$32</f>
        <v>1.3384418584152906</v>
      </c>
      <c r="I11" s="107">
        <f t="shared" si="2"/>
        <v>0.61010636017814091</v>
      </c>
      <c r="J11" s="108">
        <f t="shared" si="3"/>
        <v>183.76721464968156</v>
      </c>
      <c r="K11" s="102">
        <f>K24*$B$31/100/$B$32</f>
        <v>0.99128016329560209</v>
      </c>
      <c r="L11" s="107">
        <f t="shared" si="5"/>
        <v>0.31397454073111897</v>
      </c>
      <c r="M11" s="108">
        <f t="shared" si="6"/>
        <v>146.35640547945206</v>
      </c>
      <c r="N11" s="102">
        <f>N24*$B$31/100/$B$32</f>
        <v>0.55082988958990531</v>
      </c>
      <c r="O11" s="107">
        <f t="shared" si="8"/>
        <v>0.19362075988123956</v>
      </c>
      <c r="P11" s="108">
        <f t="shared" si="9"/>
        <v>154.20375454545453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1.5031470124327331</v>
      </c>
      <c r="F12" s="107">
        <f t="shared" si="13"/>
        <v>0.82584138986824995</v>
      </c>
      <c r="G12" s="108">
        <f t="shared" si="14"/>
        <v>221.93039041095889</v>
      </c>
      <c r="H12" s="102">
        <f t="shared" ref="H12:H13" si="15">H25*$B$33/$B$32</f>
        <v>1.5664010948227871</v>
      </c>
      <c r="I12" s="107">
        <f t="shared" si="2"/>
        <v>0.8380655965856374</v>
      </c>
      <c r="J12" s="108">
        <f t="shared" si="3"/>
        <v>215.06587261146498</v>
      </c>
      <c r="K12" s="102">
        <f t="shared" ref="K12:K13" si="16">K25*$B$33/$B$32</f>
        <v>1.4111410744108368</v>
      </c>
      <c r="L12" s="107">
        <f t="shared" si="5"/>
        <v>0.73383545184635368</v>
      </c>
      <c r="M12" s="108">
        <f t="shared" si="6"/>
        <v>208.34628082191782</v>
      </c>
      <c r="N12" s="102">
        <f t="shared" ref="N12:N13" si="17">N25*$B$33/$B$32</f>
        <v>0.64289149192800144</v>
      </c>
      <c r="O12" s="107">
        <f t="shared" si="8"/>
        <v>0.28568236221933568</v>
      </c>
      <c r="P12" s="108">
        <f t="shared" si="9"/>
        <v>179.9762207792208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1.4306923362404897</v>
      </c>
      <c r="F13" s="107">
        <f t="shared" si="13"/>
        <v>0.75338671367600663</v>
      </c>
      <c r="G13" s="108">
        <f t="shared" si="14"/>
        <v>211.23290410958907</v>
      </c>
      <c r="H13" s="102">
        <f t="shared" si="15"/>
        <v>1.5698513174986082</v>
      </c>
      <c r="I13" s="107">
        <f t="shared" si="2"/>
        <v>0.84151581926145846</v>
      </c>
      <c r="J13" s="108">
        <f t="shared" si="3"/>
        <v>215.53958598726112</v>
      </c>
      <c r="K13" s="102">
        <f t="shared" si="16"/>
        <v>1.3938899610317312</v>
      </c>
      <c r="L13" s="107">
        <f t="shared" si="5"/>
        <v>0.71658433846724812</v>
      </c>
      <c r="M13" s="108">
        <f t="shared" si="6"/>
        <v>205.79926027397261</v>
      </c>
      <c r="N13" s="102">
        <f t="shared" si="17"/>
        <v>0.7245467619224345</v>
      </c>
      <c r="O13" s="107">
        <f t="shared" si="8"/>
        <v>0.36733763221376875</v>
      </c>
      <c r="P13" s="108">
        <f t="shared" si="9"/>
        <v>202.83545454545452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1.3563760066802746</v>
      </c>
      <c r="F14" s="119">
        <f t="shared" si="13"/>
        <v>0.67907038411579146</v>
      </c>
      <c r="G14" s="120">
        <f t="shared" si="14"/>
        <v>200.26055616438359</v>
      </c>
      <c r="H14" s="118">
        <f>H27*$B$34/10/$B$32</f>
        <v>1.4126361477082945</v>
      </c>
      <c r="I14" s="119">
        <f t="shared" si="2"/>
        <v>0.68430064947114477</v>
      </c>
      <c r="J14" s="120">
        <f t="shared" si="3"/>
        <v>193.95404331210187</v>
      </c>
      <c r="K14" s="118">
        <f>K27*$B$34/10/$B$32</f>
        <v>1.3539762850250512</v>
      </c>
      <c r="L14" s="119">
        <f t="shared" si="5"/>
        <v>0.67667066246056806</v>
      </c>
      <c r="M14" s="120">
        <f t="shared" si="6"/>
        <v>199.90625205479458</v>
      </c>
      <c r="N14" s="118">
        <f>N27*$B$34/10/$B$32</f>
        <v>0.6452584895156801</v>
      </c>
      <c r="O14" s="119">
        <f t="shared" si="8"/>
        <v>0.28804935980701435</v>
      </c>
      <c r="P14" s="120">
        <f t="shared" si="9"/>
        <v>180.63885714285718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1.38</v>
      </c>
      <c r="C19" s="135" t="s">
        <v>172</v>
      </c>
      <c r="D19" s="136" t="s">
        <v>172</v>
      </c>
      <c r="E19" s="134">
        <v>1.46</v>
      </c>
      <c r="F19" s="135" t="s">
        <v>172</v>
      </c>
      <c r="G19" s="136" t="s">
        <v>172</v>
      </c>
      <c r="H19" s="134">
        <v>1.57</v>
      </c>
      <c r="I19" s="135" t="s">
        <v>172</v>
      </c>
      <c r="J19" s="136" t="s">
        <v>172</v>
      </c>
      <c r="K19" s="134">
        <v>1.46</v>
      </c>
      <c r="L19" s="135" t="s">
        <v>172</v>
      </c>
      <c r="M19" s="136" t="s">
        <v>172</v>
      </c>
      <c r="N19" s="134">
        <v>0.77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41.85</v>
      </c>
      <c r="C20" s="144" t="s">
        <v>172</v>
      </c>
      <c r="D20" s="145" t="s">
        <v>172</v>
      </c>
      <c r="E20" s="143">
        <v>45.59</v>
      </c>
      <c r="F20" s="144" t="s">
        <v>172</v>
      </c>
      <c r="G20" s="145" t="s">
        <v>172</v>
      </c>
      <c r="H20" s="143">
        <v>50.89</v>
      </c>
      <c r="I20" s="144" t="s">
        <v>172</v>
      </c>
      <c r="J20" s="145" t="s">
        <v>172</v>
      </c>
      <c r="K20" s="143">
        <v>44.16</v>
      </c>
      <c r="L20" s="144" t="s">
        <v>172</v>
      </c>
      <c r="M20" s="145" t="s">
        <v>172</v>
      </c>
      <c r="N20" s="143">
        <v>26.31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41.3</v>
      </c>
      <c r="C21" s="144" t="s">
        <v>172</v>
      </c>
      <c r="D21" s="145" t="s">
        <v>172</v>
      </c>
      <c r="E21" s="143">
        <v>44.47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44.35</v>
      </c>
      <c r="L21" s="144" t="s">
        <v>172</v>
      </c>
      <c r="M21" s="145" t="s">
        <v>172</v>
      </c>
      <c r="N21" s="143">
        <v>25.08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40.83</v>
      </c>
      <c r="C22" s="144" t="s">
        <v>172</v>
      </c>
      <c r="D22" s="145" t="s">
        <v>172</v>
      </c>
      <c r="E22" s="143">
        <v>44.03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43.03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40.549999999999997</v>
      </c>
      <c r="C23" s="144" t="s">
        <v>172</v>
      </c>
      <c r="D23" s="145" t="s">
        <v>172</v>
      </c>
      <c r="E23" s="143">
        <v>43.11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45.06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31</v>
      </c>
      <c r="C24" s="144" t="s">
        <v>172</v>
      </c>
      <c r="D24" s="145" t="s">
        <v>172</v>
      </c>
      <c r="E24" s="143">
        <v>31.7</v>
      </c>
      <c r="F24" s="144" t="s">
        <v>172</v>
      </c>
      <c r="G24" s="145" t="s">
        <v>172</v>
      </c>
      <c r="H24" s="143">
        <v>37.590000000000003</v>
      </c>
      <c r="I24" s="144" t="s">
        <v>172</v>
      </c>
      <c r="J24" s="145" t="s">
        <v>172</v>
      </c>
      <c r="K24" s="143">
        <v>27.84</v>
      </c>
      <c r="L24" s="144" t="s">
        <v>172</v>
      </c>
      <c r="M24" s="145" t="s">
        <v>172</v>
      </c>
      <c r="N24" s="143">
        <v>15.47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1.3069999999999999</v>
      </c>
      <c r="F25" s="144" t="s">
        <v>172</v>
      </c>
      <c r="G25" s="145" t="s">
        <v>172</v>
      </c>
      <c r="H25" s="153">
        <v>1.3620000000000001</v>
      </c>
      <c r="I25" s="144" t="s">
        <v>172</v>
      </c>
      <c r="J25" s="145" t="s">
        <v>172</v>
      </c>
      <c r="K25" s="153">
        <v>1.2270000000000001</v>
      </c>
      <c r="L25" s="144" t="s">
        <v>172</v>
      </c>
      <c r="M25" s="145" t="s">
        <v>172</v>
      </c>
      <c r="N25" s="153">
        <v>0.55900000000000005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1.365</v>
      </c>
      <c r="I26" s="144" t="s">
        <v>172</v>
      </c>
      <c r="J26" s="145" t="s">
        <v>172</v>
      </c>
      <c r="K26" s="153">
        <v>1.212</v>
      </c>
      <c r="L26" s="144" t="s">
        <v>172</v>
      </c>
      <c r="M26" s="145" t="s">
        <v>172</v>
      </c>
      <c r="N26" s="153">
        <v>0.63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5.0869999999999997</v>
      </c>
      <c r="F27" s="158" t="s">
        <v>172</v>
      </c>
      <c r="G27" s="159" t="s">
        <v>172</v>
      </c>
      <c r="H27" s="160">
        <v>5.298</v>
      </c>
      <c r="I27" s="158" t="s">
        <v>172</v>
      </c>
      <c r="J27" s="159" t="s">
        <v>172</v>
      </c>
      <c r="K27" s="160">
        <v>5.0780000000000003</v>
      </c>
      <c r="L27" s="158" t="s">
        <v>172</v>
      </c>
      <c r="M27" s="159" t="s">
        <v>172</v>
      </c>
      <c r="N27" s="160">
        <v>2.42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7.6753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2.1556000000000002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2.4790999999999999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5.7476000000000003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3.2385999999999999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C39" s="141">
        <v>1.38</v>
      </c>
      <c r="D39" s="141">
        <v>1.46</v>
      </c>
      <c r="E39" s="141">
        <v>1.67</v>
      </c>
      <c r="F39" s="141">
        <v>1.46</v>
      </c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43388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0.64907577254127269</v>
      </c>
      <c r="C6" s="103" t="s">
        <v>172</v>
      </c>
      <c r="D6" s="104" t="s">
        <v>172</v>
      </c>
      <c r="E6" s="102">
        <f>E19/$B$32</f>
        <v>0.68670335355815804</v>
      </c>
      <c r="F6" s="103" t="s">
        <v>172</v>
      </c>
      <c r="G6" s="104" t="s">
        <v>172</v>
      </c>
      <c r="H6" s="102">
        <f>H19/$B$32</f>
        <v>0.73844127745637556</v>
      </c>
      <c r="I6" s="103" t="s">
        <v>172</v>
      </c>
      <c r="J6" s="104" t="s">
        <v>172</v>
      </c>
      <c r="K6" s="102">
        <f>K19/$B$32</f>
        <v>0.68670335355815804</v>
      </c>
      <c r="L6" s="103" t="s">
        <v>172</v>
      </c>
      <c r="M6" s="104" t="s">
        <v>172</v>
      </c>
      <c r="N6" s="102">
        <f>N19/$B$32</f>
        <v>0.36216546728752175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0.6358697380179672</v>
      </c>
      <c r="C7" s="107">
        <f>B7-B$6</f>
        <v>-1.3206034523305488E-2</v>
      </c>
      <c r="D7" s="108">
        <f>B7/B$6*100</f>
        <v>97.965409420289873</v>
      </c>
      <c r="E7" s="102">
        <f t="shared" ref="E7:E10" si="0">E20*$B$35/100/$B$32</f>
        <v>0.69104413244908525</v>
      </c>
      <c r="F7" s="107">
        <f>E7-E$6</f>
        <v>4.3407788909272105E-3</v>
      </c>
      <c r="G7" s="108">
        <f>E7/E$6*100</f>
        <v>100.6321184931507</v>
      </c>
      <c r="H7" s="102">
        <f t="shared" ref="H7:H10" si="1">H20*$B$35/100/$B$32</f>
        <v>0.77138047598889992</v>
      </c>
      <c r="I7" s="107">
        <f t="shared" ref="I7:I14" si="2">H7-H$6</f>
        <v>3.2939198532524361E-2</v>
      </c>
      <c r="J7" s="108">
        <f t="shared" ref="J7:J14" si="3">H7/H$6*100</f>
        <v>104.46063885350318</v>
      </c>
      <c r="K7" s="102">
        <f t="shared" ref="K7:K10" si="4">K20*$B$35/100/$B$32</f>
        <v>0.67391581769437003</v>
      </c>
      <c r="L7" s="107">
        <f t="shared" ref="L7:L14" si="5">K7-K$6</f>
        <v>-1.2787535863788002E-2</v>
      </c>
      <c r="M7" s="108">
        <f t="shared" ref="M7:M14" si="6">K7/K$6*100</f>
        <v>98.137836986301394</v>
      </c>
      <c r="N7" s="102">
        <f t="shared" ref="N7:N10" si="7">N20*$B$35/100/$B$32</f>
        <v>0.39455755138516529</v>
      </c>
      <c r="O7" s="107">
        <f t="shared" ref="O7:O14" si="8">N7-N$6</f>
        <v>3.2392084097643548E-2</v>
      </c>
      <c r="P7" s="108">
        <f t="shared" ref="P7:P14" si="9">N7/N$6*100</f>
        <v>108.94400129870129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0.62601716758383896</v>
      </c>
      <c r="C8" s="107">
        <f t="shared" ref="C8:C11" si="11">B8-B$6</f>
        <v>-2.3058604957433726E-2</v>
      </c>
      <c r="D8" s="108">
        <f t="shared" ref="D8:D11" si="12">B8/B$6*100</f>
        <v>96.447471014492763</v>
      </c>
      <c r="E8" s="102">
        <f t="shared" si="0"/>
        <v>0.67406739570104879</v>
      </c>
      <c r="F8" s="107">
        <f t="shared" ref="F8:F14" si="13">E8-E$6</f>
        <v>-1.2635957857109248E-2</v>
      </c>
      <c r="G8" s="108">
        <f t="shared" ref="G8:G14" si="14">E8/E$6*100</f>
        <v>98.159910273972599</v>
      </c>
      <c r="H8" s="102">
        <f t="shared" si="1"/>
        <v>0.7351533323926438</v>
      </c>
      <c r="I8" s="107">
        <f t="shared" si="2"/>
        <v>-3.2879450637317564E-3</v>
      </c>
      <c r="J8" s="108">
        <f t="shared" si="3"/>
        <v>99.554745222929924</v>
      </c>
      <c r="K8" s="102">
        <f t="shared" si="4"/>
        <v>0.67224845962090218</v>
      </c>
      <c r="L8" s="107">
        <f t="shared" si="5"/>
        <v>-1.4454893937255853E-2</v>
      </c>
      <c r="M8" s="108">
        <f t="shared" si="6"/>
        <v>97.895030821917828</v>
      </c>
      <c r="N8" s="102">
        <f t="shared" si="7"/>
        <v>0.38015764075067021</v>
      </c>
      <c r="O8" s="107">
        <f t="shared" si="8"/>
        <v>1.7992173463148464E-2</v>
      </c>
      <c r="P8" s="108">
        <f t="shared" si="9"/>
        <v>104.96794285714286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0.62237929542354553</v>
      </c>
      <c r="C9" s="107">
        <f t="shared" si="11"/>
        <v>-2.6696477117727158E-2</v>
      </c>
      <c r="D9" s="108">
        <f t="shared" si="12"/>
        <v>95.887001449275374</v>
      </c>
      <c r="E9" s="102">
        <f t="shared" si="0"/>
        <v>0.67088425756079195</v>
      </c>
      <c r="F9" s="107">
        <f t="shared" si="13"/>
        <v>-1.5819095997366084E-2</v>
      </c>
      <c r="G9" s="108">
        <f t="shared" si="14"/>
        <v>97.696371232876714</v>
      </c>
      <c r="H9" s="102">
        <f t="shared" si="1"/>
        <v>0.72151131179154315</v>
      </c>
      <c r="I9" s="107">
        <f t="shared" si="2"/>
        <v>-1.6929965664832403E-2</v>
      </c>
      <c r="J9" s="108">
        <f t="shared" si="3"/>
        <v>97.707337579617828</v>
      </c>
      <c r="K9" s="102">
        <f t="shared" si="4"/>
        <v>0.6649727153003151</v>
      </c>
      <c r="L9" s="107">
        <f t="shared" si="5"/>
        <v>-2.1730638257842938E-2</v>
      </c>
      <c r="M9" s="108">
        <f t="shared" si="6"/>
        <v>96.83551301369863</v>
      </c>
      <c r="N9" s="102">
        <f t="shared" si="7"/>
        <v>0.39319334932505529</v>
      </c>
      <c r="O9" s="107">
        <f t="shared" si="8"/>
        <v>3.1027882037533538E-2</v>
      </c>
      <c r="P9" s="108">
        <f t="shared" si="9"/>
        <v>108.56732207792209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0.61464881708292174</v>
      </c>
      <c r="C10" s="107">
        <f t="shared" si="11"/>
        <v>-3.442695545835095E-2</v>
      </c>
      <c r="D10" s="108">
        <f t="shared" si="12"/>
        <v>94.696003623188403</v>
      </c>
      <c r="E10" s="102">
        <f t="shared" si="0"/>
        <v>0.65345278679271912</v>
      </c>
      <c r="F10" s="107">
        <f t="shared" si="13"/>
        <v>-3.3250566765438916E-2</v>
      </c>
      <c r="G10" s="108">
        <f t="shared" si="14"/>
        <v>95.157943150684957</v>
      </c>
      <c r="H10" s="102">
        <f t="shared" si="1"/>
        <v>0.7571321433610837</v>
      </c>
      <c r="I10" s="107">
        <f t="shared" si="2"/>
        <v>1.8690865904708143E-2</v>
      </c>
      <c r="J10" s="108">
        <f t="shared" si="3"/>
        <v>102.53112420382165</v>
      </c>
      <c r="K10" s="102">
        <f t="shared" si="4"/>
        <v>0.68301049809510372</v>
      </c>
      <c r="L10" s="107">
        <f t="shared" si="5"/>
        <v>-3.692855463054312E-3</v>
      </c>
      <c r="M10" s="108">
        <f t="shared" si="6"/>
        <v>99.462234246575349</v>
      </c>
      <c r="N10" s="102">
        <f t="shared" si="7"/>
        <v>0.36227143596256056</v>
      </c>
      <c r="O10" s="107">
        <f t="shared" si="8"/>
        <v>1.0596867503881446E-4</v>
      </c>
      <c r="P10" s="108">
        <f t="shared" si="9"/>
        <v>100.02925974025973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1.1103193640938809</v>
      </c>
      <c r="C11" s="107">
        <f t="shared" si="11"/>
        <v>0.46124359155260819</v>
      </c>
      <c r="D11" s="108">
        <f t="shared" si="12"/>
        <v>171.06159420289856</v>
      </c>
      <c r="E11" s="102">
        <f>E24*$B$31/100/$B$32</f>
        <v>1.1353910916701941</v>
      </c>
      <c r="F11" s="107">
        <f t="shared" si="13"/>
        <v>0.44868773811203611</v>
      </c>
      <c r="G11" s="108">
        <f t="shared" si="14"/>
        <v>165.33938356164384</v>
      </c>
      <c r="H11" s="102">
        <f>H24*$B$31/100/$B$32</f>
        <v>1.3463517708480317</v>
      </c>
      <c r="I11" s="107">
        <f t="shared" si="2"/>
        <v>0.60791049339165615</v>
      </c>
      <c r="J11" s="108">
        <f t="shared" si="3"/>
        <v>182.32347133757963</v>
      </c>
      <c r="K11" s="102">
        <f>K24*$B$31/100/$B$32</f>
        <v>0.99713842246366591</v>
      </c>
      <c r="L11" s="107">
        <f t="shared" si="5"/>
        <v>0.31043506890550787</v>
      </c>
      <c r="M11" s="108">
        <f t="shared" si="6"/>
        <v>145.20657534246578</v>
      </c>
      <c r="N11" s="102">
        <f>N24*$B$31/100/$B$32</f>
        <v>0.56841188090870609</v>
      </c>
      <c r="O11" s="107">
        <f t="shared" si="8"/>
        <v>0.20624641362118434</v>
      </c>
      <c r="P11" s="108">
        <f t="shared" si="9"/>
        <v>156.94811688311688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1.5393349795400026</v>
      </c>
      <c r="F12" s="107">
        <f t="shared" si="13"/>
        <v>0.85263162598184461</v>
      </c>
      <c r="G12" s="108">
        <f t="shared" si="14"/>
        <v>224.16302054794519</v>
      </c>
      <c r="H12" s="102">
        <f t="shared" ref="H12:H13" si="15">H25*$B$33/$B$32</f>
        <v>1.6031356003950894</v>
      </c>
      <c r="I12" s="107">
        <f t="shared" si="2"/>
        <v>0.86469432293871384</v>
      </c>
      <c r="J12" s="108">
        <f t="shared" si="3"/>
        <v>217.09723566878978</v>
      </c>
      <c r="K12" s="102">
        <f t="shared" ref="K12:K13" si="16">K25*$B$33/$B$32</f>
        <v>1.4697343022435443</v>
      </c>
      <c r="L12" s="107">
        <f t="shared" si="5"/>
        <v>0.78303094868538625</v>
      </c>
      <c r="M12" s="108">
        <f t="shared" si="6"/>
        <v>214.02754109589043</v>
      </c>
      <c r="N12" s="102">
        <f t="shared" ref="N12:N13" si="17">N25*$B$33/$B$32</f>
        <v>0.66700649075772533</v>
      </c>
      <c r="O12" s="107">
        <f t="shared" si="8"/>
        <v>0.30484102347020359</v>
      </c>
      <c r="P12" s="108">
        <f t="shared" si="9"/>
        <v>184.17175324675324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1.4500141103428812</v>
      </c>
      <c r="F13" s="107">
        <f t="shared" si="13"/>
        <v>0.76331075678472315</v>
      </c>
      <c r="G13" s="108">
        <f t="shared" si="14"/>
        <v>211.15582191780823</v>
      </c>
      <c r="H13" s="102">
        <f t="shared" si="15"/>
        <v>1.6066156342599125</v>
      </c>
      <c r="I13" s="107">
        <f t="shared" si="2"/>
        <v>0.86817435680353694</v>
      </c>
      <c r="J13" s="108">
        <f t="shared" si="3"/>
        <v>217.56850318471334</v>
      </c>
      <c r="K13" s="102">
        <f t="shared" si="16"/>
        <v>1.415213771694652</v>
      </c>
      <c r="L13" s="107">
        <f t="shared" si="5"/>
        <v>0.72851041813649398</v>
      </c>
      <c r="M13" s="108">
        <f t="shared" si="6"/>
        <v>206.08808219178081</v>
      </c>
      <c r="N13" s="102">
        <f t="shared" si="17"/>
        <v>0.71920699873006899</v>
      </c>
      <c r="O13" s="107">
        <f t="shared" si="8"/>
        <v>0.35704153144254724</v>
      </c>
      <c r="P13" s="108">
        <f t="shared" si="9"/>
        <v>198.58519480519476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1.3741286863270776</v>
      </c>
      <c r="F14" s="119">
        <f t="shared" si="13"/>
        <v>0.68742533276891959</v>
      </c>
      <c r="G14" s="120">
        <f t="shared" si="14"/>
        <v>200.1051369863014</v>
      </c>
      <c r="H14" s="118">
        <f>H27*$B$34/10/$B$32</f>
        <v>1.460348525469169</v>
      </c>
      <c r="I14" s="119">
        <f t="shared" si="2"/>
        <v>0.72190724801279349</v>
      </c>
      <c r="J14" s="120">
        <f t="shared" si="3"/>
        <v>197.76095541401276</v>
      </c>
      <c r="K14" s="118">
        <f>K27*$B$34/10/$B$32</f>
        <v>1.3849061662198392</v>
      </c>
      <c r="L14" s="119">
        <f t="shared" si="5"/>
        <v>0.69820281266168116</v>
      </c>
      <c r="M14" s="120">
        <f t="shared" si="6"/>
        <v>201.67458904109594</v>
      </c>
      <c r="N14" s="118">
        <f>N27*$B$34/10/$B$32</f>
        <v>0.66012064343163546</v>
      </c>
      <c r="O14" s="119">
        <f t="shared" si="8"/>
        <v>0.29795517614411371</v>
      </c>
      <c r="P14" s="120">
        <f t="shared" si="9"/>
        <v>182.27045454545456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1.38</v>
      </c>
      <c r="C19" s="135" t="s">
        <v>172</v>
      </c>
      <c r="D19" s="136" t="s">
        <v>172</v>
      </c>
      <c r="E19" s="134">
        <v>1.46</v>
      </c>
      <c r="F19" s="135" t="s">
        <v>172</v>
      </c>
      <c r="G19" s="136" t="s">
        <v>172</v>
      </c>
      <c r="H19" s="134">
        <v>1.57</v>
      </c>
      <c r="I19" s="135" t="s">
        <v>172</v>
      </c>
      <c r="J19" s="136" t="s">
        <v>172</v>
      </c>
      <c r="K19" s="134">
        <v>1.46</v>
      </c>
      <c r="L19" s="135" t="s">
        <v>172</v>
      </c>
      <c r="M19" s="136" t="s">
        <v>172</v>
      </c>
      <c r="N19" s="134">
        <v>0.77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41.95</v>
      </c>
      <c r="C20" s="144" t="s">
        <v>172</v>
      </c>
      <c r="D20" s="145" t="s">
        <v>172</v>
      </c>
      <c r="E20" s="143">
        <v>45.59</v>
      </c>
      <c r="F20" s="144" t="s">
        <v>172</v>
      </c>
      <c r="G20" s="145" t="s">
        <v>172</v>
      </c>
      <c r="H20" s="143">
        <v>50.89</v>
      </c>
      <c r="I20" s="144" t="s">
        <v>172</v>
      </c>
      <c r="J20" s="145" t="s">
        <v>172</v>
      </c>
      <c r="K20" s="143">
        <v>44.46</v>
      </c>
      <c r="L20" s="144" t="s">
        <v>172</v>
      </c>
      <c r="M20" s="145" t="s">
        <v>172</v>
      </c>
      <c r="N20" s="143">
        <v>26.03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41.3</v>
      </c>
      <c r="C21" s="144" t="s">
        <v>172</v>
      </c>
      <c r="D21" s="145" t="s">
        <v>172</v>
      </c>
      <c r="E21" s="143">
        <v>44.47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44.35</v>
      </c>
      <c r="L21" s="144" t="s">
        <v>172</v>
      </c>
      <c r="M21" s="145" t="s">
        <v>172</v>
      </c>
      <c r="N21" s="143">
        <v>25.08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41.06</v>
      </c>
      <c r="C22" s="144" t="s">
        <v>172</v>
      </c>
      <c r="D22" s="145" t="s">
        <v>172</v>
      </c>
      <c r="E22" s="143">
        <v>44.26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43.87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40.549999999999997</v>
      </c>
      <c r="C23" s="144" t="s">
        <v>172</v>
      </c>
      <c r="D23" s="145" t="s">
        <v>172</v>
      </c>
      <c r="E23" s="143">
        <v>43.11</v>
      </c>
      <c r="F23" s="144" t="s">
        <v>172</v>
      </c>
      <c r="G23" s="145" t="s">
        <v>172</v>
      </c>
      <c r="H23" s="143">
        <v>49.95</v>
      </c>
      <c r="I23" s="144" t="s">
        <v>172</v>
      </c>
      <c r="J23" s="145" t="s">
        <v>172</v>
      </c>
      <c r="K23" s="143">
        <v>45.06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31</v>
      </c>
      <c r="C24" s="144" t="s">
        <v>172</v>
      </c>
      <c r="D24" s="145" t="s">
        <v>172</v>
      </c>
      <c r="E24" s="143">
        <v>31.7</v>
      </c>
      <c r="F24" s="144" t="s">
        <v>172</v>
      </c>
      <c r="G24" s="145" t="s">
        <v>172</v>
      </c>
      <c r="H24" s="143">
        <v>37.590000000000003</v>
      </c>
      <c r="I24" s="144" t="s">
        <v>172</v>
      </c>
      <c r="J24" s="145" t="s">
        <v>172</v>
      </c>
      <c r="K24" s="143">
        <v>27.84</v>
      </c>
      <c r="L24" s="144" t="s">
        <v>172</v>
      </c>
      <c r="M24" s="145" t="s">
        <v>172</v>
      </c>
      <c r="N24" s="143">
        <v>15.87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1.327</v>
      </c>
      <c r="F25" s="144" t="s">
        <v>172</v>
      </c>
      <c r="G25" s="145" t="s">
        <v>172</v>
      </c>
      <c r="H25" s="153">
        <v>1.3819999999999999</v>
      </c>
      <c r="I25" s="144" t="s">
        <v>172</v>
      </c>
      <c r="J25" s="145" t="s">
        <v>172</v>
      </c>
      <c r="K25" s="153">
        <v>1.2669999999999999</v>
      </c>
      <c r="L25" s="144" t="s">
        <v>172</v>
      </c>
      <c r="M25" s="145" t="s">
        <v>172</v>
      </c>
      <c r="N25" s="153">
        <v>0.57499999999999996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1.25</v>
      </c>
      <c r="F26" s="144" t="s">
        <v>172</v>
      </c>
      <c r="G26" s="145" t="s">
        <v>172</v>
      </c>
      <c r="H26" s="153">
        <v>1.385</v>
      </c>
      <c r="I26" s="144" t="s">
        <v>172</v>
      </c>
      <c r="J26" s="145" t="s">
        <v>172</v>
      </c>
      <c r="K26" s="153">
        <v>1.22</v>
      </c>
      <c r="L26" s="144" t="s">
        <v>172</v>
      </c>
      <c r="M26" s="145" t="s">
        <v>172</v>
      </c>
      <c r="N26" s="153">
        <v>0.62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5.0999999999999996</v>
      </c>
      <c r="F27" s="158" t="s">
        <v>172</v>
      </c>
      <c r="G27" s="159" t="s">
        <v>172</v>
      </c>
      <c r="H27" s="160">
        <v>5.42</v>
      </c>
      <c r="I27" s="158" t="s">
        <v>172</v>
      </c>
      <c r="J27" s="159" t="s">
        <v>172</v>
      </c>
      <c r="K27" s="160">
        <v>5.14</v>
      </c>
      <c r="L27" s="158" t="s">
        <v>172</v>
      </c>
      <c r="M27" s="159" t="s">
        <v>172</v>
      </c>
      <c r="N27" s="160">
        <v>2.4500000000000002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7.6150000000000002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2.1261000000000001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2.4662999999999999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5.7285000000000004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3.2227000000000001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43395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0.65814393939393934</v>
      </c>
      <c r="C6" s="103" t="s">
        <v>172</v>
      </c>
      <c r="D6" s="104" t="s">
        <v>172</v>
      </c>
      <c r="E6" s="102">
        <f>E19/$B$32</f>
        <v>0.70075757575757569</v>
      </c>
      <c r="F6" s="103" t="s">
        <v>172</v>
      </c>
      <c r="G6" s="104" t="s">
        <v>172</v>
      </c>
      <c r="H6" s="102">
        <f>H19/$B$32</f>
        <v>0.75284090909090906</v>
      </c>
      <c r="I6" s="103" t="s">
        <v>172</v>
      </c>
      <c r="J6" s="104" t="s">
        <v>172</v>
      </c>
      <c r="K6" s="102">
        <f>K19/$B$32</f>
        <v>0.70075757575757569</v>
      </c>
      <c r="L6" s="103" t="s">
        <v>172</v>
      </c>
      <c r="M6" s="104" t="s">
        <v>172</v>
      </c>
      <c r="N6" s="102">
        <f>N19/$B$32</f>
        <v>0.37405303030303028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0.63416954545454529</v>
      </c>
      <c r="C7" s="107">
        <f>B7-B$6</f>
        <v>-2.3974393939394045E-2</v>
      </c>
      <c r="D7" s="108">
        <f>B7/B$6*100</f>
        <v>96.357271942446033</v>
      </c>
      <c r="E7" s="102">
        <f t="shared" ref="E7:E10" si="0">E20*$B$35/100/$B$32</f>
        <v>0.68857469696969686</v>
      </c>
      <c r="F7" s="107">
        <f>E7-E$6</f>
        <v>-1.2182878787878826E-2</v>
      </c>
      <c r="G7" s="108">
        <f>E7/E$6*100</f>
        <v>98.261470270270266</v>
      </c>
      <c r="H7" s="102">
        <f t="shared" ref="H7:H10" si="1">H20*$B$35/100/$B$32</f>
        <v>0.75300984848484842</v>
      </c>
      <c r="I7" s="107">
        <f t="shared" ref="I7:I14" si="2">H7-H$6</f>
        <v>1.6893939393936019E-4</v>
      </c>
      <c r="J7" s="108">
        <f t="shared" ref="J7:J14" si="3">H7/H$6*100</f>
        <v>100.02244025157232</v>
      </c>
      <c r="K7" s="102">
        <f t="shared" ref="K7:K10" si="4">K20*$B$35/100/$B$32</f>
        <v>0.67018636363636364</v>
      </c>
      <c r="L7" s="107">
        <f t="shared" ref="L7:L14" si="5">K7-K$6</f>
        <v>-3.0571212121212055E-2</v>
      </c>
      <c r="M7" s="108">
        <f t="shared" ref="M7:M14" si="6">K7/K$6*100</f>
        <v>95.637405405405417</v>
      </c>
      <c r="N7" s="102">
        <f t="shared" ref="N7:N10" si="7">N20*$B$35/100/$B$32</f>
        <v>0.3901062121212121</v>
      </c>
      <c r="O7" s="107">
        <f t="shared" ref="O7:O14" si="8">N7-N$6</f>
        <v>1.6053181818181828E-2</v>
      </c>
      <c r="P7" s="108">
        <f t="shared" ref="P7:P14" si="9">N7/N$6*100</f>
        <v>104.29168607594936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0.62854666666666659</v>
      </c>
      <c r="C8" s="107">
        <f t="shared" ref="C8:C11" si="11">B8-B$6</f>
        <v>-2.959727272727275E-2</v>
      </c>
      <c r="D8" s="108">
        <f t="shared" ref="D8:D11" si="12">B8/B$6*100</f>
        <v>95.502917985611504</v>
      </c>
      <c r="E8" s="102">
        <f t="shared" si="0"/>
        <v>0.68097621212121218</v>
      </c>
      <c r="F8" s="107">
        <f t="shared" ref="F8:F14" si="13">E8-E$6</f>
        <v>-1.9781363636363514E-2</v>
      </c>
      <c r="G8" s="108">
        <f t="shared" ref="G8:G14" si="14">E8/E$6*100</f>
        <v>97.177145945945966</v>
      </c>
      <c r="H8" s="102">
        <f t="shared" si="1"/>
        <v>0.73705303030303027</v>
      </c>
      <c r="I8" s="107">
        <f t="shared" si="2"/>
        <v>-1.5787878787878795E-2</v>
      </c>
      <c r="J8" s="108">
        <f t="shared" si="3"/>
        <v>97.902893081760993</v>
      </c>
      <c r="K8" s="102">
        <f t="shared" si="4"/>
        <v>0.69374166666666659</v>
      </c>
      <c r="L8" s="107">
        <f t="shared" si="5"/>
        <v>-7.0159090909091004E-3</v>
      </c>
      <c r="M8" s="108">
        <f t="shared" si="6"/>
        <v>98.998810810810809</v>
      </c>
      <c r="N8" s="102">
        <f t="shared" si="7"/>
        <v>0.38113999999999992</v>
      </c>
      <c r="O8" s="107">
        <f t="shared" si="8"/>
        <v>7.0869696969696472E-3</v>
      </c>
      <c r="P8" s="108">
        <f t="shared" si="9"/>
        <v>101.89464303797466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0.62246787878787879</v>
      </c>
      <c r="C9" s="107">
        <f t="shared" si="11"/>
        <v>-3.5676060606060545E-2</v>
      </c>
      <c r="D9" s="108">
        <f t="shared" si="12"/>
        <v>94.579292086330952</v>
      </c>
      <c r="E9" s="102">
        <f t="shared" si="0"/>
        <v>0.67140212121212117</v>
      </c>
      <c r="F9" s="107">
        <f t="shared" si="13"/>
        <v>-2.9355454545454518E-2</v>
      </c>
      <c r="G9" s="108">
        <f t="shared" si="14"/>
        <v>95.810897297297302</v>
      </c>
      <c r="H9" s="102">
        <f t="shared" si="1"/>
        <v>0.72337575757575756</v>
      </c>
      <c r="I9" s="107">
        <f t="shared" si="2"/>
        <v>-2.94651515151515E-2</v>
      </c>
      <c r="J9" s="108">
        <f t="shared" si="3"/>
        <v>96.08613836477987</v>
      </c>
      <c r="K9" s="102">
        <f t="shared" si="4"/>
        <v>0.66349969696969691</v>
      </c>
      <c r="L9" s="107">
        <f t="shared" si="5"/>
        <v>-3.7257878787878784E-2</v>
      </c>
      <c r="M9" s="108">
        <f t="shared" si="6"/>
        <v>94.683199999999999</v>
      </c>
      <c r="N9" s="102">
        <f t="shared" si="7"/>
        <v>0.39420939393939392</v>
      </c>
      <c r="O9" s="107">
        <f t="shared" si="8"/>
        <v>2.0156363636363639E-2</v>
      </c>
      <c r="P9" s="108">
        <f t="shared" si="9"/>
        <v>105.38863797468355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0.61684500000000009</v>
      </c>
      <c r="C10" s="107">
        <f t="shared" si="11"/>
        <v>-4.1298939393939249E-2</v>
      </c>
      <c r="D10" s="108">
        <f t="shared" si="12"/>
        <v>93.724938129496422</v>
      </c>
      <c r="E10" s="102">
        <f t="shared" si="0"/>
        <v>0.65620515151515146</v>
      </c>
      <c r="F10" s="107">
        <f t="shared" si="13"/>
        <v>-4.4552424242424227E-2</v>
      </c>
      <c r="G10" s="108">
        <f t="shared" si="14"/>
        <v>93.642248648648646</v>
      </c>
      <c r="H10" s="102">
        <f t="shared" si="1"/>
        <v>0.75832878787878788</v>
      </c>
      <c r="I10" s="107">
        <f t="shared" si="2"/>
        <v>5.4878787878788193E-3</v>
      </c>
      <c r="J10" s="108">
        <f t="shared" si="3"/>
        <v>100.72895597484278</v>
      </c>
      <c r="K10" s="102">
        <f t="shared" si="4"/>
        <v>0.69510939393939397</v>
      </c>
      <c r="L10" s="107">
        <f t="shared" si="5"/>
        <v>-5.6481818181817189E-3</v>
      </c>
      <c r="M10" s="108">
        <f t="shared" si="6"/>
        <v>99.193989189189196</v>
      </c>
      <c r="N10" s="102">
        <f t="shared" si="7"/>
        <v>0.36320757575757573</v>
      </c>
      <c r="O10" s="107">
        <f t="shared" si="8"/>
        <v>-1.0845454545454547E-2</v>
      </c>
      <c r="P10" s="108">
        <f t="shared" si="9"/>
        <v>97.100556962025323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1.0908096590909089</v>
      </c>
      <c r="C11" s="107">
        <f t="shared" si="11"/>
        <v>0.43266571969696954</v>
      </c>
      <c r="D11" s="108">
        <f t="shared" si="12"/>
        <v>165.74028776978415</v>
      </c>
      <c r="E11" s="102">
        <f>E24*$B$31/100/$B$32</f>
        <v>1.1156410984848486</v>
      </c>
      <c r="F11" s="107">
        <f t="shared" si="13"/>
        <v>0.41488352272727291</v>
      </c>
      <c r="G11" s="108">
        <f t="shared" si="14"/>
        <v>159.20500000000004</v>
      </c>
      <c r="H11" s="102">
        <f>H24*$B$31/100/$B$32</f>
        <v>1.315711553030303</v>
      </c>
      <c r="I11" s="107">
        <f t="shared" si="2"/>
        <v>0.5628706439393939</v>
      </c>
      <c r="J11" s="108">
        <f t="shared" si="3"/>
        <v>174.76621383647799</v>
      </c>
      <c r="K11" s="102">
        <f>K24*$B$31/100/$B$32</f>
        <v>0.98758181818181812</v>
      </c>
      <c r="L11" s="107">
        <f t="shared" si="5"/>
        <v>0.28682424242424243</v>
      </c>
      <c r="M11" s="108">
        <f t="shared" si="6"/>
        <v>140.9305945945946</v>
      </c>
      <c r="N11" s="102">
        <f>N24*$B$31/100/$B$32</f>
        <v>0.56473787878787873</v>
      </c>
      <c r="O11" s="107">
        <f t="shared" si="8"/>
        <v>0.19068484848484846</v>
      </c>
      <c r="P11" s="108">
        <f t="shared" si="9"/>
        <v>150.9780253164557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1.5186358901515149</v>
      </c>
      <c r="F12" s="107">
        <f t="shared" si="13"/>
        <v>0.81787831439393921</v>
      </c>
      <c r="G12" s="108">
        <f t="shared" si="14"/>
        <v>216.71344594594592</v>
      </c>
      <c r="H12" s="102">
        <f t="shared" ref="H12:H13" si="15">H25*$B$33/$B$32</f>
        <v>1.5815785984848483</v>
      </c>
      <c r="I12" s="107">
        <f t="shared" si="2"/>
        <v>0.82873768939393921</v>
      </c>
      <c r="J12" s="108">
        <f t="shared" si="3"/>
        <v>210.08138364779873</v>
      </c>
      <c r="K12" s="102">
        <f t="shared" ref="K12:K13" si="16">K25*$B$33/$B$32</f>
        <v>1.4614152462121208</v>
      </c>
      <c r="L12" s="107">
        <f t="shared" si="5"/>
        <v>0.76065767045454513</v>
      </c>
      <c r="M12" s="108">
        <f t="shared" si="6"/>
        <v>208.54790540540534</v>
      </c>
      <c r="N12" s="102">
        <f t="shared" ref="N12:N13" si="17">N25*$B$33/$B$32</f>
        <v>0.66948153409090894</v>
      </c>
      <c r="O12" s="107">
        <f t="shared" si="8"/>
        <v>0.29542850378787866</v>
      </c>
      <c r="P12" s="108">
        <f t="shared" si="9"/>
        <v>178.98037974683541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1.4122054924242422</v>
      </c>
      <c r="F13" s="107">
        <f t="shared" si="13"/>
        <v>0.71144791666666651</v>
      </c>
      <c r="G13" s="108">
        <f t="shared" si="14"/>
        <v>201.52554054054056</v>
      </c>
      <c r="H13" s="102">
        <f t="shared" si="15"/>
        <v>1.5850118371212119</v>
      </c>
      <c r="I13" s="107">
        <f t="shared" si="2"/>
        <v>0.83217092803030279</v>
      </c>
      <c r="J13" s="108">
        <f t="shared" si="3"/>
        <v>210.53742138364777</v>
      </c>
      <c r="K13" s="102">
        <f t="shared" si="16"/>
        <v>1.377873106060606</v>
      </c>
      <c r="L13" s="107">
        <f t="shared" si="5"/>
        <v>0.67711553030303029</v>
      </c>
      <c r="M13" s="108">
        <f t="shared" si="6"/>
        <v>196.62621621621622</v>
      </c>
      <c r="N13" s="102">
        <f t="shared" si="17"/>
        <v>0.70953598484848479</v>
      </c>
      <c r="O13" s="107">
        <f t="shared" si="8"/>
        <v>0.33548295454545451</v>
      </c>
      <c r="P13" s="108">
        <f t="shared" si="9"/>
        <v>189.68860759493671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1.3555499053030304</v>
      </c>
      <c r="F14" s="119">
        <f t="shared" si="13"/>
        <v>0.65479232954545474</v>
      </c>
      <c r="G14" s="120">
        <f t="shared" si="14"/>
        <v>193.44063513513515</v>
      </c>
      <c r="H14" s="118">
        <f>H27*$B$34/10/$B$32</f>
        <v>1.4247921401515149</v>
      </c>
      <c r="I14" s="119">
        <f t="shared" si="2"/>
        <v>0.67195123106060584</v>
      </c>
      <c r="J14" s="120">
        <f t="shared" si="3"/>
        <v>189.25540880503144</v>
      </c>
      <c r="K14" s="118">
        <f>K27*$B$34/10/$B$32</f>
        <v>1.3715288825757577</v>
      </c>
      <c r="L14" s="119">
        <f t="shared" si="5"/>
        <v>0.67077130681818198</v>
      </c>
      <c r="M14" s="120">
        <f t="shared" si="6"/>
        <v>195.72087837837842</v>
      </c>
      <c r="N14" s="118">
        <f>N27*$B$34/10/$B$32</f>
        <v>0.65513806818181808</v>
      </c>
      <c r="O14" s="119">
        <f t="shared" si="8"/>
        <v>0.2810850378787878</v>
      </c>
      <c r="P14" s="120">
        <f t="shared" si="9"/>
        <v>175.14577215189874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31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31" t="s">
        <v>214</v>
      </c>
    </row>
    <row r="19" spans="1:23" s="141" customFormat="1" ht="15.75" x14ac:dyDescent="0.25">
      <c r="A19" s="133" t="s">
        <v>185</v>
      </c>
      <c r="B19" s="134">
        <v>1.39</v>
      </c>
      <c r="C19" s="135" t="s">
        <v>172</v>
      </c>
      <c r="D19" s="136" t="s">
        <v>172</v>
      </c>
      <c r="E19" s="134">
        <v>1.48</v>
      </c>
      <c r="F19" s="135" t="s">
        <v>172</v>
      </c>
      <c r="G19" s="136" t="s">
        <v>172</v>
      </c>
      <c r="H19" s="134">
        <v>1.59</v>
      </c>
      <c r="I19" s="135" t="s">
        <v>172</v>
      </c>
      <c r="J19" s="136" t="s">
        <v>172</v>
      </c>
      <c r="K19" s="134">
        <v>1.48</v>
      </c>
      <c r="L19" s="135" t="s">
        <v>172</v>
      </c>
      <c r="M19" s="136" t="s">
        <v>172</v>
      </c>
      <c r="N19" s="134">
        <v>0.79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41.73</v>
      </c>
      <c r="C20" s="144" t="s">
        <v>172</v>
      </c>
      <c r="D20" s="145" t="s">
        <v>172</v>
      </c>
      <c r="E20" s="143">
        <v>45.31</v>
      </c>
      <c r="F20" s="144" t="s">
        <v>172</v>
      </c>
      <c r="G20" s="145" t="s">
        <v>172</v>
      </c>
      <c r="H20" s="143">
        <v>49.55</v>
      </c>
      <c r="I20" s="144" t="s">
        <v>172</v>
      </c>
      <c r="J20" s="145" t="s">
        <v>172</v>
      </c>
      <c r="K20" s="143">
        <v>44.1</v>
      </c>
      <c r="L20" s="144" t="s">
        <v>172</v>
      </c>
      <c r="M20" s="145" t="s">
        <v>172</v>
      </c>
      <c r="N20" s="143">
        <v>25.67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41.36</v>
      </c>
      <c r="C21" s="144" t="s">
        <v>172</v>
      </c>
      <c r="D21" s="145" t="s">
        <v>172</v>
      </c>
      <c r="E21" s="143">
        <v>44.81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45.65</v>
      </c>
      <c r="L21" s="144" t="s">
        <v>172</v>
      </c>
      <c r="M21" s="145" t="s">
        <v>172</v>
      </c>
      <c r="N21" s="143">
        <v>25.08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40.96</v>
      </c>
      <c r="C22" s="144" t="s">
        <v>172</v>
      </c>
      <c r="D22" s="145" t="s">
        <v>172</v>
      </c>
      <c r="E22" s="143">
        <v>44.18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43.66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40.590000000000003</v>
      </c>
      <c r="C23" s="144" t="s">
        <v>172</v>
      </c>
      <c r="D23" s="145" t="s">
        <v>172</v>
      </c>
      <c r="E23" s="143">
        <v>43.18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45.74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30.75</v>
      </c>
      <c r="C24" s="144" t="s">
        <v>172</v>
      </c>
      <c r="D24" s="145" t="s">
        <v>172</v>
      </c>
      <c r="E24" s="143">
        <v>31.45</v>
      </c>
      <c r="F24" s="144" t="s">
        <v>172</v>
      </c>
      <c r="G24" s="145" t="s">
        <v>172</v>
      </c>
      <c r="H24" s="143">
        <v>37.090000000000003</v>
      </c>
      <c r="I24" s="144" t="s">
        <v>172</v>
      </c>
      <c r="J24" s="145" t="s">
        <v>172</v>
      </c>
      <c r="K24" s="143">
        <v>27.84</v>
      </c>
      <c r="L24" s="144" t="s">
        <v>172</v>
      </c>
      <c r="M24" s="145" t="s">
        <v>172</v>
      </c>
      <c r="N24" s="143">
        <v>15.92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1.327</v>
      </c>
      <c r="F25" s="144" t="s">
        <v>172</v>
      </c>
      <c r="G25" s="145" t="s">
        <v>172</v>
      </c>
      <c r="H25" s="153">
        <v>1.3819999999999999</v>
      </c>
      <c r="I25" s="144" t="s">
        <v>172</v>
      </c>
      <c r="J25" s="145" t="s">
        <v>172</v>
      </c>
      <c r="K25" s="153">
        <v>1.2769999999999999</v>
      </c>
      <c r="L25" s="144" t="s">
        <v>172</v>
      </c>
      <c r="M25" s="145" t="s">
        <v>172</v>
      </c>
      <c r="N25" s="153">
        <v>0.58499999999999996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1.385</v>
      </c>
      <c r="I26" s="144" t="s">
        <v>172</v>
      </c>
      <c r="J26" s="145" t="s">
        <v>172</v>
      </c>
      <c r="K26" s="153">
        <v>1.204</v>
      </c>
      <c r="L26" s="144" t="s">
        <v>172</v>
      </c>
      <c r="M26" s="145" t="s">
        <v>172</v>
      </c>
      <c r="N26" s="153">
        <v>0.62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</v>
      </c>
      <c r="F27" s="158" t="s">
        <v>172</v>
      </c>
      <c r="G27" s="159" t="s">
        <v>172</v>
      </c>
      <c r="H27" s="160">
        <v>5.35</v>
      </c>
      <c r="I27" s="158" t="s">
        <v>172</v>
      </c>
      <c r="J27" s="159" t="s">
        <v>172</v>
      </c>
      <c r="K27" s="160">
        <v>5.15</v>
      </c>
      <c r="L27" s="158" t="s">
        <v>172</v>
      </c>
      <c r="M27" s="159" t="s">
        <v>172</v>
      </c>
      <c r="N27" s="160">
        <v>2.46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8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7.492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2.1120000000000001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2.4169999999999998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5.6246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3.2096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43402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0.66322421715855795</v>
      </c>
      <c r="C6" s="103" t="s">
        <v>172</v>
      </c>
      <c r="D6" s="104" t="s">
        <v>172</v>
      </c>
      <c r="E6" s="102">
        <f>E19/$B$32</f>
        <v>0.70586005969017951</v>
      </c>
      <c r="F6" s="103" t="s">
        <v>172</v>
      </c>
      <c r="G6" s="104" t="s">
        <v>172</v>
      </c>
      <c r="H6" s="102">
        <f>H19/$B$32</f>
        <v>0.75797053389549485</v>
      </c>
      <c r="I6" s="103" t="s">
        <v>172</v>
      </c>
      <c r="J6" s="104" t="s">
        <v>172</v>
      </c>
      <c r="K6" s="102">
        <f>K19/$B$32</f>
        <v>0.70586005969017951</v>
      </c>
      <c r="L6" s="103" t="s">
        <v>172</v>
      </c>
      <c r="M6" s="104" t="s">
        <v>172</v>
      </c>
      <c r="N6" s="102">
        <f>N19/$B$32</f>
        <v>0.37898526694774742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0.64074008716661135</v>
      </c>
      <c r="C7" s="107">
        <f>B7-B$6</f>
        <v>-2.24841299919466E-2</v>
      </c>
      <c r="D7" s="108">
        <f>B7/B$6*100</f>
        <v>96.609874999999988</v>
      </c>
      <c r="E7" s="102">
        <f t="shared" ref="E7:E10" si="0">E20*$B$35/100/$B$32</f>
        <v>0.69772862286228621</v>
      </c>
      <c r="F7" s="107">
        <f>E7-E$6</f>
        <v>-8.1314368278933014E-3</v>
      </c>
      <c r="G7" s="108">
        <f>E7/E$6*100</f>
        <v>98.848010067114103</v>
      </c>
      <c r="H7" s="102">
        <f t="shared" ref="H7:H10" si="1">H20*$B$35/100/$B$32</f>
        <v>0.77041186223885538</v>
      </c>
      <c r="I7" s="107">
        <f t="shared" ref="I7:I14" si="2">H7-H$6</f>
        <v>1.2441328343360536E-2</v>
      </c>
      <c r="J7" s="108">
        <f t="shared" ref="J7:J14" si="3">H7/H$6*100</f>
        <v>101.64139999999999</v>
      </c>
      <c r="K7" s="102">
        <f t="shared" ref="K7:K10" si="4">K20*$B$35/100/$B$32</f>
        <v>0.68279579800085277</v>
      </c>
      <c r="L7" s="107">
        <f t="shared" ref="L7:L14" si="5">K7-K$6</f>
        <v>-2.3064261689326737E-2</v>
      </c>
      <c r="M7" s="108">
        <f t="shared" ref="M7:M14" si="6">K7/K$6*100</f>
        <v>96.732459731543642</v>
      </c>
      <c r="N7" s="102">
        <f t="shared" ref="N7:N10" si="7">N20*$B$35/100/$B$32</f>
        <v>0.39770074375858633</v>
      </c>
      <c r="O7" s="107">
        <f t="shared" ref="O7:O14" si="8">N7-N$6</f>
        <v>1.8715476810838905E-2</v>
      </c>
      <c r="P7" s="108">
        <f t="shared" ref="P7:P14" si="9">N7/N$6*100</f>
        <v>104.93831249999998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0.63083566251361967</v>
      </c>
      <c r="C8" s="107">
        <f t="shared" ref="C8:C11" si="11">B8-B$6</f>
        <v>-3.2388554644938283E-2</v>
      </c>
      <c r="D8" s="108">
        <f t="shared" ref="D8:D11" si="12">B8/B$6*100</f>
        <v>95.116499999999988</v>
      </c>
      <c r="E8" s="102">
        <f t="shared" si="0"/>
        <v>0.67929115543133256</v>
      </c>
      <c r="F8" s="107">
        <f t="shared" ref="F8:F14" si="13">E8-E$6</f>
        <v>-2.6568904258846948E-2</v>
      </c>
      <c r="G8" s="108">
        <f t="shared" ref="G8:G14" si="14">E8/E$6*100</f>
        <v>96.235953020134218</v>
      </c>
      <c r="H8" s="102">
        <f t="shared" si="1"/>
        <v>0.73902245487706664</v>
      </c>
      <c r="I8" s="107">
        <f t="shared" si="2"/>
        <v>-1.894807901842821E-2</v>
      </c>
      <c r="J8" s="108">
        <f t="shared" si="3"/>
        <v>97.500156249999989</v>
      </c>
      <c r="K8" s="102">
        <f t="shared" si="4"/>
        <v>0.72789902411293761</v>
      </c>
      <c r="L8" s="107">
        <f t="shared" si="5"/>
        <v>2.2038964422758101E-2</v>
      </c>
      <c r="M8" s="108">
        <f t="shared" si="6"/>
        <v>103.12228523489932</v>
      </c>
      <c r="N8" s="102">
        <f t="shared" si="7"/>
        <v>0.40227201667535173</v>
      </c>
      <c r="O8" s="107">
        <f t="shared" si="8"/>
        <v>2.3286749727604306E-2</v>
      </c>
      <c r="P8" s="108">
        <f t="shared" si="9"/>
        <v>106.14449999999999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0.62672151688853106</v>
      </c>
      <c r="C9" s="107">
        <f t="shared" si="11"/>
        <v>-3.6502700270026889E-2</v>
      </c>
      <c r="D9" s="108">
        <f t="shared" si="12"/>
        <v>94.496175000000022</v>
      </c>
      <c r="E9" s="102">
        <f t="shared" si="0"/>
        <v>0.67761502202851864</v>
      </c>
      <c r="F9" s="107">
        <f t="shared" si="13"/>
        <v>-2.8245037661660866E-2</v>
      </c>
      <c r="G9" s="108">
        <f t="shared" si="14"/>
        <v>95.998493288590609</v>
      </c>
      <c r="H9" s="102">
        <f t="shared" si="1"/>
        <v>0.72530863612677066</v>
      </c>
      <c r="I9" s="107">
        <f t="shared" si="2"/>
        <v>-3.2661897768724191E-2</v>
      </c>
      <c r="J9" s="108">
        <f t="shared" si="3"/>
        <v>95.690875000000005</v>
      </c>
      <c r="K9" s="102">
        <f t="shared" si="4"/>
        <v>0.66816772466720353</v>
      </c>
      <c r="L9" s="107">
        <f t="shared" si="5"/>
        <v>-3.7692335022975976E-2</v>
      </c>
      <c r="M9" s="108">
        <f t="shared" si="6"/>
        <v>94.66008389261745</v>
      </c>
      <c r="N9" s="102">
        <f t="shared" si="7"/>
        <v>0.39526273153631147</v>
      </c>
      <c r="O9" s="107">
        <f t="shared" si="8"/>
        <v>1.627746458856405E-2</v>
      </c>
      <c r="P9" s="108">
        <f t="shared" si="9"/>
        <v>104.29501249999997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0.61971223174949075</v>
      </c>
      <c r="C10" s="107">
        <f t="shared" si="11"/>
        <v>-4.35119854090672E-2</v>
      </c>
      <c r="D10" s="108">
        <f t="shared" si="12"/>
        <v>93.439325000000011</v>
      </c>
      <c r="E10" s="102">
        <f t="shared" si="0"/>
        <v>0.65841567577810411</v>
      </c>
      <c r="F10" s="107">
        <f t="shared" si="13"/>
        <v>-4.7444383912075394E-2</v>
      </c>
      <c r="G10" s="108">
        <f t="shared" si="14"/>
        <v>93.278499999999994</v>
      </c>
      <c r="H10" s="102">
        <f t="shared" si="1"/>
        <v>0.76035506182197155</v>
      </c>
      <c r="I10" s="107">
        <f t="shared" si="2"/>
        <v>2.3845279264766983E-3</v>
      </c>
      <c r="J10" s="108">
        <f t="shared" si="3"/>
        <v>100.31459374999999</v>
      </c>
      <c r="K10" s="102">
        <f t="shared" si="4"/>
        <v>0.67075811265337049</v>
      </c>
      <c r="L10" s="107">
        <f t="shared" si="5"/>
        <v>-3.5101947036809023E-2</v>
      </c>
      <c r="M10" s="108">
        <f t="shared" si="6"/>
        <v>95.027067114093938</v>
      </c>
      <c r="N10" s="102">
        <f t="shared" si="7"/>
        <v>0.36417807570230704</v>
      </c>
      <c r="O10" s="107">
        <f t="shared" si="8"/>
        <v>-1.4807191245440388E-2</v>
      </c>
      <c r="P10" s="108">
        <f t="shared" si="9"/>
        <v>96.092937499999991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1.0877217063811644</v>
      </c>
      <c r="C11" s="107">
        <f t="shared" si="11"/>
        <v>0.42449748922260644</v>
      </c>
      <c r="D11" s="108">
        <f t="shared" si="12"/>
        <v>164.00512499999999</v>
      </c>
      <c r="E11" s="102">
        <f>E24*$B$31/100/$B$32</f>
        <v>1.1124828509166707</v>
      </c>
      <c r="F11" s="107">
        <f t="shared" si="13"/>
        <v>0.40662279122649114</v>
      </c>
      <c r="G11" s="108">
        <f t="shared" si="14"/>
        <v>157.60671476510069</v>
      </c>
      <c r="H11" s="102">
        <f>H24*$B$31/100/$B$32</f>
        <v>1.3119869297456064</v>
      </c>
      <c r="I11" s="107">
        <f t="shared" si="2"/>
        <v>0.55401639585011153</v>
      </c>
      <c r="J11" s="108">
        <f t="shared" si="3"/>
        <v>173.09207562500001</v>
      </c>
      <c r="K11" s="102">
        <f>K24*$B$31/100/$B$32</f>
        <v>0.99009205078402573</v>
      </c>
      <c r="L11" s="107">
        <f t="shared" si="5"/>
        <v>0.28423199109384623</v>
      </c>
      <c r="M11" s="108">
        <f t="shared" si="6"/>
        <v>140.26747046979867</v>
      </c>
      <c r="N11" s="102">
        <f>N24*$B$31/100/$B$32</f>
        <v>0.56844513240797767</v>
      </c>
      <c r="O11" s="107">
        <f t="shared" si="8"/>
        <v>0.18945986546023025</v>
      </c>
      <c r="P11" s="108">
        <f t="shared" si="9"/>
        <v>149.99135375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1.5085517551755177</v>
      </c>
      <c r="F12" s="107">
        <f t="shared" si="13"/>
        <v>0.80269169548533814</v>
      </c>
      <c r="G12" s="108">
        <f t="shared" si="14"/>
        <v>213.71824832214767</v>
      </c>
      <c r="H12" s="102">
        <f t="shared" ref="H12:H13" si="15">H25*$B$33/$B$32</f>
        <v>1.5710765076507651</v>
      </c>
      <c r="I12" s="107">
        <f t="shared" si="2"/>
        <v>0.81310597375527027</v>
      </c>
      <c r="J12" s="108">
        <f t="shared" si="3"/>
        <v>207.27408750000001</v>
      </c>
      <c r="K12" s="102">
        <f t="shared" ref="K12:K13" si="16">K25*$B$33/$B$32</f>
        <v>1.4517110711071106</v>
      </c>
      <c r="L12" s="107">
        <f t="shared" si="5"/>
        <v>0.74585101141693111</v>
      </c>
      <c r="M12" s="108">
        <f t="shared" si="6"/>
        <v>205.66556375838925</v>
      </c>
      <c r="N12" s="102">
        <f t="shared" ref="N12:N13" si="17">N25*$B$33/$B$32</f>
        <v>0.66503600360036008</v>
      </c>
      <c r="O12" s="107">
        <f t="shared" si="8"/>
        <v>0.28605073665261266</v>
      </c>
      <c r="P12" s="108">
        <f t="shared" si="9"/>
        <v>175.47806249999999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1.4028280828082811</v>
      </c>
      <c r="F13" s="107">
        <f t="shared" si="13"/>
        <v>0.69696802311810158</v>
      </c>
      <c r="G13" s="108">
        <f t="shared" si="14"/>
        <v>198.7402550335571</v>
      </c>
      <c r="H13" s="102">
        <f t="shared" si="15"/>
        <v>1.5062781278127813</v>
      </c>
      <c r="I13" s="107">
        <f t="shared" si="2"/>
        <v>0.74830759391728641</v>
      </c>
      <c r="J13" s="108">
        <f t="shared" si="3"/>
        <v>198.72515624999997</v>
      </c>
      <c r="K13" s="102">
        <f t="shared" si="16"/>
        <v>1.3687236723672369</v>
      </c>
      <c r="L13" s="107">
        <f t="shared" si="5"/>
        <v>0.6628636126770574</v>
      </c>
      <c r="M13" s="108">
        <f t="shared" si="6"/>
        <v>193.90864429530205</v>
      </c>
      <c r="N13" s="102">
        <f t="shared" si="17"/>
        <v>0.70482448244824492</v>
      </c>
      <c r="O13" s="107">
        <f t="shared" si="8"/>
        <v>0.32583921550049749</v>
      </c>
      <c r="P13" s="108">
        <f t="shared" si="9"/>
        <v>185.97675000000004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1.3420569425363589</v>
      </c>
      <c r="F14" s="119">
        <f t="shared" si="13"/>
        <v>0.63619688284617937</v>
      </c>
      <c r="G14" s="120">
        <f t="shared" si="14"/>
        <v>190.13073825503358</v>
      </c>
      <c r="H14" s="118">
        <f>H27*$B$34/10/$B$32</f>
        <v>1.4104755317637028</v>
      </c>
      <c r="I14" s="119">
        <f t="shared" si="2"/>
        <v>0.65250499786820793</v>
      </c>
      <c r="J14" s="120">
        <f t="shared" si="3"/>
        <v>186.08580000000001</v>
      </c>
      <c r="K14" s="118">
        <f>K27*$B$34/10/$B$32</f>
        <v>1.3631088161447722</v>
      </c>
      <c r="L14" s="119">
        <f t="shared" si="5"/>
        <v>0.65724875645459269</v>
      </c>
      <c r="M14" s="120">
        <f t="shared" si="6"/>
        <v>193.11318120805367</v>
      </c>
      <c r="N14" s="118">
        <f>N27*$B$34/10/$B$32</f>
        <v>0.65787105026292103</v>
      </c>
      <c r="O14" s="119">
        <f t="shared" si="8"/>
        <v>0.27888578331517361</v>
      </c>
      <c r="P14" s="120">
        <f t="shared" si="9"/>
        <v>173.58749999999998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70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70" t="s">
        <v>214</v>
      </c>
    </row>
    <row r="19" spans="1:23" s="141" customFormat="1" ht="15.75" x14ac:dyDescent="0.25">
      <c r="A19" s="133" t="s">
        <v>185</v>
      </c>
      <c r="B19" s="134">
        <v>1.4</v>
      </c>
      <c r="C19" s="135" t="s">
        <v>172</v>
      </c>
      <c r="D19" s="136" t="s">
        <v>172</v>
      </c>
      <c r="E19" s="134">
        <v>1.49</v>
      </c>
      <c r="F19" s="135" t="s">
        <v>172</v>
      </c>
      <c r="G19" s="136" t="s">
        <v>172</v>
      </c>
      <c r="H19" s="134">
        <v>1.6</v>
      </c>
      <c r="I19" s="135" t="s">
        <v>172</v>
      </c>
      <c r="J19" s="136" t="s">
        <v>172</v>
      </c>
      <c r="K19" s="134">
        <v>1.49</v>
      </c>
      <c r="L19" s="135" t="s">
        <v>172</v>
      </c>
      <c r="M19" s="136" t="s">
        <v>172</v>
      </c>
      <c r="N19" s="134">
        <v>0.8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42.05</v>
      </c>
      <c r="C20" s="144" t="s">
        <v>172</v>
      </c>
      <c r="D20" s="145" t="s">
        <v>172</v>
      </c>
      <c r="E20" s="143">
        <v>45.79</v>
      </c>
      <c r="F20" s="144" t="s">
        <v>172</v>
      </c>
      <c r="G20" s="145" t="s">
        <v>172</v>
      </c>
      <c r="H20" s="143">
        <v>50.56</v>
      </c>
      <c r="I20" s="144" t="s">
        <v>172</v>
      </c>
      <c r="J20" s="145" t="s">
        <v>172</v>
      </c>
      <c r="K20" s="143">
        <v>44.81</v>
      </c>
      <c r="L20" s="144" t="s">
        <v>172</v>
      </c>
      <c r="M20" s="145" t="s">
        <v>172</v>
      </c>
      <c r="N20" s="143">
        <v>26.1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41.4</v>
      </c>
      <c r="C21" s="144" t="s">
        <v>172</v>
      </c>
      <c r="D21" s="145" t="s">
        <v>172</v>
      </c>
      <c r="E21" s="143">
        <v>44.58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47.77</v>
      </c>
      <c r="L21" s="144" t="s">
        <v>172</v>
      </c>
      <c r="M21" s="145" t="s">
        <v>172</v>
      </c>
      <c r="N21" s="143">
        <v>26.4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41.13</v>
      </c>
      <c r="C22" s="144" t="s">
        <v>172</v>
      </c>
      <c r="D22" s="145" t="s">
        <v>172</v>
      </c>
      <c r="E22" s="143">
        <v>44.47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43.85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40.67</v>
      </c>
      <c r="C23" s="144" t="s">
        <v>172</v>
      </c>
      <c r="D23" s="145" t="s">
        <v>172</v>
      </c>
      <c r="E23" s="143">
        <v>43.21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44.02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30.75</v>
      </c>
      <c r="C24" s="144" t="s">
        <v>172</v>
      </c>
      <c r="D24" s="145" t="s">
        <v>172</v>
      </c>
      <c r="E24" s="143">
        <v>31.45</v>
      </c>
      <c r="F24" s="144" t="s">
        <v>172</v>
      </c>
      <c r="G24" s="145" t="s">
        <v>172</v>
      </c>
      <c r="H24" s="143">
        <v>37.090000000000003</v>
      </c>
      <c r="I24" s="144" t="s">
        <v>172</v>
      </c>
      <c r="J24" s="145" t="s">
        <v>172</v>
      </c>
      <c r="K24" s="143">
        <v>27.99</v>
      </c>
      <c r="L24" s="144" t="s">
        <v>172</v>
      </c>
      <c r="M24" s="145" t="s">
        <v>172</v>
      </c>
      <c r="N24" s="143">
        <v>16.07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1.327</v>
      </c>
      <c r="F25" s="144" t="s">
        <v>172</v>
      </c>
      <c r="G25" s="145" t="s">
        <v>172</v>
      </c>
      <c r="H25" s="153">
        <v>1.3819999999999999</v>
      </c>
      <c r="I25" s="144" t="s">
        <v>172</v>
      </c>
      <c r="J25" s="145" t="s">
        <v>172</v>
      </c>
      <c r="K25" s="153">
        <v>1.2769999999999999</v>
      </c>
      <c r="L25" s="144" t="s">
        <v>172</v>
      </c>
      <c r="M25" s="145" t="s">
        <v>172</v>
      </c>
      <c r="N25" s="153">
        <v>0.58499999999999996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1.325</v>
      </c>
      <c r="I26" s="144" t="s">
        <v>172</v>
      </c>
      <c r="J26" s="145" t="s">
        <v>172</v>
      </c>
      <c r="K26" s="153">
        <v>1.204</v>
      </c>
      <c r="L26" s="144" t="s">
        <v>172</v>
      </c>
      <c r="M26" s="145" t="s">
        <v>172</v>
      </c>
      <c r="N26" s="153">
        <v>0.62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5.0999999999999996</v>
      </c>
      <c r="F27" s="158" t="s">
        <v>172</v>
      </c>
      <c r="G27" s="159" t="s">
        <v>172</v>
      </c>
      <c r="H27" s="160">
        <v>5.36</v>
      </c>
      <c r="I27" s="158" t="s">
        <v>172</v>
      </c>
      <c r="J27" s="159" t="s">
        <v>172</v>
      </c>
      <c r="K27" s="160">
        <v>5.18</v>
      </c>
      <c r="L27" s="158" t="s">
        <v>172</v>
      </c>
      <c r="M27" s="159" t="s">
        <v>172</v>
      </c>
      <c r="N27" s="160">
        <v>2.5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9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7.4668999999999999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2.1109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2.3997000000000002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5.5548000000000002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3.2164999999999999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43409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0.66128194227953319</v>
      </c>
      <c r="C6" s="103" t="s">
        <v>172</v>
      </c>
      <c r="D6" s="104" t="s">
        <v>172</v>
      </c>
      <c r="E6" s="102">
        <f>E19/$B$32</f>
        <v>0.70379292428321749</v>
      </c>
      <c r="F6" s="103" t="s">
        <v>172</v>
      </c>
      <c r="G6" s="104" t="s">
        <v>172</v>
      </c>
      <c r="H6" s="102">
        <f>H19/$B$32</f>
        <v>0.75575079117660948</v>
      </c>
      <c r="I6" s="103" t="s">
        <v>172</v>
      </c>
      <c r="J6" s="104" t="s">
        <v>172</v>
      </c>
      <c r="K6" s="102">
        <f>K19/$B$32</f>
        <v>0.70379292428321749</v>
      </c>
      <c r="L6" s="103" t="s">
        <v>172</v>
      </c>
      <c r="M6" s="104" t="s">
        <v>172</v>
      </c>
      <c r="N6" s="102">
        <f>N19/$B$32</f>
        <v>0.37787539558830474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0.64175107458315617</v>
      </c>
      <c r="C7" s="107">
        <f>B7-B$6</f>
        <v>-1.9530867696377019E-2</v>
      </c>
      <c r="D7" s="108">
        <f>B7/B$6*100</f>
        <v>97.046514285714309</v>
      </c>
      <c r="E7" s="102">
        <f t="shared" ref="E7:E10" si="0">E20*$B$35/100/$B$32</f>
        <v>0.69799956544329489</v>
      </c>
      <c r="F7" s="107">
        <f>E7-E$6</f>
        <v>-5.7933588399226021E-3</v>
      </c>
      <c r="G7" s="108">
        <f>E7/E$6*100</f>
        <v>99.176837583892606</v>
      </c>
      <c r="H7" s="102">
        <f t="shared" ref="H7:H10" si="1">H20*$B$35/100/$B$32</f>
        <v>0.78747887204194389</v>
      </c>
      <c r="I7" s="107">
        <f t="shared" ref="I7:I14" si="2">H7-H$6</f>
        <v>3.1728080865334407E-2</v>
      </c>
      <c r="J7" s="108">
        <f t="shared" ref="J7:J14" si="3">H7/H$6*100</f>
        <v>104.19821999999996</v>
      </c>
      <c r="K7" s="102">
        <f t="shared" ref="K7:K10" si="4">K20*$B$35/100/$B$32</f>
        <v>0.68824372963015434</v>
      </c>
      <c r="L7" s="107">
        <f t="shared" ref="L7:L14" si="5">K7-K$6</f>
        <v>-1.5549194653063148E-2</v>
      </c>
      <c r="M7" s="108">
        <f t="shared" ref="M7:M14" si="6">K7/K$6*100</f>
        <v>97.790657718120812</v>
      </c>
      <c r="N7" s="102">
        <f t="shared" ref="N7:N10" si="7">N20*$B$35/100/$B$32</f>
        <v>0.39861735392754233</v>
      </c>
      <c r="O7" s="107">
        <f t="shared" ref="O7:O14" si="8">N7-N$6</f>
        <v>2.0741958339237587E-2</v>
      </c>
      <c r="P7" s="108">
        <f t="shared" ref="P7:P14" si="9">N7/N$6*100</f>
        <v>105.48909999999998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0.62955627981673035</v>
      </c>
      <c r="C8" s="107">
        <f t="shared" ref="C8:C11" si="11">B8-B$6</f>
        <v>-3.1725662462802839E-2</v>
      </c>
      <c r="D8" s="108">
        <f t="shared" ref="D8:D11" si="12">B8/B$6*100</f>
        <v>95.202400000000011</v>
      </c>
      <c r="E8" s="102">
        <f t="shared" si="0"/>
        <v>0.68046954796655801</v>
      </c>
      <c r="F8" s="107">
        <f t="shared" ref="F8:F14" si="13">E8-E$6</f>
        <v>-2.3323376316659483E-2</v>
      </c>
      <c r="G8" s="108">
        <f t="shared" ref="G8:G14" si="14">E8/E$6*100</f>
        <v>96.686045637583902</v>
      </c>
      <c r="H8" s="102">
        <f t="shared" si="1"/>
        <v>0.73930943271456229</v>
      </c>
      <c r="I8" s="107">
        <f t="shared" si="2"/>
        <v>-1.6441358462047195E-2</v>
      </c>
      <c r="J8" s="108">
        <f t="shared" si="3"/>
        <v>97.824499999999986</v>
      </c>
      <c r="K8" s="102">
        <f t="shared" si="4"/>
        <v>0.68489016106938727</v>
      </c>
      <c r="L8" s="107">
        <f t="shared" si="5"/>
        <v>-1.890276321383022E-2</v>
      </c>
      <c r="M8" s="108">
        <f t="shared" si="6"/>
        <v>97.314158389261749</v>
      </c>
      <c r="N8" s="102">
        <f t="shared" si="7"/>
        <v>0.39541622030135554</v>
      </c>
      <c r="O8" s="107">
        <f t="shared" si="8"/>
        <v>1.7540824713050795E-2</v>
      </c>
      <c r="P8" s="108">
        <f t="shared" si="9"/>
        <v>104.64195999999998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0.6249832317793208</v>
      </c>
      <c r="C9" s="107">
        <f t="shared" si="11"/>
        <v>-3.6298710500212383E-2</v>
      </c>
      <c r="D9" s="108">
        <f t="shared" si="12"/>
        <v>94.510857142857162</v>
      </c>
      <c r="E9" s="102">
        <f t="shared" si="0"/>
        <v>0.67467702045250566</v>
      </c>
      <c r="F9" s="107">
        <f t="shared" si="13"/>
        <v>-2.9115903830711831E-2</v>
      </c>
      <c r="G9" s="108">
        <f t="shared" si="14"/>
        <v>95.863001342281876</v>
      </c>
      <c r="H9" s="102">
        <f t="shared" si="1"/>
        <v>0.72559028860233332</v>
      </c>
      <c r="I9" s="107">
        <f t="shared" si="2"/>
        <v>-3.016050257427616E-2</v>
      </c>
      <c r="J9" s="108">
        <f t="shared" si="3"/>
        <v>96.009199999999993</v>
      </c>
      <c r="K9" s="102">
        <f t="shared" si="4"/>
        <v>0.6618724859477586</v>
      </c>
      <c r="L9" s="107">
        <f t="shared" si="5"/>
        <v>-4.1920438335458887E-2</v>
      </c>
      <c r="M9" s="108">
        <f t="shared" si="6"/>
        <v>94.043640268456372</v>
      </c>
      <c r="N9" s="102">
        <f t="shared" si="7"/>
        <v>0.39541622030135554</v>
      </c>
      <c r="O9" s="107">
        <f t="shared" si="8"/>
        <v>1.7540824713050795E-2</v>
      </c>
      <c r="P9" s="108">
        <f t="shared" si="9"/>
        <v>104.64195999999998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0.61812365972320615</v>
      </c>
      <c r="C10" s="107">
        <f t="shared" si="11"/>
        <v>-4.3158282556327032E-2</v>
      </c>
      <c r="D10" s="108">
        <f t="shared" si="12"/>
        <v>93.47354285714286</v>
      </c>
      <c r="E10" s="102">
        <f t="shared" si="0"/>
        <v>0.67406728071418442</v>
      </c>
      <c r="F10" s="107">
        <f t="shared" si="13"/>
        <v>-2.9725643569033067E-2</v>
      </c>
      <c r="G10" s="108">
        <f t="shared" si="14"/>
        <v>95.776365100671143</v>
      </c>
      <c r="H10" s="102">
        <f t="shared" si="1"/>
        <v>0.76065032355580731</v>
      </c>
      <c r="I10" s="107">
        <f t="shared" si="2"/>
        <v>4.899532379197824E-3</v>
      </c>
      <c r="J10" s="108">
        <f t="shared" si="3"/>
        <v>100.64829999999998</v>
      </c>
      <c r="K10" s="102">
        <f t="shared" si="4"/>
        <v>0.66736014359265028</v>
      </c>
      <c r="L10" s="107">
        <f t="shared" si="5"/>
        <v>-3.6432780690567212E-2</v>
      </c>
      <c r="M10" s="108">
        <f t="shared" si="6"/>
        <v>94.823366442953031</v>
      </c>
      <c r="N10" s="102">
        <f t="shared" si="7"/>
        <v>0.36431949364696981</v>
      </c>
      <c r="O10" s="107">
        <f t="shared" si="8"/>
        <v>-1.3555901941334936E-2</v>
      </c>
      <c r="P10" s="108">
        <f t="shared" si="9"/>
        <v>96.412599999999969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1.0841899296207076</v>
      </c>
      <c r="C11" s="107">
        <f t="shared" si="11"/>
        <v>0.42290798734117441</v>
      </c>
      <c r="D11" s="108">
        <f t="shared" si="12"/>
        <v>163.95275000000004</v>
      </c>
      <c r="E11" s="102">
        <f>E24*$B$31/100/$B$32</f>
        <v>1.1090729771857726</v>
      </c>
      <c r="F11" s="107">
        <f t="shared" si="13"/>
        <v>0.40528005290255509</v>
      </c>
      <c r="G11" s="108">
        <f t="shared" si="14"/>
        <v>157.5851275167785</v>
      </c>
      <c r="H11" s="102">
        <f>H24*$B$31/100/$B$32</f>
        <v>1.2988950828964148</v>
      </c>
      <c r="I11" s="107">
        <f t="shared" si="2"/>
        <v>0.54314429171980527</v>
      </c>
      <c r="J11" s="108">
        <f t="shared" si="3"/>
        <v>171.86817374999998</v>
      </c>
      <c r="K11" s="102">
        <f>K24*$B$31/100/$B$32</f>
        <v>0.99496643049454414</v>
      </c>
      <c r="L11" s="107">
        <f t="shared" si="5"/>
        <v>0.29117350621132665</v>
      </c>
      <c r="M11" s="108">
        <f t="shared" si="6"/>
        <v>141.37204228187917</v>
      </c>
      <c r="N11" s="102">
        <f>N24*$B$31/100/$B$32</f>
        <v>0.58368520145482028</v>
      </c>
      <c r="O11" s="107">
        <f t="shared" si="8"/>
        <v>0.20580980586651554</v>
      </c>
      <c r="P11" s="108">
        <f t="shared" si="9"/>
        <v>154.46499250000002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1.505862689528128</v>
      </c>
      <c r="F12" s="107">
        <f t="shared" si="13"/>
        <v>0.80206976524491047</v>
      </c>
      <c r="G12" s="108">
        <f t="shared" si="14"/>
        <v>213.9638859060403</v>
      </c>
      <c r="H12" s="102">
        <f t="shared" ref="H12:H13" si="15">H25*$B$33/$B$32</f>
        <v>1.568749893722545</v>
      </c>
      <c r="I12" s="107">
        <f t="shared" si="2"/>
        <v>0.81299910254593555</v>
      </c>
      <c r="J12" s="108">
        <f t="shared" si="3"/>
        <v>207.57502500000001</v>
      </c>
      <c r="K12" s="102">
        <f t="shared" ref="K12:K13" si="16">K25*$B$33/$B$32</f>
        <v>1.471560578149355</v>
      </c>
      <c r="L12" s="107">
        <f t="shared" si="5"/>
        <v>0.76776765386613754</v>
      </c>
      <c r="M12" s="108">
        <f t="shared" si="6"/>
        <v>209.08999328859062</v>
      </c>
      <c r="N12" s="102">
        <f t="shared" ref="N12:N13" si="17">N25*$B$33/$B$32</f>
        <v>0.68032520901232807</v>
      </c>
      <c r="O12" s="107">
        <f t="shared" si="8"/>
        <v>0.30244981342402333</v>
      </c>
      <c r="P12" s="108">
        <f t="shared" si="9"/>
        <v>180.03956249999996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1.3080538472438712</v>
      </c>
      <c r="F13" s="107">
        <f t="shared" si="13"/>
        <v>0.6042609229606537</v>
      </c>
      <c r="G13" s="108">
        <f t="shared" si="14"/>
        <v>185.85777181208053</v>
      </c>
      <c r="H13" s="102">
        <f t="shared" si="15"/>
        <v>1.4349716593453308</v>
      </c>
      <c r="I13" s="107">
        <f t="shared" si="2"/>
        <v>0.67922086816872129</v>
      </c>
      <c r="J13" s="108">
        <f t="shared" si="3"/>
        <v>189.87365624999998</v>
      </c>
      <c r="K13" s="102">
        <f t="shared" si="16"/>
        <v>1.2851857729913563</v>
      </c>
      <c r="L13" s="107">
        <f t="shared" si="5"/>
        <v>0.58139284870813879</v>
      </c>
      <c r="M13" s="108">
        <f t="shared" si="6"/>
        <v>182.60851006711417</v>
      </c>
      <c r="N13" s="102">
        <f t="shared" si="17"/>
        <v>0.70891030182797221</v>
      </c>
      <c r="O13" s="107">
        <f t="shared" si="8"/>
        <v>0.33103490623966747</v>
      </c>
      <c r="P13" s="108">
        <f t="shared" si="9"/>
        <v>187.60425000000001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1.3407445089981578</v>
      </c>
      <c r="F14" s="119">
        <f t="shared" si="13"/>
        <v>0.63695158471494029</v>
      </c>
      <c r="G14" s="120">
        <f t="shared" si="14"/>
        <v>190.5026979865772</v>
      </c>
      <c r="H14" s="118">
        <f>H27*$B$34/10/$B$32</f>
        <v>1.3962783052288508</v>
      </c>
      <c r="I14" s="119">
        <f t="shared" si="2"/>
        <v>0.64052751405224129</v>
      </c>
      <c r="J14" s="120">
        <f t="shared" si="3"/>
        <v>184.75380000000001</v>
      </c>
      <c r="K14" s="118">
        <f>K27*$B$34/10/$B$32</f>
        <v>1.3883449057673229</v>
      </c>
      <c r="L14" s="119">
        <f t="shared" si="5"/>
        <v>0.68455198148410545</v>
      </c>
      <c r="M14" s="120">
        <f t="shared" si="6"/>
        <v>197.26610738255033</v>
      </c>
      <c r="N14" s="118">
        <f>N27*$B$34/10/$B$32</f>
        <v>0.66905002125549096</v>
      </c>
      <c r="O14" s="119">
        <f t="shared" si="8"/>
        <v>0.29117462566718622</v>
      </c>
      <c r="P14" s="120">
        <f t="shared" si="9"/>
        <v>177.055725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70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70" t="s">
        <v>214</v>
      </c>
    </row>
    <row r="19" spans="1:23" s="141" customFormat="1" ht="15.75" x14ac:dyDescent="0.25">
      <c r="A19" s="133" t="s">
        <v>185</v>
      </c>
      <c r="B19" s="134">
        <v>1.4</v>
      </c>
      <c r="C19" s="135" t="s">
        <v>172</v>
      </c>
      <c r="D19" s="136" t="s">
        <v>172</v>
      </c>
      <c r="E19" s="134">
        <v>1.49</v>
      </c>
      <c r="F19" s="135" t="s">
        <v>172</v>
      </c>
      <c r="G19" s="136" t="s">
        <v>172</v>
      </c>
      <c r="H19" s="134">
        <v>1.6</v>
      </c>
      <c r="I19" s="135" t="s">
        <v>172</v>
      </c>
      <c r="J19" s="136" t="s">
        <v>172</v>
      </c>
      <c r="K19" s="134">
        <v>1.49</v>
      </c>
      <c r="L19" s="135" t="s">
        <v>172</v>
      </c>
      <c r="M19" s="136" t="s">
        <v>172</v>
      </c>
      <c r="N19" s="134">
        <v>0.8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42.1</v>
      </c>
      <c r="C20" s="144" t="s">
        <v>172</v>
      </c>
      <c r="D20" s="145" t="s">
        <v>172</v>
      </c>
      <c r="E20" s="143">
        <v>45.79</v>
      </c>
      <c r="F20" s="144" t="s">
        <v>172</v>
      </c>
      <c r="G20" s="145" t="s">
        <v>172</v>
      </c>
      <c r="H20" s="143">
        <v>51.66</v>
      </c>
      <c r="I20" s="144" t="s">
        <v>172</v>
      </c>
      <c r="J20" s="145" t="s">
        <v>172</v>
      </c>
      <c r="K20" s="143">
        <v>45.15</v>
      </c>
      <c r="L20" s="144" t="s">
        <v>172</v>
      </c>
      <c r="M20" s="145" t="s">
        <v>172</v>
      </c>
      <c r="N20" s="143">
        <v>26.15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41.3</v>
      </c>
      <c r="C21" s="144" t="s">
        <v>172</v>
      </c>
      <c r="D21" s="145" t="s">
        <v>172</v>
      </c>
      <c r="E21" s="143">
        <v>44.64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44.93</v>
      </c>
      <c r="L21" s="144" t="s">
        <v>172</v>
      </c>
      <c r="M21" s="145" t="s">
        <v>172</v>
      </c>
      <c r="N21" s="143">
        <v>25.94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</v>
      </c>
      <c r="C22" s="144" t="s">
        <v>172</v>
      </c>
      <c r="D22" s="145" t="s">
        <v>172</v>
      </c>
      <c r="E22" s="143">
        <v>44.26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43.42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40.549999999999997</v>
      </c>
      <c r="C23" s="144" t="s">
        <v>172</v>
      </c>
      <c r="D23" s="145" t="s">
        <v>172</v>
      </c>
      <c r="E23" s="143">
        <v>44.22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43.78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30.5</v>
      </c>
      <c r="C24" s="144" t="s">
        <v>172</v>
      </c>
      <c r="D24" s="145" t="s">
        <v>172</v>
      </c>
      <c r="E24" s="143">
        <v>31.2</v>
      </c>
      <c r="F24" s="144" t="s">
        <v>172</v>
      </c>
      <c r="G24" s="145" t="s">
        <v>172</v>
      </c>
      <c r="H24" s="143">
        <v>36.54</v>
      </c>
      <c r="I24" s="144" t="s">
        <v>172</v>
      </c>
      <c r="J24" s="145" t="s">
        <v>172</v>
      </c>
      <c r="K24" s="143">
        <v>27.99</v>
      </c>
      <c r="L24" s="144" t="s">
        <v>172</v>
      </c>
      <c r="M24" s="145" t="s">
        <v>172</v>
      </c>
      <c r="N24" s="143">
        <v>16.420000000000002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1.3169999999999999</v>
      </c>
      <c r="F25" s="144" t="s">
        <v>172</v>
      </c>
      <c r="G25" s="145" t="s">
        <v>172</v>
      </c>
      <c r="H25" s="153">
        <v>1.3720000000000001</v>
      </c>
      <c r="I25" s="144" t="s">
        <v>172</v>
      </c>
      <c r="J25" s="145" t="s">
        <v>172</v>
      </c>
      <c r="K25" s="153">
        <v>1.2869999999999999</v>
      </c>
      <c r="L25" s="144" t="s">
        <v>172</v>
      </c>
      <c r="M25" s="145" t="s">
        <v>172</v>
      </c>
      <c r="N25" s="153">
        <v>0.59499999999999997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1.1439999999999999</v>
      </c>
      <c r="F26" s="144" t="s">
        <v>172</v>
      </c>
      <c r="G26" s="145" t="s">
        <v>172</v>
      </c>
      <c r="H26" s="153">
        <v>1.2549999999999999</v>
      </c>
      <c r="I26" s="144" t="s">
        <v>172</v>
      </c>
      <c r="J26" s="145" t="s">
        <v>172</v>
      </c>
      <c r="K26" s="153">
        <v>1.1240000000000001</v>
      </c>
      <c r="L26" s="144" t="s">
        <v>172</v>
      </c>
      <c r="M26" s="145" t="s">
        <v>172</v>
      </c>
      <c r="N26" s="153">
        <v>0.62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5.07</v>
      </c>
      <c r="F27" s="158" t="s">
        <v>172</v>
      </c>
      <c r="G27" s="159" t="s">
        <v>172</v>
      </c>
      <c r="H27" s="160">
        <v>5.28</v>
      </c>
      <c r="I27" s="158" t="s">
        <v>172</v>
      </c>
      <c r="J27" s="159" t="s">
        <v>172</v>
      </c>
      <c r="K27" s="160">
        <v>5.25</v>
      </c>
      <c r="L27" s="158" t="s">
        <v>172</v>
      </c>
      <c r="M27" s="159" t="s">
        <v>172</v>
      </c>
      <c r="N27" s="160">
        <v>2.5299999999999998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9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7.5256999999999996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2.1171000000000002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2.4207000000000001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5.5986000000000002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3.2271999999999998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43416</v>
      </c>
      <c r="E2" s="493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0.65792543511735335</v>
      </c>
      <c r="C6" s="103" t="s">
        <v>172</v>
      </c>
      <c r="D6" s="104" t="s">
        <v>172</v>
      </c>
      <c r="E6" s="102">
        <f>E19/$B$32</f>
        <v>0.69992067565675886</v>
      </c>
      <c r="F6" s="103" t="s">
        <v>172</v>
      </c>
      <c r="G6" s="104" t="s">
        <v>172</v>
      </c>
      <c r="H6" s="102">
        <f>H19/$B$32</f>
        <v>0.75124819187158798</v>
      </c>
      <c r="I6" s="103" t="s">
        <v>172</v>
      </c>
      <c r="J6" s="104" t="s">
        <v>172</v>
      </c>
      <c r="K6" s="102">
        <f>K19/$B$32</f>
        <v>0.69992067565675886</v>
      </c>
      <c r="L6" s="103" t="s">
        <v>172</v>
      </c>
      <c r="M6" s="104" t="s">
        <v>172</v>
      </c>
      <c r="N6" s="102">
        <f>N19/$B$32</f>
        <v>0.37329102701693812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0.62200295833138908</v>
      </c>
      <c r="C7" s="107">
        <f>B7-B$6</f>
        <v>-3.5922476785964275E-2</v>
      </c>
      <c r="D7" s="108">
        <f>B7/B$6*100</f>
        <v>94.540038297872343</v>
      </c>
      <c r="E7" s="102">
        <f t="shared" ref="E7:E10" si="0">E20*$B$35/100/$B$32</f>
        <v>0.67636711306051966</v>
      </c>
      <c r="F7" s="107">
        <f>E7-E$6</f>
        <v>-2.3553562596239197E-2</v>
      </c>
      <c r="G7" s="108">
        <f>E7/E$6*100</f>
        <v>96.634823999999981</v>
      </c>
      <c r="H7" s="102">
        <f t="shared" ref="H7:H10" si="1">H20*$B$35/100/$B$32</f>
        <v>0.73858222201483825</v>
      </c>
      <c r="I7" s="107">
        <f t="shared" ref="I7:I14" si="2">H7-H$6</f>
        <v>-1.2665969856749726E-2</v>
      </c>
      <c r="J7" s="108">
        <f t="shared" ref="J7:J14" si="3">H7/H$6*100</f>
        <v>98.314009937888187</v>
      </c>
      <c r="K7" s="102">
        <f t="shared" ref="K7:K10" si="4">K20*$B$35/100/$B$32</f>
        <v>0.66303530399888011</v>
      </c>
      <c r="L7" s="107">
        <f t="shared" ref="L7:L14" si="5">K7-K$6</f>
        <v>-3.6885371657878752E-2</v>
      </c>
      <c r="M7" s="108">
        <f t="shared" ref="M7:M14" si="6">K7/K$6*100</f>
        <v>94.730063999999999</v>
      </c>
      <c r="N7" s="102">
        <f t="shared" ref="N7:N10" si="7">N20*$B$35/100/$B$32</f>
        <v>0.38958508702347067</v>
      </c>
      <c r="O7" s="107">
        <f t="shared" ref="O7:O14" si="8">N7-N$6</f>
        <v>1.6294060006532551E-2</v>
      </c>
      <c r="P7" s="108">
        <f t="shared" ref="P7:P14" si="9">N7/N$6*100</f>
        <v>104.36497499999999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0.6110412486584853</v>
      </c>
      <c r="C8" s="107">
        <f t="shared" ref="C8:C11" si="11">B8-B$6</f>
        <v>-4.6884186458868049E-2</v>
      </c>
      <c r="D8" s="108">
        <f t="shared" ref="D8:D11" si="12">B8/B$6*100</f>
        <v>92.873936170212758</v>
      </c>
      <c r="E8" s="102">
        <f t="shared" si="0"/>
        <v>0.65755444916242822</v>
      </c>
      <c r="F8" s="107">
        <f t="shared" ref="F8:F14" si="13">E8-E$6</f>
        <v>-4.2366226494330639E-2</v>
      </c>
      <c r="G8" s="108">
        <f t="shared" ref="G8:G14" si="14">E8/E$6*100</f>
        <v>93.946995999999999</v>
      </c>
      <c r="H8" s="102">
        <f t="shared" si="1"/>
        <v>0.71843637721058273</v>
      </c>
      <c r="I8" s="107">
        <f t="shared" si="2"/>
        <v>-3.2811814661005245E-2</v>
      </c>
      <c r="J8" s="108">
        <f t="shared" si="3"/>
        <v>95.632360248447185</v>
      </c>
      <c r="K8" s="102">
        <f t="shared" si="4"/>
        <v>0.66807176519994405</v>
      </c>
      <c r="L8" s="107">
        <f t="shared" si="5"/>
        <v>-3.1848910456814816E-2</v>
      </c>
      <c r="M8" s="108">
        <f t="shared" si="6"/>
        <v>95.449640000000016</v>
      </c>
      <c r="N8" s="102">
        <f t="shared" si="7"/>
        <v>0.38425236339881486</v>
      </c>
      <c r="O8" s="107">
        <f t="shared" si="8"/>
        <v>1.0961336381876741E-2</v>
      </c>
      <c r="P8" s="108">
        <f t="shared" si="9"/>
        <v>102.93640500000001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0.60733796836358556</v>
      </c>
      <c r="C9" s="107">
        <f t="shared" si="11"/>
        <v>-5.0587466753767796E-2</v>
      </c>
      <c r="D9" s="108">
        <f t="shared" si="12"/>
        <v>92.311063829787258</v>
      </c>
      <c r="E9" s="102">
        <f t="shared" si="0"/>
        <v>0.65562874340908028</v>
      </c>
      <c r="F9" s="107">
        <f t="shared" si="13"/>
        <v>-4.4291932247678578E-2</v>
      </c>
      <c r="G9" s="108">
        <f t="shared" si="14"/>
        <v>93.671863999999999</v>
      </c>
      <c r="H9" s="102">
        <f t="shared" si="1"/>
        <v>0.70510456814894318</v>
      </c>
      <c r="I9" s="107">
        <f t="shared" si="2"/>
        <v>-4.61436237226448E-2</v>
      </c>
      <c r="J9" s="108">
        <f t="shared" si="3"/>
        <v>93.85773913043478</v>
      </c>
      <c r="K9" s="102">
        <f t="shared" si="4"/>
        <v>0.64318572161821652</v>
      </c>
      <c r="L9" s="107">
        <f t="shared" si="5"/>
        <v>-5.673495403854234E-2</v>
      </c>
      <c r="M9" s="108">
        <f t="shared" si="6"/>
        <v>91.894087999999996</v>
      </c>
      <c r="N9" s="102">
        <f t="shared" si="7"/>
        <v>0.38425236339881486</v>
      </c>
      <c r="O9" s="107">
        <f t="shared" si="8"/>
        <v>1.0961336381876741E-2</v>
      </c>
      <c r="P9" s="108">
        <f t="shared" si="9"/>
        <v>102.93640500000001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0.60096832625635765</v>
      </c>
      <c r="C10" s="107">
        <f t="shared" si="11"/>
        <v>-5.6957108860995698E-2</v>
      </c>
      <c r="D10" s="108">
        <f t="shared" si="12"/>
        <v>91.34292340425533</v>
      </c>
      <c r="E10" s="102">
        <f t="shared" si="0"/>
        <v>0.65311051280854848</v>
      </c>
      <c r="F10" s="107">
        <f t="shared" si="13"/>
        <v>-4.6810162848210379E-2</v>
      </c>
      <c r="G10" s="108">
        <f t="shared" si="14"/>
        <v>93.312076000000019</v>
      </c>
      <c r="H10" s="102">
        <f t="shared" si="1"/>
        <v>0.73917474686202223</v>
      </c>
      <c r="I10" s="107">
        <f t="shared" si="2"/>
        <v>-1.2073445009565753E-2</v>
      </c>
      <c r="J10" s="108">
        <f t="shared" si="3"/>
        <v>98.392881987577624</v>
      </c>
      <c r="K10" s="102">
        <f t="shared" si="4"/>
        <v>0.65133293826699634</v>
      </c>
      <c r="L10" s="107">
        <f t="shared" si="5"/>
        <v>-4.858773738976252E-2</v>
      </c>
      <c r="M10" s="108">
        <f t="shared" si="6"/>
        <v>93.05810799999999</v>
      </c>
      <c r="N10" s="102">
        <f t="shared" si="7"/>
        <v>0.35403359619243147</v>
      </c>
      <c r="O10" s="107">
        <f t="shared" si="8"/>
        <v>-1.9257430824506649E-2</v>
      </c>
      <c r="P10" s="108">
        <f t="shared" si="9"/>
        <v>94.841174999999978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1.0838395315197613</v>
      </c>
      <c r="C11" s="107">
        <f t="shared" si="11"/>
        <v>0.42591409640240796</v>
      </c>
      <c r="D11" s="108">
        <f t="shared" si="12"/>
        <v>164.73592198581565</v>
      </c>
      <c r="E11" s="102">
        <f>E24*$B$31/100/$B$32</f>
        <v>1.1089201157202184</v>
      </c>
      <c r="F11" s="107">
        <f t="shared" si="13"/>
        <v>0.40899944006345956</v>
      </c>
      <c r="G11" s="108">
        <f t="shared" si="14"/>
        <v>158.43511333333336</v>
      </c>
      <c r="H11" s="102">
        <f>H24*$B$31/100/$B$32</f>
        <v>1.2984576734636741</v>
      </c>
      <c r="I11" s="107">
        <f t="shared" si="2"/>
        <v>0.54720948159208616</v>
      </c>
      <c r="J11" s="108">
        <f t="shared" si="3"/>
        <v>172.84003975155278</v>
      </c>
      <c r="K11" s="102">
        <f>K24*$B$31/100/$B$32</f>
        <v>0.99749066305818679</v>
      </c>
      <c r="L11" s="107">
        <f t="shared" si="5"/>
        <v>0.29756998740142793</v>
      </c>
      <c r="M11" s="108">
        <f t="shared" si="6"/>
        <v>142.51481600000002</v>
      </c>
      <c r="N11" s="102">
        <f>N24*$B$31/100/$B$32</f>
        <v>0.58652737623069395</v>
      </c>
      <c r="O11" s="107">
        <f t="shared" si="8"/>
        <v>0.21323634921375584</v>
      </c>
      <c r="P11" s="108">
        <f t="shared" si="9"/>
        <v>157.12335250000001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1.4728830665857868</v>
      </c>
      <c r="F12" s="107">
        <f t="shared" si="13"/>
        <v>0.77296239092902796</v>
      </c>
      <c r="G12" s="108">
        <f t="shared" si="14"/>
        <v>210.4357133333333</v>
      </c>
      <c r="H12" s="102">
        <f t="shared" ref="H12:H13" si="15">H25*$B$33/$B$32</f>
        <v>1.5348636087910037</v>
      </c>
      <c r="I12" s="107">
        <f t="shared" si="2"/>
        <v>0.78361541691941572</v>
      </c>
      <c r="J12" s="108">
        <f t="shared" si="3"/>
        <v>204.30845962732914</v>
      </c>
      <c r="K12" s="102">
        <f t="shared" ref="K12:K13" si="16">K25*$B$33/$B$32</f>
        <v>1.4503446876020716</v>
      </c>
      <c r="L12" s="107">
        <f t="shared" si="5"/>
        <v>0.75042401194531272</v>
      </c>
      <c r="M12" s="108">
        <f t="shared" si="6"/>
        <v>207.21557999999999</v>
      </c>
      <c r="N12" s="102">
        <f t="shared" ref="N12:N13" si="17">N25*$B$33/$B$32</f>
        <v>0.67051677476552651</v>
      </c>
      <c r="O12" s="107">
        <f t="shared" si="8"/>
        <v>0.2972257477485884</v>
      </c>
      <c r="P12" s="108">
        <f t="shared" si="9"/>
        <v>179.62306249999997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1.3455412253277961</v>
      </c>
      <c r="F13" s="107">
        <f t="shared" si="13"/>
        <v>0.64562054967103721</v>
      </c>
      <c r="G13" s="108">
        <f t="shared" si="14"/>
        <v>192.24196000000001</v>
      </c>
      <c r="H13" s="102">
        <f t="shared" si="15"/>
        <v>1.5044367971629879</v>
      </c>
      <c r="I13" s="107">
        <f t="shared" si="2"/>
        <v>0.75318860529139997</v>
      </c>
      <c r="J13" s="108">
        <f t="shared" si="3"/>
        <v>200.25829192546581</v>
      </c>
      <c r="K13" s="102">
        <f t="shared" si="16"/>
        <v>1.3342720358359383</v>
      </c>
      <c r="L13" s="107">
        <f t="shared" si="5"/>
        <v>0.63435136017917948</v>
      </c>
      <c r="M13" s="108">
        <f t="shared" si="6"/>
        <v>190.6318933333333</v>
      </c>
      <c r="N13" s="102">
        <f t="shared" si="17"/>
        <v>0.69080131585087023</v>
      </c>
      <c r="O13" s="107">
        <f t="shared" si="8"/>
        <v>0.31751028883393212</v>
      </c>
      <c r="P13" s="108">
        <f t="shared" si="9"/>
        <v>185.05703749999998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1.3278853063319493</v>
      </c>
      <c r="F14" s="119">
        <f t="shared" si="13"/>
        <v>0.62796463067519048</v>
      </c>
      <c r="G14" s="120">
        <f t="shared" si="14"/>
        <v>189.71940000000004</v>
      </c>
      <c r="H14" s="118">
        <f>H27*$B$34/10/$B$32</f>
        <v>1.3933628855396389</v>
      </c>
      <c r="I14" s="119">
        <f t="shared" si="2"/>
        <v>0.64211469366805096</v>
      </c>
      <c r="J14" s="120">
        <f t="shared" si="3"/>
        <v>185.47304347826085</v>
      </c>
      <c r="K14" s="118">
        <f>K27*$B$34/10/$B$32</f>
        <v>1.3828864728664088</v>
      </c>
      <c r="L14" s="119">
        <f t="shared" si="5"/>
        <v>0.68296579720964989</v>
      </c>
      <c r="M14" s="120">
        <f t="shared" si="6"/>
        <v>197.57760000000005</v>
      </c>
      <c r="N14" s="118">
        <f>N27*$B$34/10/$B$32</f>
        <v>0.66001399841351316</v>
      </c>
      <c r="O14" s="119">
        <f t="shared" si="8"/>
        <v>0.28672297139657504</v>
      </c>
      <c r="P14" s="120">
        <f t="shared" si="9"/>
        <v>176.80949999999999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170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170" t="s">
        <v>214</v>
      </c>
    </row>
    <row r="19" spans="1:23" s="141" customFormat="1" ht="15.75" x14ac:dyDescent="0.25">
      <c r="A19" s="133" t="s">
        <v>185</v>
      </c>
      <c r="B19" s="134">
        <v>1.41</v>
      </c>
      <c r="C19" s="135" t="s">
        <v>172</v>
      </c>
      <c r="D19" s="136" t="s">
        <v>172</v>
      </c>
      <c r="E19" s="134">
        <v>1.5</v>
      </c>
      <c r="F19" s="135" t="s">
        <v>172</v>
      </c>
      <c r="G19" s="136" t="s">
        <v>172</v>
      </c>
      <c r="H19" s="134">
        <v>1.61</v>
      </c>
      <c r="I19" s="135" t="s">
        <v>172</v>
      </c>
      <c r="J19" s="136" t="s">
        <v>172</v>
      </c>
      <c r="K19" s="134">
        <v>1.5</v>
      </c>
      <c r="L19" s="135" t="s">
        <v>172</v>
      </c>
      <c r="M19" s="136" t="s">
        <v>172</v>
      </c>
      <c r="N19" s="134">
        <v>0.8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41.99</v>
      </c>
      <c r="C20" s="144" t="s">
        <v>172</v>
      </c>
      <c r="D20" s="145" t="s">
        <v>172</v>
      </c>
      <c r="E20" s="143">
        <v>45.66</v>
      </c>
      <c r="F20" s="144" t="s">
        <v>172</v>
      </c>
      <c r="G20" s="145" t="s">
        <v>172</v>
      </c>
      <c r="H20" s="143">
        <v>49.86</v>
      </c>
      <c r="I20" s="144" t="s">
        <v>172</v>
      </c>
      <c r="J20" s="145" t="s">
        <v>172</v>
      </c>
      <c r="K20" s="143">
        <v>44.76</v>
      </c>
      <c r="L20" s="144" t="s">
        <v>172</v>
      </c>
      <c r="M20" s="145" t="s">
        <v>172</v>
      </c>
      <c r="N20" s="143">
        <v>26.3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41.25</v>
      </c>
      <c r="C21" s="144" t="s">
        <v>172</v>
      </c>
      <c r="D21" s="145" t="s">
        <v>172</v>
      </c>
      <c r="E21" s="143">
        <v>44.39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45.1</v>
      </c>
      <c r="L21" s="144" t="s">
        <v>172</v>
      </c>
      <c r="M21" s="145" t="s">
        <v>172</v>
      </c>
      <c r="N21" s="143">
        <v>25.94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</v>
      </c>
      <c r="C22" s="144" t="s">
        <v>172</v>
      </c>
      <c r="D22" s="145" t="s">
        <v>172</v>
      </c>
      <c r="E22" s="143">
        <v>44.26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43.42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40.57</v>
      </c>
      <c r="C23" s="144" t="s">
        <v>172</v>
      </c>
      <c r="D23" s="145" t="s">
        <v>172</v>
      </c>
      <c r="E23" s="143">
        <v>44.09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43.97</v>
      </c>
      <c r="L23" s="144" t="s">
        <v>172</v>
      </c>
      <c r="M23" s="145" t="s">
        <v>172</v>
      </c>
      <c r="N23" s="143">
        <v>23.9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30.25</v>
      </c>
      <c r="C24" s="144" t="s">
        <v>172</v>
      </c>
      <c r="D24" s="145" t="s">
        <v>172</v>
      </c>
      <c r="E24" s="143">
        <v>30.95</v>
      </c>
      <c r="F24" s="144" t="s">
        <v>172</v>
      </c>
      <c r="G24" s="145" t="s">
        <v>172</v>
      </c>
      <c r="H24" s="143">
        <v>36.24</v>
      </c>
      <c r="I24" s="144" t="s">
        <v>172</v>
      </c>
      <c r="J24" s="145" t="s">
        <v>172</v>
      </c>
      <c r="K24" s="143">
        <v>27.84</v>
      </c>
      <c r="L24" s="144" t="s">
        <v>172</v>
      </c>
      <c r="M24" s="145" t="s">
        <v>172</v>
      </c>
      <c r="N24" s="143">
        <v>16.37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1.3069999999999999</v>
      </c>
      <c r="F25" s="144" t="s">
        <v>172</v>
      </c>
      <c r="G25" s="145" t="s">
        <v>172</v>
      </c>
      <c r="H25" s="153">
        <v>1.3620000000000001</v>
      </c>
      <c r="I25" s="144" t="s">
        <v>172</v>
      </c>
      <c r="J25" s="145" t="s">
        <v>172</v>
      </c>
      <c r="K25" s="153">
        <v>1.2869999999999999</v>
      </c>
      <c r="L25" s="144" t="s">
        <v>172</v>
      </c>
      <c r="M25" s="145" t="s">
        <v>172</v>
      </c>
      <c r="N25" s="153">
        <v>0.59499999999999997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1.194</v>
      </c>
      <c r="F26" s="144" t="s">
        <v>172</v>
      </c>
      <c r="G26" s="145" t="s">
        <v>172</v>
      </c>
      <c r="H26" s="153">
        <v>1.335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0.61299999999999999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5.07</v>
      </c>
      <c r="F27" s="158" t="s">
        <v>172</v>
      </c>
      <c r="G27" s="159" t="s">
        <v>172</v>
      </c>
      <c r="H27" s="160">
        <v>5.32</v>
      </c>
      <c r="I27" s="158" t="s">
        <v>172</v>
      </c>
      <c r="J27" s="159" t="s">
        <v>172</v>
      </c>
      <c r="K27" s="160">
        <v>5.28</v>
      </c>
      <c r="L27" s="158" t="s">
        <v>172</v>
      </c>
      <c r="M27" s="159" t="s">
        <v>172</v>
      </c>
      <c r="N27" s="160">
        <v>2.52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169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7.6786000000000003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2.1431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2.4150999999999998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5.6130000000000004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3.1745999999999999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 display="www.nbrb.by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43423</v>
      </c>
      <c r="E2" s="493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5"/>
      <c r="R2" s="21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0.67432804634818122</v>
      </c>
      <c r="C6" s="103" t="s">
        <v>172</v>
      </c>
      <c r="D6" s="104" t="s">
        <v>172</v>
      </c>
      <c r="E6" s="102">
        <f>E19/$B$32</f>
        <v>0.71706714787729131</v>
      </c>
      <c r="F6" s="103" t="s">
        <v>172</v>
      </c>
      <c r="G6" s="104" t="s">
        <v>172</v>
      </c>
      <c r="H6" s="102">
        <f>H19/$B$32</f>
        <v>0.76930382752398152</v>
      </c>
      <c r="I6" s="103" t="s">
        <v>172</v>
      </c>
      <c r="J6" s="104" t="s">
        <v>172</v>
      </c>
      <c r="K6" s="102">
        <f>K19/$B$32</f>
        <v>0.71706714787729131</v>
      </c>
      <c r="L6" s="103" t="s">
        <v>172</v>
      </c>
      <c r="M6" s="104" t="s">
        <v>172</v>
      </c>
      <c r="N6" s="102">
        <f>N19/$B$32</f>
        <v>0.38465191376199076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0.63687674992876819</v>
      </c>
      <c r="C7" s="107">
        <f>B7-B$6</f>
        <v>-3.7451296419413027E-2</v>
      </c>
      <c r="D7" s="108">
        <f>B7/B$6*100</f>
        <v>94.446130985915502</v>
      </c>
      <c r="E7" s="102">
        <f t="shared" ref="E7:E10" si="0">E20*$B$35/100/$B$32</f>
        <v>0.69209903124703198</v>
      </c>
      <c r="F7" s="107">
        <f>E7-E$6</f>
        <v>-2.4968116630259329E-2</v>
      </c>
      <c r="G7" s="108">
        <f>E7/E$6*100</f>
        <v>96.518022516556286</v>
      </c>
      <c r="H7" s="102">
        <f t="shared" ref="H7:H10" si="1">H20*$B$35/100/$B$32</f>
        <v>0.75718243422927156</v>
      </c>
      <c r="I7" s="107">
        <f t="shared" ref="I7:I14" si="2">H7-H$6</f>
        <v>-1.2121393294709959E-2</v>
      </c>
      <c r="J7" s="108">
        <f t="shared" ref="J7:J14" si="3">H7/H$6*100</f>
        <v>98.424368518518506</v>
      </c>
      <c r="K7" s="102">
        <f t="shared" ref="K7:K10" si="4">K20*$B$35/100/$B$32</f>
        <v>0.68891313040174762</v>
      </c>
      <c r="L7" s="107">
        <f t="shared" ref="L7:L14" si="5">K7-K$6</f>
        <v>-2.8154017475543691E-2</v>
      </c>
      <c r="M7" s="108">
        <f t="shared" ref="M7:M14" si="6">K7/K$6*100</f>
        <v>96.073726490066235</v>
      </c>
      <c r="N7" s="102">
        <f t="shared" ref="N7:N10" si="7">N20*$B$35/100/$B$32</f>
        <v>0.39611367176370033</v>
      </c>
      <c r="O7" s="107">
        <f t="shared" ref="O7:O14" si="8">N7-N$6</f>
        <v>1.1461758001709565E-2</v>
      </c>
      <c r="P7" s="108">
        <f t="shared" ref="P7:P14" si="9">N7/N$6*100</f>
        <v>102.97977407407409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0.62549853262418087</v>
      </c>
      <c r="C8" s="107">
        <f t="shared" ref="C8:C11" si="11">B8-B$6</f>
        <v>-4.8829513724000351E-2</v>
      </c>
      <c r="D8" s="108">
        <f t="shared" ref="D8:D11" si="12">B8/B$6*100</f>
        <v>92.758789436619722</v>
      </c>
      <c r="E8" s="102">
        <f t="shared" si="0"/>
        <v>0.67283191661126418</v>
      </c>
      <c r="F8" s="107">
        <f t="shared" ref="F8:F14" si="13">E8-E$6</f>
        <v>-4.4235231266027131E-2</v>
      </c>
      <c r="G8" s="108">
        <f t="shared" ref="G8:G14" si="14">E8/E$6*100</f>
        <v>93.831089403973508</v>
      </c>
      <c r="H8" s="102">
        <f t="shared" si="1"/>
        <v>0.73579138569664737</v>
      </c>
      <c r="I8" s="107">
        <f t="shared" si="2"/>
        <v>-3.351244182733415E-2</v>
      </c>
      <c r="J8" s="108">
        <f t="shared" si="3"/>
        <v>95.643796296296273</v>
      </c>
      <c r="K8" s="102">
        <f t="shared" si="4"/>
        <v>0.68223790958305641</v>
      </c>
      <c r="L8" s="107">
        <f t="shared" si="5"/>
        <v>-3.4829238294234899E-2</v>
      </c>
      <c r="M8" s="108">
        <f t="shared" si="6"/>
        <v>95.142820529801327</v>
      </c>
      <c r="N8" s="102">
        <f t="shared" si="7"/>
        <v>0.39945128217304593</v>
      </c>
      <c r="O8" s="107">
        <f t="shared" si="8"/>
        <v>1.4799368411055169E-2</v>
      </c>
      <c r="P8" s="108">
        <f t="shared" si="9"/>
        <v>103.84747037037036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0.61685108747269446</v>
      </c>
      <c r="C9" s="107">
        <f t="shared" si="11"/>
        <v>-5.7476958875486761E-2</v>
      </c>
      <c r="D9" s="108">
        <f t="shared" si="12"/>
        <v>91.476409859154927</v>
      </c>
      <c r="E9" s="102">
        <f t="shared" si="0"/>
        <v>0.67510756007218164</v>
      </c>
      <c r="F9" s="107">
        <f t="shared" si="13"/>
        <v>-4.1959587805109666E-2</v>
      </c>
      <c r="G9" s="108">
        <f t="shared" si="14"/>
        <v>94.148443708609278</v>
      </c>
      <c r="H9" s="102">
        <f t="shared" si="1"/>
        <v>0.72213752493114269</v>
      </c>
      <c r="I9" s="107">
        <f t="shared" si="2"/>
        <v>-4.7166302592838827E-2</v>
      </c>
      <c r="J9" s="108">
        <f t="shared" si="3"/>
        <v>93.868962962962968</v>
      </c>
      <c r="K9" s="102">
        <f t="shared" si="4"/>
        <v>0.6861823582486466</v>
      </c>
      <c r="L9" s="107">
        <f t="shared" si="5"/>
        <v>-3.0884789628644715E-2</v>
      </c>
      <c r="M9" s="108">
        <f t="shared" si="6"/>
        <v>95.69290132450331</v>
      </c>
      <c r="N9" s="102">
        <f t="shared" si="7"/>
        <v>0.39353460917466049</v>
      </c>
      <c r="O9" s="107">
        <f t="shared" si="8"/>
        <v>8.8826954126697277E-3</v>
      </c>
      <c r="P9" s="108">
        <f t="shared" si="9"/>
        <v>102.30928148148146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0.61654766834457209</v>
      </c>
      <c r="C10" s="107">
        <f t="shared" si="11"/>
        <v>-5.7780378003609134E-2</v>
      </c>
      <c r="D10" s="108">
        <f t="shared" si="12"/>
        <v>91.43141408450704</v>
      </c>
      <c r="E10" s="102">
        <f t="shared" si="0"/>
        <v>0.66084686105043211</v>
      </c>
      <c r="F10" s="107">
        <f t="shared" si="13"/>
        <v>-5.62202868268592E-2</v>
      </c>
      <c r="G10" s="108">
        <f t="shared" si="14"/>
        <v>92.159690066225167</v>
      </c>
      <c r="H10" s="102">
        <f t="shared" si="1"/>
        <v>0.75703072466521037</v>
      </c>
      <c r="I10" s="107">
        <f t="shared" si="2"/>
        <v>-1.2273102858771145E-2</v>
      </c>
      <c r="J10" s="108">
        <f t="shared" si="3"/>
        <v>98.404648148148127</v>
      </c>
      <c r="K10" s="102">
        <f t="shared" si="4"/>
        <v>0.69088535473454271</v>
      </c>
      <c r="L10" s="107">
        <f t="shared" si="5"/>
        <v>-2.6181793142748599E-2</v>
      </c>
      <c r="M10" s="108">
        <f t="shared" si="6"/>
        <v>96.348766887417213</v>
      </c>
      <c r="N10" s="102">
        <f t="shared" si="7"/>
        <v>0.38594913097160233</v>
      </c>
      <c r="O10" s="107">
        <f t="shared" si="8"/>
        <v>1.2972172096115675E-3</v>
      </c>
      <c r="P10" s="108">
        <f t="shared" si="9"/>
        <v>100.33724444444445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1.0893045398423402</v>
      </c>
      <c r="C11" s="107">
        <f t="shared" si="11"/>
        <v>0.41497649349415899</v>
      </c>
      <c r="D11" s="108">
        <f t="shared" si="12"/>
        <v>161.53926056338028</v>
      </c>
      <c r="E11" s="102">
        <f>E24*$B$31/100/$B$32</f>
        <v>1.1145115870453035</v>
      </c>
      <c r="F11" s="107">
        <f t="shared" si="13"/>
        <v>0.3974444391680122</v>
      </c>
      <c r="G11" s="108">
        <f t="shared" si="14"/>
        <v>155.4263907284768</v>
      </c>
      <c r="H11" s="102">
        <f>H24*$B$31/100/$B$32</f>
        <v>1.2996033336499195</v>
      </c>
      <c r="I11" s="107">
        <f t="shared" si="2"/>
        <v>0.53029950612593801</v>
      </c>
      <c r="J11" s="108">
        <f t="shared" si="3"/>
        <v>168.93238888888888</v>
      </c>
      <c r="K11" s="102">
        <f>K24*$B$31/100/$B$32</f>
        <v>1.0025202773292812</v>
      </c>
      <c r="L11" s="107">
        <f t="shared" si="5"/>
        <v>0.28545312945198986</v>
      </c>
      <c r="M11" s="108">
        <f t="shared" si="6"/>
        <v>139.80842384105964</v>
      </c>
      <c r="N11" s="102">
        <f>N24*$B$31/100/$B$32</f>
        <v>0.59740701871022894</v>
      </c>
      <c r="O11" s="107">
        <f t="shared" si="8"/>
        <v>0.21275510494823818</v>
      </c>
      <c r="P11" s="108">
        <f t="shared" si="9"/>
        <v>155.31107407407404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1.4693117580017097</v>
      </c>
      <c r="F12" s="107">
        <f t="shared" si="13"/>
        <v>0.75224461012441834</v>
      </c>
      <c r="G12" s="108">
        <f t="shared" si="14"/>
        <v>204.90574172185433</v>
      </c>
      <c r="H12" s="102">
        <f t="shared" ref="H12:H13" si="15">H25*$B$33/$B$32</f>
        <v>1.5321028587710137</v>
      </c>
      <c r="I12" s="107">
        <f t="shared" si="2"/>
        <v>0.76279903124703219</v>
      </c>
      <c r="J12" s="108">
        <f t="shared" si="3"/>
        <v>199.15445679012348</v>
      </c>
      <c r="K12" s="102">
        <f t="shared" ref="K12:K13" si="16">K25*$B$33/$B$32</f>
        <v>1.4578951942254725</v>
      </c>
      <c r="L12" s="107">
        <f t="shared" si="5"/>
        <v>0.74082804634818122</v>
      </c>
      <c r="M12" s="108">
        <f t="shared" si="6"/>
        <v>203.31362251655628</v>
      </c>
      <c r="N12" s="102">
        <f t="shared" ref="N12:N13" si="17">N25*$B$33/$B$32</f>
        <v>0.66672732453224426</v>
      </c>
      <c r="O12" s="107">
        <f t="shared" si="8"/>
        <v>0.2820754107702535</v>
      </c>
      <c r="P12" s="108">
        <f t="shared" si="9"/>
        <v>173.3326419753086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1.2832217684490457</v>
      </c>
      <c r="F13" s="107">
        <f t="shared" si="13"/>
        <v>0.56615462057175436</v>
      </c>
      <c r="G13" s="108">
        <f t="shared" si="14"/>
        <v>178.95419867549671</v>
      </c>
      <c r="H13" s="102">
        <f t="shared" si="15"/>
        <v>1.4213621901415141</v>
      </c>
      <c r="I13" s="107">
        <f t="shared" si="2"/>
        <v>0.65205836261753258</v>
      </c>
      <c r="J13" s="108">
        <f t="shared" si="3"/>
        <v>184.75953703703703</v>
      </c>
      <c r="K13" s="102">
        <f t="shared" si="16"/>
        <v>1.2832217684490457</v>
      </c>
      <c r="L13" s="107">
        <f t="shared" si="5"/>
        <v>0.56615462057175436</v>
      </c>
      <c r="M13" s="108">
        <f t="shared" si="6"/>
        <v>178.95419867549671</v>
      </c>
      <c r="N13" s="102">
        <f t="shared" si="17"/>
        <v>0.65416910437838349</v>
      </c>
      <c r="O13" s="107">
        <f t="shared" si="8"/>
        <v>0.26951719061639273</v>
      </c>
      <c r="P13" s="108">
        <f t="shared" si="9"/>
        <v>170.0678148148148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1.3293980909867986</v>
      </c>
      <c r="F14" s="119">
        <f t="shared" si="13"/>
        <v>0.61233094310950731</v>
      </c>
      <c r="G14" s="120">
        <f t="shared" si="14"/>
        <v>185.39380794701989</v>
      </c>
      <c r="H14" s="118">
        <f>H27*$B$34/10/$B$32</f>
        <v>1.4113291860575554</v>
      </c>
      <c r="I14" s="119">
        <f t="shared" si="2"/>
        <v>0.6420253585335739</v>
      </c>
      <c r="J14" s="120">
        <f t="shared" si="3"/>
        <v>183.45537037037033</v>
      </c>
      <c r="K14" s="118">
        <f>K27*$B$34/10/$B$32</f>
        <v>1.3981144933042076</v>
      </c>
      <c r="L14" s="119">
        <f t="shared" si="5"/>
        <v>0.68104734542691625</v>
      </c>
      <c r="M14" s="120">
        <f t="shared" si="6"/>
        <v>194.9767880794702</v>
      </c>
      <c r="N14" s="118">
        <f>N27*$B$34/10/$B$32</f>
        <v>0.66073463766739482</v>
      </c>
      <c r="O14" s="119">
        <f t="shared" si="8"/>
        <v>0.27608272390540406</v>
      </c>
      <c r="P14" s="120">
        <f t="shared" si="9"/>
        <v>171.77469135802465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14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14" t="s">
        <v>214</v>
      </c>
    </row>
    <row r="19" spans="1:23" s="141" customFormat="1" ht="15.75" x14ac:dyDescent="0.25">
      <c r="A19" s="133" t="s">
        <v>185</v>
      </c>
      <c r="B19" s="134">
        <v>1.42</v>
      </c>
      <c r="C19" s="135" t="s">
        <v>172</v>
      </c>
      <c r="D19" s="136" t="s">
        <v>172</v>
      </c>
      <c r="E19" s="134">
        <v>1.51</v>
      </c>
      <c r="F19" s="135" t="s">
        <v>172</v>
      </c>
      <c r="G19" s="136" t="s">
        <v>172</v>
      </c>
      <c r="H19" s="134">
        <v>1.62</v>
      </c>
      <c r="I19" s="135" t="s">
        <v>172</v>
      </c>
      <c r="J19" s="136" t="s">
        <v>172</v>
      </c>
      <c r="K19" s="134">
        <v>1.51</v>
      </c>
      <c r="L19" s="135" t="s">
        <v>172</v>
      </c>
      <c r="M19" s="136" t="s">
        <v>172</v>
      </c>
      <c r="N19" s="134">
        <v>0.81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41.98</v>
      </c>
      <c r="C20" s="144" t="s">
        <v>172</v>
      </c>
      <c r="D20" s="145" t="s">
        <v>172</v>
      </c>
      <c r="E20" s="143">
        <v>45.62</v>
      </c>
      <c r="F20" s="144" t="s">
        <v>172</v>
      </c>
      <c r="G20" s="145" t="s">
        <v>172</v>
      </c>
      <c r="H20" s="143">
        <v>49.91</v>
      </c>
      <c r="I20" s="144" t="s">
        <v>172</v>
      </c>
      <c r="J20" s="145" t="s">
        <v>172</v>
      </c>
      <c r="K20" s="143">
        <v>45.41</v>
      </c>
      <c r="L20" s="144" t="s">
        <v>172</v>
      </c>
      <c r="M20" s="145" t="s">
        <v>172</v>
      </c>
      <c r="N20" s="143">
        <v>26.11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41.23</v>
      </c>
      <c r="C21" s="144" t="s">
        <v>172</v>
      </c>
      <c r="D21" s="145" t="s">
        <v>172</v>
      </c>
      <c r="E21" s="143">
        <v>44.35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44.97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40.659999999999997</v>
      </c>
      <c r="C22" s="144" t="s">
        <v>172</v>
      </c>
      <c r="D22" s="145" t="s">
        <v>172</v>
      </c>
      <c r="E22" s="143">
        <v>44.5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45.23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40.64</v>
      </c>
      <c r="C23" s="144" t="s">
        <v>172</v>
      </c>
      <c r="D23" s="145" t="s">
        <v>172</v>
      </c>
      <c r="E23" s="143">
        <v>43.56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45.54</v>
      </c>
      <c r="L23" s="144" t="s">
        <v>172</v>
      </c>
      <c r="M23" s="145" t="s">
        <v>172</v>
      </c>
      <c r="N23" s="143">
        <v>25.44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30.25</v>
      </c>
      <c r="C24" s="144" t="s">
        <v>172</v>
      </c>
      <c r="D24" s="145" t="s">
        <v>172</v>
      </c>
      <c r="E24" s="143">
        <v>30.95</v>
      </c>
      <c r="F24" s="144" t="s">
        <v>172</v>
      </c>
      <c r="G24" s="145" t="s">
        <v>172</v>
      </c>
      <c r="H24" s="143">
        <v>36.090000000000003</v>
      </c>
      <c r="I24" s="144" t="s">
        <v>172</v>
      </c>
      <c r="J24" s="145" t="s">
        <v>172</v>
      </c>
      <c r="K24" s="143">
        <v>27.84</v>
      </c>
      <c r="L24" s="144" t="s">
        <v>172</v>
      </c>
      <c r="M24" s="145" t="s">
        <v>172</v>
      </c>
      <c r="N24" s="143">
        <v>16.59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1.2769999999999999</v>
      </c>
      <c r="L25" s="144" t="s">
        <v>172</v>
      </c>
      <c r="M25" s="145" t="s">
        <v>172</v>
      </c>
      <c r="N25" s="153">
        <v>0.58399999999999996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1.1240000000000001</v>
      </c>
      <c r="F26" s="144" t="s">
        <v>172</v>
      </c>
      <c r="G26" s="145" t="s">
        <v>172</v>
      </c>
      <c r="H26" s="153">
        <v>1.2450000000000001</v>
      </c>
      <c r="I26" s="144" t="s">
        <v>172</v>
      </c>
      <c r="J26" s="145" t="s">
        <v>172</v>
      </c>
      <c r="K26" s="153">
        <v>1.1240000000000001</v>
      </c>
      <c r="L26" s="144" t="s">
        <v>172</v>
      </c>
      <c r="M26" s="145" t="s">
        <v>172</v>
      </c>
      <c r="N26" s="153">
        <v>0.57299999999999995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5.03</v>
      </c>
      <c r="F27" s="158" t="s">
        <v>172</v>
      </c>
      <c r="G27" s="159" t="s">
        <v>172</v>
      </c>
      <c r="H27" s="160">
        <v>5.34</v>
      </c>
      <c r="I27" s="158" t="s">
        <v>172</v>
      </c>
      <c r="J27" s="159" t="s">
        <v>172</v>
      </c>
      <c r="K27" s="160">
        <v>5.29</v>
      </c>
      <c r="L27" s="158" t="s">
        <v>172</v>
      </c>
      <c r="M27" s="159" t="s">
        <v>172</v>
      </c>
      <c r="N27" s="160">
        <v>2.5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13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7.5830000000000002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2.1057999999999999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2.4041000000000001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5.5655000000000001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3.1947000000000001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43430</v>
      </c>
      <c r="E2" s="493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0.67458432304038007</v>
      </c>
      <c r="C6" s="103" t="s">
        <v>172</v>
      </c>
      <c r="D6" s="104" t="s">
        <v>172</v>
      </c>
      <c r="E6" s="102">
        <f>E19/$B$32</f>
        <v>0.7220902612826603</v>
      </c>
      <c r="F6" s="103" t="s">
        <v>172</v>
      </c>
      <c r="G6" s="104" t="s">
        <v>172</v>
      </c>
      <c r="H6" s="102">
        <f>H19/$B$32</f>
        <v>0.77434679334916856</v>
      </c>
      <c r="I6" s="103" t="s">
        <v>172</v>
      </c>
      <c r="J6" s="104" t="s">
        <v>172</v>
      </c>
      <c r="K6" s="102">
        <f>K19/$B$32</f>
        <v>0.71733966745843236</v>
      </c>
      <c r="L6" s="103" t="s">
        <v>172</v>
      </c>
      <c r="M6" s="104" t="s">
        <v>172</v>
      </c>
      <c r="N6" s="102">
        <f>N19/$B$32</f>
        <v>0.38479809976247031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0.63992361045130652</v>
      </c>
      <c r="C7" s="107">
        <f>B7-B$6</f>
        <v>-3.466071258907355E-2</v>
      </c>
      <c r="D7" s="108">
        <f>B7/B$6*100</f>
        <v>94.861915492957763</v>
      </c>
      <c r="E7" s="102">
        <f t="shared" ref="E7:E10" si="0">E20*$B$35/100/$B$32</f>
        <v>0.69600646080760098</v>
      </c>
      <c r="F7" s="107">
        <f>E7-E$6</f>
        <v>-2.6083800475059316E-2</v>
      </c>
      <c r="G7" s="108">
        <f>E7/E$6*100</f>
        <v>96.387736842105269</v>
      </c>
      <c r="H7" s="102">
        <f t="shared" ref="H7:H10" si="1">H20*$B$35/100/$B$32</f>
        <v>0.76062365795724463</v>
      </c>
      <c r="I7" s="107">
        <f t="shared" ref="I7:I14" si="2">H7-H$6</f>
        <v>-1.3723135391923935E-2</v>
      </c>
      <c r="J7" s="108">
        <f t="shared" ref="J7:J14" si="3">H7/H$6*100</f>
        <v>98.227779141104293</v>
      </c>
      <c r="K7" s="102">
        <f t="shared" ref="K7:K10" si="4">K20*$B$35/100/$B$32</f>
        <v>0.69981643705463181</v>
      </c>
      <c r="L7" s="107">
        <f t="shared" ref="L7:L14" si="5">K7-K$6</f>
        <v>-1.7523230403800549E-2</v>
      </c>
      <c r="M7" s="108">
        <f t="shared" ref="M7:M14" si="6">K7/K$6*100</f>
        <v>97.557192052980128</v>
      </c>
      <c r="N7" s="102">
        <f t="shared" ref="N7:N10" si="7">N20*$B$35/100/$B$32</f>
        <v>0.40141909738717341</v>
      </c>
      <c r="O7" s="107">
        <f t="shared" ref="O7:O14" si="8">N7-N$6</f>
        <v>1.6620997624703093E-2</v>
      </c>
      <c r="P7" s="108">
        <f t="shared" ref="P7:P14" si="9">N7/N$6*100</f>
        <v>104.31940740740741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0.63032247030878863</v>
      </c>
      <c r="C8" s="107">
        <f t="shared" ref="C8:C11" si="11">B8-B$6</f>
        <v>-4.4261852731591445E-2</v>
      </c>
      <c r="D8" s="108">
        <f t="shared" ref="D8:D11" si="12">B8/B$6*100</f>
        <v>93.438647887323938</v>
      </c>
      <c r="E8" s="102">
        <f t="shared" si="0"/>
        <v>0.67848057007125895</v>
      </c>
      <c r="F8" s="107">
        <f t="shared" ref="F8:F14" si="13">E8-E$6</f>
        <v>-4.3609691211401347E-2</v>
      </c>
      <c r="G8" s="108">
        <f t="shared" ref="G8:G14" si="14">E8/E$6*100</f>
        <v>93.960631578947385</v>
      </c>
      <c r="H8" s="102">
        <f t="shared" si="1"/>
        <v>0.73913539192399058</v>
      </c>
      <c r="I8" s="107">
        <f t="shared" si="2"/>
        <v>-3.5211401425177979E-2</v>
      </c>
      <c r="J8" s="108">
        <f t="shared" si="3"/>
        <v>95.452760736196339</v>
      </c>
      <c r="K8" s="102">
        <f t="shared" si="4"/>
        <v>0.69768285035629463</v>
      </c>
      <c r="L8" s="107">
        <f t="shared" si="5"/>
        <v>-1.9656817102137736E-2</v>
      </c>
      <c r="M8" s="108">
        <f t="shared" si="6"/>
        <v>97.259761589403979</v>
      </c>
      <c r="N8" s="102">
        <f t="shared" si="7"/>
        <v>0.40126669833729212</v>
      </c>
      <c r="O8" s="107">
        <f t="shared" si="8"/>
        <v>1.6468598574821802E-2</v>
      </c>
      <c r="P8" s="108">
        <f t="shared" si="9"/>
        <v>104.2798024691358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0.62315971496437061</v>
      </c>
      <c r="C9" s="107">
        <f t="shared" si="11"/>
        <v>-5.1424608076009459E-2</v>
      </c>
      <c r="D9" s="108">
        <f t="shared" si="12"/>
        <v>92.376845070422547</v>
      </c>
      <c r="E9" s="102">
        <f t="shared" si="0"/>
        <v>0.67192741092636599</v>
      </c>
      <c r="F9" s="107">
        <f t="shared" si="13"/>
        <v>-5.0162850356294308E-2</v>
      </c>
      <c r="G9" s="108">
        <f t="shared" si="14"/>
        <v>93.053105263157931</v>
      </c>
      <c r="H9" s="102">
        <f t="shared" si="1"/>
        <v>0.72526707838479809</v>
      </c>
      <c r="I9" s="107">
        <f t="shared" si="2"/>
        <v>-4.9079714964370469E-2</v>
      </c>
      <c r="J9" s="108">
        <f t="shared" si="3"/>
        <v>93.661791411042955</v>
      </c>
      <c r="K9" s="102">
        <f t="shared" si="4"/>
        <v>0.68274774346793354</v>
      </c>
      <c r="L9" s="107">
        <f t="shared" si="5"/>
        <v>-3.4591923990498818E-2</v>
      </c>
      <c r="M9" s="108">
        <f t="shared" si="6"/>
        <v>95.177748344370855</v>
      </c>
      <c r="N9" s="102">
        <f t="shared" si="7"/>
        <v>0.39532313539192404</v>
      </c>
      <c r="O9" s="107">
        <f t="shared" si="8"/>
        <v>1.0525035629453727E-2</v>
      </c>
      <c r="P9" s="108">
        <f t="shared" si="9"/>
        <v>102.73520987654324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0.63565643705463193</v>
      </c>
      <c r="C10" s="107">
        <f t="shared" si="11"/>
        <v>-3.8927885985748145E-2</v>
      </c>
      <c r="D10" s="108">
        <f t="shared" si="12"/>
        <v>94.229352112676068</v>
      </c>
      <c r="E10" s="102">
        <f t="shared" si="0"/>
        <v>0.68046175771971495</v>
      </c>
      <c r="F10" s="107">
        <f t="shared" si="13"/>
        <v>-4.162850356294534E-2</v>
      </c>
      <c r="G10" s="108">
        <f t="shared" si="14"/>
        <v>94.234999999999999</v>
      </c>
      <c r="H10" s="102">
        <f t="shared" si="1"/>
        <v>0.76047125890736356</v>
      </c>
      <c r="I10" s="107">
        <f t="shared" si="2"/>
        <v>-1.3875534441805004E-2</v>
      </c>
      <c r="J10" s="108">
        <f t="shared" si="3"/>
        <v>98.208098159509234</v>
      </c>
      <c r="K10" s="102">
        <f t="shared" si="4"/>
        <v>0.70042603325415675</v>
      </c>
      <c r="L10" s="107">
        <f t="shared" si="5"/>
        <v>-1.6913634204275607E-2</v>
      </c>
      <c r="M10" s="108">
        <f t="shared" si="6"/>
        <v>97.642172185430454</v>
      </c>
      <c r="N10" s="102">
        <f t="shared" si="7"/>
        <v>0.38541719714964373</v>
      </c>
      <c r="O10" s="107">
        <f t="shared" si="8"/>
        <v>6.1909738717341734E-4</v>
      </c>
      <c r="P10" s="108">
        <f t="shared" si="9"/>
        <v>100.16088888888891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1.080498812351544</v>
      </c>
      <c r="C11" s="107">
        <f t="shared" si="11"/>
        <v>0.40591448931116392</v>
      </c>
      <c r="D11" s="108">
        <f t="shared" si="12"/>
        <v>160.17253521126759</v>
      </c>
      <c r="E11" s="102">
        <f>E24*$B$31/100/$B$32</f>
        <v>1.1057104513064133</v>
      </c>
      <c r="F11" s="107">
        <f t="shared" si="13"/>
        <v>0.38362019002375303</v>
      </c>
      <c r="G11" s="108">
        <f t="shared" si="14"/>
        <v>153.12634868421054</v>
      </c>
      <c r="H11" s="102">
        <f>H24*$B$31/100/$B$32</f>
        <v>1.2836325890736342</v>
      </c>
      <c r="I11" s="107">
        <f t="shared" si="2"/>
        <v>0.50928579572446564</v>
      </c>
      <c r="J11" s="108">
        <f t="shared" si="3"/>
        <v>165.76973006134972</v>
      </c>
      <c r="K11" s="102">
        <f>K24*$B$31/100/$B$32</f>
        <v>0.99369874109263667</v>
      </c>
      <c r="L11" s="107">
        <f t="shared" si="5"/>
        <v>0.27635907363420431</v>
      </c>
      <c r="M11" s="108">
        <f t="shared" si="6"/>
        <v>138.52555298013246</v>
      </c>
      <c r="N11" s="102">
        <f>N24*$B$31/100/$B$32</f>
        <v>0.58671085510688836</v>
      </c>
      <c r="O11" s="107">
        <f t="shared" si="8"/>
        <v>0.20191275534441805</v>
      </c>
      <c r="P11" s="108">
        <f t="shared" si="9"/>
        <v>152.47238888888887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1.467118859857482</v>
      </c>
      <c r="F12" s="107">
        <f t="shared" si="13"/>
        <v>0.74502859857482173</v>
      </c>
      <c r="G12" s="108">
        <f t="shared" si="14"/>
        <v>203.17665789473685</v>
      </c>
      <c r="H12" s="102">
        <f t="shared" ref="H12:H13" si="15">H25*$B$33/$B$32</f>
        <v>1.5298162470308789</v>
      </c>
      <c r="I12" s="107">
        <f t="shared" si="2"/>
        <v>0.75546945368171037</v>
      </c>
      <c r="J12" s="108">
        <f t="shared" si="3"/>
        <v>197.56215950920247</v>
      </c>
      <c r="K12" s="102">
        <f t="shared" ref="K12:K13" si="16">K25*$B$33/$B$32</f>
        <v>1.4557193349168644</v>
      </c>
      <c r="L12" s="107">
        <f t="shared" si="5"/>
        <v>0.73837966745843209</v>
      </c>
      <c r="M12" s="108">
        <f t="shared" si="6"/>
        <v>202.93305960264897</v>
      </c>
      <c r="N12" s="102">
        <f t="shared" ref="N12:N13" si="17">N25*$B$33/$B$32</f>
        <v>0.66573225653206647</v>
      </c>
      <c r="O12" s="107">
        <f t="shared" si="8"/>
        <v>0.28093415676959616</v>
      </c>
      <c r="P12" s="108">
        <f t="shared" si="9"/>
        <v>173.00819753086418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1.3041056532066508</v>
      </c>
      <c r="F13" s="107">
        <f t="shared" si="13"/>
        <v>0.58201539192399054</v>
      </c>
      <c r="G13" s="108">
        <f t="shared" si="14"/>
        <v>180.60147368421053</v>
      </c>
      <c r="H13" s="102">
        <f t="shared" si="15"/>
        <v>1.4032815201900237</v>
      </c>
      <c r="I13" s="107">
        <f t="shared" si="2"/>
        <v>0.62893472684085516</v>
      </c>
      <c r="J13" s="108">
        <f t="shared" si="3"/>
        <v>181.22132515337427</v>
      </c>
      <c r="K13" s="102">
        <f t="shared" si="16"/>
        <v>1.3041056532066508</v>
      </c>
      <c r="L13" s="107">
        <f t="shared" si="5"/>
        <v>0.58676598574821848</v>
      </c>
      <c r="M13" s="108">
        <f t="shared" si="6"/>
        <v>181.79750993377482</v>
      </c>
      <c r="N13" s="102">
        <f t="shared" si="17"/>
        <v>0.61899420427553453</v>
      </c>
      <c r="O13" s="107">
        <f t="shared" si="8"/>
        <v>0.23419610451306422</v>
      </c>
      <c r="P13" s="108">
        <f t="shared" si="9"/>
        <v>160.86207407407409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1.3187418527315917</v>
      </c>
      <c r="F14" s="119">
        <f t="shared" si="13"/>
        <v>0.59665159144893143</v>
      </c>
      <c r="G14" s="120">
        <f t="shared" si="14"/>
        <v>182.62839473684215</v>
      </c>
      <c r="H14" s="118">
        <f>H27*$B$34/10/$B$32</f>
        <v>1.3796476009501188</v>
      </c>
      <c r="I14" s="119">
        <f t="shared" si="2"/>
        <v>0.60530080760095029</v>
      </c>
      <c r="J14" s="120">
        <f t="shared" si="3"/>
        <v>178.16921472392642</v>
      </c>
      <c r="K14" s="118">
        <f>K27*$B$34/10/$B$32</f>
        <v>1.3902399049881233</v>
      </c>
      <c r="L14" s="119">
        <f t="shared" si="5"/>
        <v>0.67290023752969097</v>
      </c>
      <c r="M14" s="120">
        <f t="shared" si="6"/>
        <v>193.80496688741718</v>
      </c>
      <c r="N14" s="118">
        <f>N27*$B$34/10/$B$32</f>
        <v>0.65142669833729228</v>
      </c>
      <c r="O14" s="119">
        <f t="shared" si="8"/>
        <v>0.26662859857482196</v>
      </c>
      <c r="P14" s="120">
        <f t="shared" si="9"/>
        <v>169.29051851851855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18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18" t="s">
        <v>214</v>
      </c>
    </row>
    <row r="19" spans="1:23" s="141" customFormat="1" ht="15.75" x14ac:dyDescent="0.25">
      <c r="A19" s="133" t="s">
        <v>185</v>
      </c>
      <c r="B19" s="134">
        <v>1.42</v>
      </c>
      <c r="C19" s="135" t="s">
        <v>172</v>
      </c>
      <c r="D19" s="136" t="s">
        <v>172</v>
      </c>
      <c r="E19" s="134">
        <v>1.52</v>
      </c>
      <c r="F19" s="135" t="s">
        <v>172</v>
      </c>
      <c r="G19" s="136" t="s">
        <v>172</v>
      </c>
      <c r="H19" s="134">
        <v>1.63</v>
      </c>
      <c r="I19" s="135" t="s">
        <v>172</v>
      </c>
      <c r="J19" s="136" t="s">
        <v>172</v>
      </c>
      <c r="K19" s="134">
        <v>1.51</v>
      </c>
      <c r="L19" s="135" t="s">
        <v>172</v>
      </c>
      <c r="M19" s="136" t="s">
        <v>172</v>
      </c>
      <c r="N19" s="134">
        <v>0.81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41.99</v>
      </c>
      <c r="C20" s="144" t="s">
        <v>172</v>
      </c>
      <c r="D20" s="145" t="s">
        <v>172</v>
      </c>
      <c r="E20" s="143">
        <v>45.67</v>
      </c>
      <c r="F20" s="144" t="s">
        <v>172</v>
      </c>
      <c r="G20" s="145" t="s">
        <v>172</v>
      </c>
      <c r="H20" s="143">
        <v>49.91</v>
      </c>
      <c r="I20" s="144" t="s">
        <v>172</v>
      </c>
      <c r="J20" s="145" t="s">
        <v>172</v>
      </c>
      <c r="K20" s="143">
        <v>45.92</v>
      </c>
      <c r="L20" s="144" t="s">
        <v>172</v>
      </c>
      <c r="M20" s="145" t="s">
        <v>172</v>
      </c>
      <c r="N20" s="143">
        <v>26.34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41.36</v>
      </c>
      <c r="C21" s="144" t="s">
        <v>172</v>
      </c>
      <c r="D21" s="145" t="s">
        <v>172</v>
      </c>
      <c r="E21" s="143">
        <v>44.52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45.78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40.89</v>
      </c>
      <c r="C22" s="144" t="s">
        <v>172</v>
      </c>
      <c r="D22" s="145" t="s">
        <v>172</v>
      </c>
      <c r="E22" s="143">
        <v>44.09</v>
      </c>
      <c r="F22" s="144" t="s">
        <v>172</v>
      </c>
      <c r="G22" s="145" t="s">
        <v>172</v>
      </c>
      <c r="H22" s="143">
        <v>47.59</v>
      </c>
      <c r="I22" s="144" t="s">
        <v>172</v>
      </c>
      <c r="J22" s="145" t="s">
        <v>172</v>
      </c>
      <c r="K22" s="143">
        <v>44.8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41.71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45.96</v>
      </c>
      <c r="L23" s="144" t="s">
        <v>172</v>
      </c>
      <c r="M23" s="145" t="s">
        <v>172</v>
      </c>
      <c r="N23" s="143">
        <v>25.29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30</v>
      </c>
      <c r="C24" s="144" t="s">
        <v>172</v>
      </c>
      <c r="D24" s="145" t="s">
        <v>172</v>
      </c>
      <c r="E24" s="143">
        <v>30.7</v>
      </c>
      <c r="F24" s="144" t="s">
        <v>172</v>
      </c>
      <c r="G24" s="145" t="s">
        <v>172</v>
      </c>
      <c r="H24" s="143">
        <v>35.64</v>
      </c>
      <c r="I24" s="144" t="s">
        <v>172</v>
      </c>
      <c r="J24" s="145" t="s">
        <v>172</v>
      </c>
      <c r="K24" s="143">
        <v>27.59</v>
      </c>
      <c r="L24" s="144" t="s">
        <v>172</v>
      </c>
      <c r="M24" s="145" t="s">
        <v>172</v>
      </c>
      <c r="N24" s="143">
        <v>16.29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1.2869999999999999</v>
      </c>
      <c r="F25" s="144" t="s">
        <v>172</v>
      </c>
      <c r="G25" s="145" t="s">
        <v>172</v>
      </c>
      <c r="H25" s="153">
        <v>1.3420000000000001</v>
      </c>
      <c r="I25" s="144" t="s">
        <v>172</v>
      </c>
      <c r="J25" s="145" t="s">
        <v>172</v>
      </c>
      <c r="K25" s="153">
        <v>1.2769999999999999</v>
      </c>
      <c r="L25" s="144" t="s">
        <v>172</v>
      </c>
      <c r="M25" s="145" t="s">
        <v>172</v>
      </c>
      <c r="N25" s="153">
        <v>0.58399999999999996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1.1439999999999999</v>
      </c>
      <c r="F26" s="144" t="s">
        <v>172</v>
      </c>
      <c r="G26" s="145" t="s">
        <v>172</v>
      </c>
      <c r="H26" s="153">
        <v>1.2310000000000001</v>
      </c>
      <c r="I26" s="144" t="s">
        <v>172</v>
      </c>
      <c r="J26" s="145" t="s">
        <v>172</v>
      </c>
      <c r="K26" s="153">
        <v>1.1439999999999999</v>
      </c>
      <c r="L26" s="144" t="s">
        <v>172</v>
      </c>
      <c r="M26" s="145" t="s">
        <v>172</v>
      </c>
      <c r="N26" s="153">
        <v>0.54300000000000004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4.9800000000000004</v>
      </c>
      <c r="F27" s="158" t="s">
        <v>172</v>
      </c>
      <c r="G27" s="159" t="s">
        <v>172</v>
      </c>
      <c r="H27" s="160">
        <v>5.21</v>
      </c>
      <c r="I27" s="158" t="s">
        <v>172</v>
      </c>
      <c r="J27" s="159" t="s">
        <v>172</v>
      </c>
      <c r="K27" s="160">
        <v>5.25</v>
      </c>
      <c r="L27" s="158" t="s">
        <v>172</v>
      </c>
      <c r="M27" s="159" t="s">
        <v>172</v>
      </c>
      <c r="N27" s="160">
        <v>2.46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17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7.5815000000000001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2.105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2.3996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5.5742000000000003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3.2080000000000002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topLeftCell="A4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43437</v>
      </c>
      <c r="E2" s="493"/>
      <c r="F2" s="221"/>
      <c r="G2" s="221"/>
      <c r="H2" s="221"/>
      <c r="I2" s="221"/>
      <c r="J2" s="221"/>
      <c r="K2" s="221"/>
      <c r="L2" s="221"/>
      <c r="M2" s="221"/>
      <c r="N2" s="221"/>
      <c r="O2" s="221"/>
      <c r="P2" s="221"/>
      <c r="Q2" s="221"/>
      <c r="R2" s="22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0.66616626008632007</v>
      </c>
      <c r="C6" s="103" t="s">
        <v>172</v>
      </c>
      <c r="D6" s="104" t="s">
        <v>172</v>
      </c>
      <c r="E6" s="102">
        <f>E19/$B$32</f>
        <v>0.71307937699380741</v>
      </c>
      <c r="F6" s="103" t="s">
        <v>172</v>
      </c>
      <c r="G6" s="104" t="s">
        <v>172</v>
      </c>
      <c r="H6" s="102">
        <f>H19/$B$32</f>
        <v>0.76468380559204341</v>
      </c>
      <c r="I6" s="103" t="s">
        <v>172</v>
      </c>
      <c r="J6" s="104" t="s">
        <v>172</v>
      </c>
      <c r="K6" s="102">
        <f>K19/$B$32</f>
        <v>0.70838806530305864</v>
      </c>
      <c r="L6" s="103" t="s">
        <v>172</v>
      </c>
      <c r="M6" s="104" t="s">
        <v>172</v>
      </c>
      <c r="N6" s="102">
        <f>N19/$B$32</f>
        <v>0.37999624695064738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0.63074378870332126</v>
      </c>
      <c r="C7" s="107">
        <f>B7-B$6</f>
        <v>-3.542247138299881E-2</v>
      </c>
      <c r="D7" s="108">
        <f>B7/B$6*100</f>
        <v>94.682638028168995</v>
      </c>
      <c r="E7" s="102">
        <f t="shared" ref="E7:E10" si="0">E20*$B$35/100/$B$32</f>
        <v>0.68573479076749866</v>
      </c>
      <c r="F7" s="107">
        <f>E7-E$6</f>
        <v>-2.7344586226308754E-2</v>
      </c>
      <c r="G7" s="108">
        <f>E7/E$6*100</f>
        <v>96.165281578947386</v>
      </c>
      <c r="H7" s="102">
        <f t="shared" ref="H7:H10" si="1">H20*$B$35/100/$B$32</f>
        <v>0.75680239726027387</v>
      </c>
      <c r="I7" s="107">
        <f t="shared" ref="I7:I14" si="2">H7-H$6</f>
        <v>-7.8814083317695349E-3</v>
      </c>
      <c r="J7" s="108">
        <f t="shared" ref="J7:J14" si="3">H7/H$6*100</f>
        <v>98.969324539877306</v>
      </c>
      <c r="K7" s="102">
        <f t="shared" ref="K7:K10" si="4">K20*$B$35/100/$B$32</f>
        <v>0.69189498498780244</v>
      </c>
      <c r="L7" s="107">
        <f t="shared" ref="L7:L14" si="5">K7-K$6</f>
        <v>-1.6493080315256203E-2</v>
      </c>
      <c r="M7" s="108">
        <f t="shared" ref="M7:M14" si="6">K7/K$6*100</f>
        <v>97.671745033112572</v>
      </c>
      <c r="N7" s="102">
        <f t="shared" ref="N7:N10" si="7">N20*$B$35/100/$B$32</f>
        <v>0.39034596547194594</v>
      </c>
      <c r="O7" s="107">
        <f t="shared" ref="O7:O14" si="8">N7-N$6</f>
        <v>1.0349718521298568E-2</v>
      </c>
      <c r="P7" s="108">
        <f t="shared" ref="P7:P14" si="9">N7/N$6*100</f>
        <v>102.72363703703704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0.61977563801838997</v>
      </c>
      <c r="C8" s="107">
        <f t="shared" ref="C8:C11" si="11">B8-B$6</f>
        <v>-4.6390622067930098E-2</v>
      </c>
      <c r="D8" s="108">
        <f t="shared" ref="D8:D11" si="12">B8/B$6*100</f>
        <v>93.036179577464807</v>
      </c>
      <c r="E8" s="102">
        <f t="shared" si="0"/>
        <v>0.6669537108275474</v>
      </c>
      <c r="F8" s="107">
        <f t="shared" ref="F8:F14" si="13">E8-E$6</f>
        <v>-4.6125666166260015E-2</v>
      </c>
      <c r="G8" s="108">
        <f t="shared" ref="G8:G14" si="14">E8/E$6*100</f>
        <v>93.531482236842109</v>
      </c>
      <c r="H8" s="102">
        <f t="shared" si="1"/>
        <v>0.72870590167010696</v>
      </c>
      <c r="I8" s="107">
        <f t="shared" si="2"/>
        <v>-3.5977903921936449E-2</v>
      </c>
      <c r="J8" s="108">
        <f t="shared" si="3"/>
        <v>95.29506134969327</v>
      </c>
      <c r="K8" s="102">
        <f t="shared" si="4"/>
        <v>0.69054274723212605</v>
      </c>
      <c r="L8" s="107">
        <f t="shared" si="5"/>
        <v>-1.7845318070932592E-2</v>
      </c>
      <c r="M8" s="108">
        <f t="shared" si="6"/>
        <v>97.480855629139072</v>
      </c>
      <c r="N8" s="102">
        <f t="shared" si="7"/>
        <v>0.39560466785513226</v>
      </c>
      <c r="O8" s="107">
        <f t="shared" si="8"/>
        <v>1.5608420904484888E-2</v>
      </c>
      <c r="P8" s="108">
        <f t="shared" si="9"/>
        <v>104.10751975308641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0.61601942203039961</v>
      </c>
      <c r="C9" s="107">
        <f t="shared" si="11"/>
        <v>-5.0146838055920462E-2</v>
      </c>
      <c r="D9" s="108">
        <f t="shared" si="12"/>
        <v>92.472323943661976</v>
      </c>
      <c r="E9" s="102">
        <f t="shared" si="0"/>
        <v>0.66605221899042966</v>
      </c>
      <c r="F9" s="107">
        <f t="shared" si="13"/>
        <v>-4.7027158003377756E-2</v>
      </c>
      <c r="G9" s="108">
        <f t="shared" si="14"/>
        <v>93.405059868421048</v>
      </c>
      <c r="H9" s="102">
        <f t="shared" si="1"/>
        <v>0.71518352411334207</v>
      </c>
      <c r="I9" s="107">
        <f t="shared" si="2"/>
        <v>-4.9500281478701336E-2</v>
      </c>
      <c r="J9" s="108">
        <f t="shared" si="3"/>
        <v>93.526699386503083</v>
      </c>
      <c r="K9" s="102">
        <f t="shared" si="4"/>
        <v>0.68107708294239067</v>
      </c>
      <c r="L9" s="107">
        <f t="shared" si="5"/>
        <v>-2.7310982360667979E-2</v>
      </c>
      <c r="M9" s="108">
        <f t="shared" si="6"/>
        <v>96.144629801324513</v>
      </c>
      <c r="N9" s="102">
        <f t="shared" si="7"/>
        <v>0.38974497091386751</v>
      </c>
      <c r="O9" s="107">
        <f t="shared" si="8"/>
        <v>9.7487239632201295E-3</v>
      </c>
      <c r="P9" s="108">
        <f t="shared" si="9"/>
        <v>102.56547901234568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0.60925823325201722</v>
      </c>
      <c r="C10" s="107">
        <f t="shared" si="11"/>
        <v>-5.6908026834302849E-2</v>
      </c>
      <c r="D10" s="108">
        <f t="shared" si="12"/>
        <v>91.457383802816906</v>
      </c>
      <c r="E10" s="102">
        <f t="shared" si="0"/>
        <v>0.64772188496903726</v>
      </c>
      <c r="F10" s="107">
        <f t="shared" si="13"/>
        <v>-6.5357492024770147E-2</v>
      </c>
      <c r="G10" s="108">
        <f t="shared" si="14"/>
        <v>90.834471710526316</v>
      </c>
      <c r="H10" s="102">
        <f t="shared" si="1"/>
        <v>0.74974071120285224</v>
      </c>
      <c r="I10" s="107">
        <f t="shared" si="2"/>
        <v>-1.4943094389191169E-2</v>
      </c>
      <c r="J10" s="108">
        <f t="shared" si="3"/>
        <v>98.04584662576687</v>
      </c>
      <c r="K10" s="102">
        <f t="shared" si="4"/>
        <v>0.68783827172077316</v>
      </c>
      <c r="L10" s="107">
        <f t="shared" si="5"/>
        <v>-2.054979358228548E-2</v>
      </c>
      <c r="M10" s="108">
        <f t="shared" si="6"/>
        <v>97.099076821192071</v>
      </c>
      <c r="N10" s="102">
        <f t="shared" si="7"/>
        <v>0.37997880934509287</v>
      </c>
      <c r="O10" s="107">
        <f t="shared" si="8"/>
        <v>-1.7437605554504465E-5</v>
      </c>
      <c r="P10" s="108">
        <f t="shared" si="9"/>
        <v>99.99541111111111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1.0554299587164571</v>
      </c>
      <c r="C11" s="107">
        <f t="shared" si="11"/>
        <v>0.38926369863013699</v>
      </c>
      <c r="D11" s="108">
        <f t="shared" si="12"/>
        <v>158.43341549295775</v>
      </c>
      <c r="E11" s="102">
        <f>E24*$B$31/100/$B$32</f>
        <v>1.0873589322574591</v>
      </c>
      <c r="F11" s="107">
        <f t="shared" si="13"/>
        <v>0.37427955526365164</v>
      </c>
      <c r="G11" s="108">
        <f t="shared" si="14"/>
        <v>152.48778289473682</v>
      </c>
      <c r="H11" s="102">
        <f>H24*$B$31/100/$B$32</f>
        <v>1.2466490335897915</v>
      </c>
      <c r="I11" s="107">
        <f t="shared" si="2"/>
        <v>0.4819652279977481</v>
      </c>
      <c r="J11" s="108">
        <f t="shared" si="3"/>
        <v>163.02804171779141</v>
      </c>
      <c r="K11" s="102">
        <f>K24*$B$31/100/$B$32</f>
        <v>0.97525275849127402</v>
      </c>
      <c r="L11" s="107">
        <f t="shared" si="5"/>
        <v>0.26686469318821537</v>
      </c>
      <c r="M11" s="108">
        <f t="shared" si="6"/>
        <v>137.67210463576157</v>
      </c>
      <c r="N11" s="102">
        <f>N24*$B$31/100/$B$32</f>
        <v>0.56833572902983664</v>
      </c>
      <c r="O11" s="107">
        <f t="shared" si="8"/>
        <v>0.18833948207918927</v>
      </c>
      <c r="P11" s="108">
        <f t="shared" si="9"/>
        <v>149.5635111111111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1.4193429348845938</v>
      </c>
      <c r="F12" s="107">
        <f t="shared" si="13"/>
        <v>0.70626355789078643</v>
      </c>
      <c r="G12" s="108">
        <f t="shared" si="14"/>
        <v>199.04417105263161</v>
      </c>
      <c r="H12" s="102">
        <f t="shared" ref="H12:H13" si="15">H25*$B$33/$B$32</f>
        <v>1.4864970913867519</v>
      </c>
      <c r="I12" s="107">
        <f t="shared" si="2"/>
        <v>0.72181328579470849</v>
      </c>
      <c r="J12" s="108">
        <f t="shared" si="3"/>
        <v>194.39369325153379</v>
      </c>
      <c r="K12" s="102">
        <f t="shared" ref="K12:K13" si="16">K25*$B$33/$B$32</f>
        <v>1.4056844623756803</v>
      </c>
      <c r="L12" s="107">
        <f t="shared" si="5"/>
        <v>0.6972963970726217</v>
      </c>
      <c r="M12" s="108">
        <f t="shared" si="6"/>
        <v>198.43423841059607</v>
      </c>
      <c r="N12" s="102">
        <f t="shared" ref="N12:N13" si="17">N25*$B$33/$B$32</f>
        <v>0.61007843873146939</v>
      </c>
      <c r="O12" s="107">
        <f t="shared" si="8"/>
        <v>0.23008219178082201</v>
      </c>
      <c r="P12" s="108">
        <f t="shared" si="9"/>
        <v>160.54854320987658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1.2565794708200413</v>
      </c>
      <c r="F13" s="107">
        <f t="shared" si="13"/>
        <v>0.54350009382623388</v>
      </c>
      <c r="G13" s="108">
        <f t="shared" si="14"/>
        <v>176.21873684210527</v>
      </c>
      <c r="H13" s="102">
        <f t="shared" si="15"/>
        <v>1.3772293113154437</v>
      </c>
      <c r="I13" s="107">
        <f t="shared" si="2"/>
        <v>0.61254550572340027</v>
      </c>
      <c r="J13" s="108">
        <f t="shared" si="3"/>
        <v>180.10441717791412</v>
      </c>
      <c r="K13" s="102">
        <f t="shared" si="16"/>
        <v>1.2565794708200413</v>
      </c>
      <c r="L13" s="107">
        <f t="shared" si="5"/>
        <v>0.54819140551698264</v>
      </c>
      <c r="M13" s="108">
        <f t="shared" si="6"/>
        <v>177.38574834437088</v>
      </c>
      <c r="N13" s="102">
        <f t="shared" si="17"/>
        <v>0.59528176018014634</v>
      </c>
      <c r="O13" s="107">
        <f t="shared" si="8"/>
        <v>0.21528551322949896</v>
      </c>
      <c r="P13" s="108">
        <f t="shared" si="9"/>
        <v>156.65464197530866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1.2962996340776878</v>
      </c>
      <c r="F14" s="119">
        <f t="shared" si="13"/>
        <v>0.58322025708388037</v>
      </c>
      <c r="G14" s="120">
        <f t="shared" si="14"/>
        <v>181.78896710526314</v>
      </c>
      <c r="H14" s="118">
        <f>H27*$B$34/10/$B$32</f>
        <v>1.3731762994933381</v>
      </c>
      <c r="I14" s="119">
        <f t="shared" si="2"/>
        <v>0.60849249390129467</v>
      </c>
      <c r="J14" s="120">
        <f t="shared" si="3"/>
        <v>179.57439263803681</v>
      </c>
      <c r="K14" s="118">
        <f>K27*$B$34/10/$B$32</f>
        <v>1.3837799774817037</v>
      </c>
      <c r="L14" s="119">
        <f t="shared" si="5"/>
        <v>0.67539191217864503</v>
      </c>
      <c r="M14" s="120">
        <f t="shared" si="6"/>
        <v>195.34207947019866</v>
      </c>
      <c r="N14" s="118">
        <f>N27*$B$34/10/$B$32</f>
        <v>0.63622067930193271</v>
      </c>
      <c r="O14" s="119">
        <f t="shared" si="8"/>
        <v>0.25622443235128534</v>
      </c>
      <c r="P14" s="120">
        <f t="shared" si="9"/>
        <v>167.42814814814813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20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20" t="s">
        <v>214</v>
      </c>
    </row>
    <row r="19" spans="1:23" s="141" customFormat="1" ht="15.75" x14ac:dyDescent="0.25">
      <c r="A19" s="133" t="s">
        <v>185</v>
      </c>
      <c r="B19" s="134">
        <v>1.42</v>
      </c>
      <c r="C19" s="135" t="s">
        <v>172</v>
      </c>
      <c r="D19" s="136" t="s">
        <v>172</v>
      </c>
      <c r="E19" s="134">
        <v>1.52</v>
      </c>
      <c r="F19" s="135" t="s">
        <v>172</v>
      </c>
      <c r="G19" s="136" t="s">
        <v>172</v>
      </c>
      <c r="H19" s="134">
        <v>1.63</v>
      </c>
      <c r="I19" s="135" t="s">
        <v>172</v>
      </c>
      <c r="J19" s="136" t="s">
        <v>172</v>
      </c>
      <c r="K19" s="134">
        <v>1.51</v>
      </c>
      <c r="L19" s="135" t="s">
        <v>172</v>
      </c>
      <c r="M19" s="136" t="s">
        <v>172</v>
      </c>
      <c r="N19" s="134">
        <v>0.81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41.98</v>
      </c>
      <c r="C20" s="144" t="s">
        <v>172</v>
      </c>
      <c r="D20" s="145" t="s">
        <v>172</v>
      </c>
      <c r="E20" s="143">
        <v>45.64</v>
      </c>
      <c r="F20" s="144" t="s">
        <v>172</v>
      </c>
      <c r="G20" s="145" t="s">
        <v>172</v>
      </c>
      <c r="H20" s="143">
        <v>50.37</v>
      </c>
      <c r="I20" s="144" t="s">
        <v>172</v>
      </c>
      <c r="J20" s="145" t="s">
        <v>172</v>
      </c>
      <c r="K20" s="143">
        <v>46.05</v>
      </c>
      <c r="L20" s="144" t="s">
        <v>172</v>
      </c>
      <c r="M20" s="145" t="s">
        <v>172</v>
      </c>
      <c r="N20" s="143">
        <v>25.98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41.25</v>
      </c>
      <c r="C21" s="144" t="s">
        <v>172</v>
      </c>
      <c r="D21" s="145" t="s">
        <v>172</v>
      </c>
      <c r="E21" s="143">
        <v>44.39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45.96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</v>
      </c>
      <c r="C22" s="144" t="s">
        <v>172</v>
      </c>
      <c r="D22" s="145" t="s">
        <v>172</v>
      </c>
      <c r="E22" s="143">
        <v>44.33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45.33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40.549999999999997</v>
      </c>
      <c r="C23" s="144" t="s">
        <v>172</v>
      </c>
      <c r="D23" s="145" t="s">
        <v>172</v>
      </c>
      <c r="E23" s="143">
        <v>43.11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45.78</v>
      </c>
      <c r="L23" s="144" t="s">
        <v>172</v>
      </c>
      <c r="M23" s="145" t="s">
        <v>172</v>
      </c>
      <c r="N23" s="143">
        <v>25.29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29.75</v>
      </c>
      <c r="C24" s="144" t="s">
        <v>172</v>
      </c>
      <c r="D24" s="145" t="s">
        <v>172</v>
      </c>
      <c r="E24" s="143">
        <v>30.65</v>
      </c>
      <c r="F24" s="144" t="s">
        <v>172</v>
      </c>
      <c r="G24" s="145" t="s">
        <v>172</v>
      </c>
      <c r="H24" s="143">
        <v>35.14</v>
      </c>
      <c r="I24" s="144" t="s">
        <v>172</v>
      </c>
      <c r="J24" s="145" t="s">
        <v>172</v>
      </c>
      <c r="K24" s="143">
        <v>27.49</v>
      </c>
      <c r="L24" s="144" t="s">
        <v>172</v>
      </c>
      <c r="M24" s="145" t="s">
        <v>172</v>
      </c>
      <c r="N24" s="143">
        <v>16.02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1.2470000000000001</v>
      </c>
      <c r="F25" s="144" t="s">
        <v>172</v>
      </c>
      <c r="G25" s="145" t="s">
        <v>172</v>
      </c>
      <c r="H25" s="153">
        <v>1.306</v>
      </c>
      <c r="I25" s="144" t="s">
        <v>172</v>
      </c>
      <c r="J25" s="145" t="s">
        <v>172</v>
      </c>
      <c r="K25" s="153">
        <v>1.2350000000000001</v>
      </c>
      <c r="L25" s="144" t="s">
        <v>172</v>
      </c>
      <c r="M25" s="145" t="s">
        <v>172</v>
      </c>
      <c r="N25" s="153">
        <v>0.53600000000000003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1.1040000000000001</v>
      </c>
      <c r="F26" s="144" t="s">
        <v>172</v>
      </c>
      <c r="G26" s="145" t="s">
        <v>172</v>
      </c>
      <c r="H26" s="153">
        <v>1.21</v>
      </c>
      <c r="I26" s="144" t="s">
        <v>172</v>
      </c>
      <c r="J26" s="145" t="s">
        <v>172</v>
      </c>
      <c r="K26" s="153">
        <v>1.1040000000000001</v>
      </c>
      <c r="L26" s="144" t="s">
        <v>172</v>
      </c>
      <c r="M26" s="145" t="s">
        <v>172</v>
      </c>
      <c r="N26" s="153">
        <v>0.52300000000000002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4.8899999999999997</v>
      </c>
      <c r="F27" s="158" t="s">
        <v>172</v>
      </c>
      <c r="G27" s="159" t="s">
        <v>172</v>
      </c>
      <c r="H27" s="160">
        <v>5.18</v>
      </c>
      <c r="I27" s="158" t="s">
        <v>172</v>
      </c>
      <c r="J27" s="159" t="s">
        <v>172</v>
      </c>
      <c r="K27" s="160">
        <v>5.22</v>
      </c>
      <c r="L27" s="158" t="s">
        <v>172</v>
      </c>
      <c r="M27" s="159" t="s">
        <v>172</v>
      </c>
      <c r="N27" s="160">
        <v>2.4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19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7.5621999999999998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2.1316000000000002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2.4262000000000001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5.6506999999999996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3.2027000000000001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43444</v>
      </c>
      <c r="E2" s="493"/>
      <c r="F2" s="222"/>
      <c r="G2" s="222"/>
      <c r="H2" s="222"/>
      <c r="I2" s="222"/>
      <c r="J2" s="222"/>
      <c r="K2" s="222"/>
      <c r="L2" s="222"/>
      <c r="M2" s="222"/>
      <c r="N2" s="222"/>
      <c r="O2" s="222"/>
      <c r="P2" s="222"/>
      <c r="Q2" s="222"/>
      <c r="R2" s="222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0.67044868488911813</v>
      </c>
      <c r="C6" s="103" t="s">
        <v>172</v>
      </c>
      <c r="D6" s="104" t="s">
        <v>172</v>
      </c>
      <c r="E6" s="102">
        <f>E19/$B$32</f>
        <v>0.71733320830793768</v>
      </c>
      <c r="F6" s="103" t="s">
        <v>172</v>
      </c>
      <c r="G6" s="104" t="s">
        <v>172</v>
      </c>
      <c r="H6" s="102">
        <f>H19/$B$32</f>
        <v>0.76890618406863898</v>
      </c>
      <c r="I6" s="103" t="s">
        <v>172</v>
      </c>
      <c r="J6" s="104" t="s">
        <v>172</v>
      </c>
      <c r="K6" s="102">
        <f>K19/$B$32</f>
        <v>0.71733320830793768</v>
      </c>
      <c r="L6" s="103" t="s">
        <v>172</v>
      </c>
      <c r="M6" s="104" t="s">
        <v>172</v>
      </c>
      <c r="N6" s="102">
        <f>N19/$B$32</f>
        <v>0.38445309203431949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0.62804069576632759</v>
      </c>
      <c r="C7" s="107">
        <f>B7-B$6</f>
        <v>-4.2407989122790535E-2</v>
      </c>
      <c r="D7" s="108">
        <f>B7/B$6*100</f>
        <v>93.67468531468532</v>
      </c>
      <c r="E7" s="102">
        <f t="shared" ref="E7:E10" si="0">E20*$B$35/100/$B$32</f>
        <v>0.68321855689436917</v>
      </c>
      <c r="F7" s="107">
        <f>E7-E$6</f>
        <v>-3.4114651413568509E-2</v>
      </c>
      <c r="G7" s="108">
        <f>E7/E$6*100</f>
        <v>95.24423921568625</v>
      </c>
      <c r="H7" s="102">
        <f t="shared" ref="H7:H10" si="1">H20*$B$35/100/$B$32</f>
        <v>0.75320023442261708</v>
      </c>
      <c r="I7" s="107">
        <f t="shared" ref="I7:I14" si="2">H7-H$6</f>
        <v>-1.5705949646021899E-2</v>
      </c>
      <c r="J7" s="108">
        <f t="shared" ref="J7:J14" si="3">H7/H$6*100</f>
        <v>97.957364634146344</v>
      </c>
      <c r="K7" s="102">
        <f t="shared" ref="K7:K10" si="4">K20*$B$35/100/$B$32</f>
        <v>0.68919989685404859</v>
      </c>
      <c r="L7" s="107">
        <f t="shared" ref="L7:L14" si="5">K7-K$6</f>
        <v>-2.8133311453889087E-2</v>
      </c>
      <c r="M7" s="108">
        <f t="shared" ref="M7:M14" si="6">K7/K$6*100</f>
        <v>96.078069281045757</v>
      </c>
      <c r="N7" s="102">
        <f t="shared" ref="N7:N10" si="7">N20*$B$35/100/$B$32</f>
        <v>0.38250669042149188</v>
      </c>
      <c r="O7" s="107">
        <f t="shared" ref="O7:O14" si="8">N7-N$6</f>
        <v>-1.9464016128276085E-3</v>
      </c>
      <c r="P7" s="108">
        <f t="shared" ref="P7:P14" si="9">N7/N$6*100</f>
        <v>99.493721951219513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0.61697521684092083</v>
      </c>
      <c r="C8" s="107">
        <f t="shared" ref="C8:C11" si="11">B8-B$6</f>
        <v>-5.3473468048197303E-2</v>
      </c>
      <c r="D8" s="108">
        <f t="shared" ref="D8:D11" si="12">B8/B$6*100</f>
        <v>92.024226573426574</v>
      </c>
      <c r="E8" s="102">
        <f t="shared" si="0"/>
        <v>0.66033993154859572</v>
      </c>
      <c r="F8" s="107">
        <f t="shared" ref="F8:F14" si="13">E8-E$6</f>
        <v>-5.699327675934196E-2</v>
      </c>
      <c r="G8" s="108">
        <f t="shared" ref="G8:G14" si="14">E8/E$6*100</f>
        <v>92.054839215686243</v>
      </c>
      <c r="H8" s="102">
        <f t="shared" si="1"/>
        <v>0.72523747011111639</v>
      </c>
      <c r="I8" s="107">
        <f t="shared" si="2"/>
        <v>-4.3668713957522587E-2</v>
      </c>
      <c r="J8" s="108">
        <f t="shared" si="3"/>
        <v>94.320670731707324</v>
      </c>
      <c r="K8" s="102">
        <f t="shared" si="4"/>
        <v>0.68875129635707266</v>
      </c>
      <c r="L8" s="107">
        <f t="shared" si="5"/>
        <v>-2.8581911950865013E-2</v>
      </c>
      <c r="M8" s="108">
        <f t="shared" si="6"/>
        <v>96.015532026143788</v>
      </c>
      <c r="N8" s="102">
        <f t="shared" si="7"/>
        <v>0.39372170284589059</v>
      </c>
      <c r="O8" s="107">
        <f t="shared" si="8"/>
        <v>9.2686108115710986E-3</v>
      </c>
      <c r="P8" s="108">
        <f t="shared" si="9"/>
        <v>102.41085609756098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0.61383501336208923</v>
      </c>
      <c r="C9" s="107">
        <f t="shared" si="11"/>
        <v>-5.6613671527028897E-2</v>
      </c>
      <c r="D9" s="108">
        <f t="shared" si="12"/>
        <v>91.555853146853153</v>
      </c>
      <c r="E9" s="102">
        <f t="shared" si="0"/>
        <v>0.66108759904355585</v>
      </c>
      <c r="F9" s="107">
        <f t="shared" si="13"/>
        <v>-5.6245609264381824E-2</v>
      </c>
      <c r="G9" s="108">
        <f t="shared" si="14"/>
        <v>92.15906797385621</v>
      </c>
      <c r="H9" s="102">
        <f t="shared" si="1"/>
        <v>0.71177945520183794</v>
      </c>
      <c r="I9" s="107">
        <f t="shared" si="2"/>
        <v>-5.7126728866801035E-2</v>
      </c>
      <c r="J9" s="108">
        <f t="shared" si="3"/>
        <v>92.570390243902452</v>
      </c>
      <c r="K9" s="102">
        <f t="shared" si="4"/>
        <v>0.67962975291856165</v>
      </c>
      <c r="L9" s="107">
        <f t="shared" si="5"/>
        <v>-3.7703455389376028E-2</v>
      </c>
      <c r="M9" s="108">
        <f t="shared" si="6"/>
        <v>94.743941176470585</v>
      </c>
      <c r="N9" s="102">
        <f t="shared" si="7"/>
        <v>0.38788989638520327</v>
      </c>
      <c r="O9" s="107">
        <f t="shared" si="8"/>
        <v>3.436804350883782E-3</v>
      </c>
      <c r="P9" s="108">
        <f t="shared" si="9"/>
        <v>100.89394634146342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0.60680693890946602</v>
      </c>
      <c r="C10" s="107">
        <f t="shared" si="11"/>
        <v>-6.3641745979652109E-2</v>
      </c>
      <c r="D10" s="108">
        <f t="shared" si="12"/>
        <v>90.50758881118881</v>
      </c>
      <c r="E10" s="102">
        <f t="shared" si="0"/>
        <v>0.66766707299920303</v>
      </c>
      <c r="F10" s="107">
        <f t="shared" si="13"/>
        <v>-4.9666135308734649E-2</v>
      </c>
      <c r="G10" s="108">
        <f t="shared" si="14"/>
        <v>93.076281045751628</v>
      </c>
      <c r="H10" s="102">
        <f t="shared" si="1"/>
        <v>0.74617215996999398</v>
      </c>
      <c r="I10" s="107">
        <f t="shared" si="2"/>
        <v>-2.2734024098645E-2</v>
      </c>
      <c r="J10" s="108">
        <f t="shared" si="3"/>
        <v>97.043329268292695</v>
      </c>
      <c r="K10" s="102">
        <f t="shared" si="4"/>
        <v>0.7043027802522388</v>
      </c>
      <c r="L10" s="107">
        <f t="shared" si="5"/>
        <v>-1.3030428055698873E-2</v>
      </c>
      <c r="M10" s="108">
        <f t="shared" si="6"/>
        <v>98.183490196078424</v>
      </c>
      <c r="N10" s="102">
        <f t="shared" si="7"/>
        <v>0.37817021895072445</v>
      </c>
      <c r="O10" s="107">
        <f t="shared" si="8"/>
        <v>-6.2828730835950419E-3</v>
      </c>
      <c r="P10" s="108">
        <f t="shared" si="9"/>
        <v>98.365763414634159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1.063804210230203</v>
      </c>
      <c r="C11" s="107">
        <f t="shared" si="11"/>
        <v>0.39335552534108487</v>
      </c>
      <c r="D11" s="108">
        <f t="shared" si="12"/>
        <v>158.67048951048949</v>
      </c>
      <c r="E11" s="102">
        <f>E24*$B$31/100/$B$32</f>
        <v>1.1015405082282339</v>
      </c>
      <c r="F11" s="107">
        <f t="shared" si="13"/>
        <v>0.38420729992029623</v>
      </c>
      <c r="G11" s="108">
        <f t="shared" si="14"/>
        <v>153.5605065359477</v>
      </c>
      <c r="H11" s="102">
        <f>H24*$B$31/100/$B$32</f>
        <v>1.2449384406207511</v>
      </c>
      <c r="I11" s="107">
        <f t="shared" si="2"/>
        <v>0.47603225655211212</v>
      </c>
      <c r="J11" s="108">
        <f t="shared" si="3"/>
        <v>161.91031707317072</v>
      </c>
      <c r="K11" s="102">
        <f>K24*$B$31/100/$B$32</f>
        <v>0.98797222091987436</v>
      </c>
      <c r="L11" s="107">
        <f t="shared" si="5"/>
        <v>0.27063901261193668</v>
      </c>
      <c r="M11" s="108">
        <f t="shared" si="6"/>
        <v>137.72849346405226</v>
      </c>
      <c r="N11" s="102">
        <f>N24*$B$31/100/$B$32</f>
        <v>0.56209114351352618</v>
      </c>
      <c r="O11" s="107">
        <f t="shared" si="8"/>
        <v>0.17763805147920669</v>
      </c>
      <c r="P11" s="108">
        <f t="shared" si="9"/>
        <v>146.20539024390243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1.4179516620563555</v>
      </c>
      <c r="F12" s="107">
        <f t="shared" si="13"/>
        <v>0.7006184537484178</v>
      </c>
      <c r="G12" s="108">
        <f t="shared" si="14"/>
        <v>197.66987581699345</v>
      </c>
      <c r="H12" s="102">
        <f t="shared" ref="H12:H13" si="15">H25*$B$33/$B$32</f>
        <v>1.4850399924984765</v>
      </c>
      <c r="I12" s="107">
        <f t="shared" si="2"/>
        <v>0.71613380842983754</v>
      </c>
      <c r="J12" s="108">
        <f t="shared" si="3"/>
        <v>193.13669512195125</v>
      </c>
      <c r="K12" s="102">
        <f t="shared" ref="K12:K13" si="16">K25*$B$33/$B$32</f>
        <v>1.4043065778986359</v>
      </c>
      <c r="L12" s="107">
        <f t="shared" si="5"/>
        <v>0.68697336959069821</v>
      </c>
      <c r="M12" s="108">
        <f t="shared" si="6"/>
        <v>195.76767973856209</v>
      </c>
      <c r="N12" s="102">
        <f t="shared" ref="N12:N13" si="17">N25*$B$33/$B$32</f>
        <v>0.60948042571147276</v>
      </c>
      <c r="O12" s="107">
        <f t="shared" si="8"/>
        <v>0.22502733367715327</v>
      </c>
      <c r="P12" s="108">
        <f t="shared" si="9"/>
        <v>158.5318048780488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1.2614880303811713</v>
      </c>
      <c r="F13" s="107">
        <f t="shared" si="13"/>
        <v>0.54415482207323362</v>
      </c>
      <c r="G13" s="108">
        <f t="shared" si="14"/>
        <v>175.85802745098039</v>
      </c>
      <c r="H13" s="102">
        <f t="shared" si="15"/>
        <v>1.3758793192367202</v>
      </c>
      <c r="I13" s="107">
        <f t="shared" si="2"/>
        <v>0.60697313516808127</v>
      </c>
      <c r="J13" s="108">
        <f t="shared" si="3"/>
        <v>178.93981707317076</v>
      </c>
      <c r="K13" s="102">
        <f t="shared" si="16"/>
        <v>1.2614880303811713</v>
      </c>
      <c r="L13" s="107">
        <f t="shared" si="5"/>
        <v>0.54415482207323362</v>
      </c>
      <c r="M13" s="108">
        <f t="shared" si="6"/>
        <v>175.85802745098039</v>
      </c>
      <c r="N13" s="102">
        <f t="shared" si="17"/>
        <v>0.57195644427774395</v>
      </c>
      <c r="O13" s="107">
        <f t="shared" si="8"/>
        <v>0.18750335224342446</v>
      </c>
      <c r="P13" s="108">
        <f t="shared" si="9"/>
        <v>148.77145121951222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1.2842372356884992</v>
      </c>
      <c r="F14" s="119">
        <f t="shared" si="13"/>
        <v>0.56690402738056156</v>
      </c>
      <c r="G14" s="120">
        <f t="shared" si="14"/>
        <v>179.02938562091498</v>
      </c>
      <c r="H14" s="118">
        <f>H27*$B$34/10/$B$32</f>
        <v>1.3399582727741575</v>
      </c>
      <c r="I14" s="119">
        <f t="shared" si="2"/>
        <v>0.57105208870551849</v>
      </c>
      <c r="J14" s="120">
        <f t="shared" si="3"/>
        <v>174.2681097560976</v>
      </c>
      <c r="K14" s="118">
        <f>K27*$B$34/10/$B$32</f>
        <v>1.3664920999578041</v>
      </c>
      <c r="L14" s="119">
        <f t="shared" si="5"/>
        <v>0.6491588916498664</v>
      </c>
      <c r="M14" s="120">
        <f t="shared" si="6"/>
        <v>190.49614379084966</v>
      </c>
      <c r="N14" s="118">
        <f>N27*$B$34/10/$B$32</f>
        <v>0.62354493881569706</v>
      </c>
      <c r="O14" s="119">
        <f t="shared" si="8"/>
        <v>0.23909184678137757</v>
      </c>
      <c r="P14" s="120">
        <f t="shared" si="9"/>
        <v>162.19012195121954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24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24" t="s">
        <v>214</v>
      </c>
    </row>
    <row r="19" spans="1:23" s="141" customFormat="1" ht="15.75" x14ac:dyDescent="0.25">
      <c r="A19" s="133" t="s">
        <v>185</v>
      </c>
      <c r="B19" s="134">
        <v>1.43</v>
      </c>
      <c r="C19" s="135" t="s">
        <v>172</v>
      </c>
      <c r="D19" s="136" t="s">
        <v>172</v>
      </c>
      <c r="E19" s="134">
        <v>1.53</v>
      </c>
      <c r="F19" s="135" t="s">
        <v>172</v>
      </c>
      <c r="G19" s="136" t="s">
        <v>172</v>
      </c>
      <c r="H19" s="134">
        <v>1.64</v>
      </c>
      <c r="I19" s="135" t="s">
        <v>172</v>
      </c>
      <c r="J19" s="136" t="s">
        <v>172</v>
      </c>
      <c r="K19" s="134">
        <v>1.53</v>
      </c>
      <c r="L19" s="135" t="s">
        <v>172</v>
      </c>
      <c r="M19" s="136" t="s">
        <v>172</v>
      </c>
      <c r="N19" s="134">
        <v>0.82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42</v>
      </c>
      <c r="C20" s="144" t="s">
        <v>172</v>
      </c>
      <c r="D20" s="145" t="s">
        <v>172</v>
      </c>
      <c r="E20" s="143">
        <v>45.69</v>
      </c>
      <c r="F20" s="144" t="s">
        <v>172</v>
      </c>
      <c r="G20" s="145" t="s">
        <v>172</v>
      </c>
      <c r="H20" s="143">
        <v>50.37</v>
      </c>
      <c r="I20" s="144" t="s">
        <v>172</v>
      </c>
      <c r="J20" s="145" t="s">
        <v>172</v>
      </c>
      <c r="K20" s="143">
        <v>46.09</v>
      </c>
      <c r="L20" s="144" t="s">
        <v>172</v>
      </c>
      <c r="M20" s="145" t="s">
        <v>172</v>
      </c>
      <c r="N20" s="143">
        <v>25.58</v>
      </c>
      <c r="O20" s="144" t="s">
        <v>172</v>
      </c>
      <c r="P20" s="145" t="s">
        <v>172</v>
      </c>
      <c r="Q20" s="147" t="s">
        <v>219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41.26</v>
      </c>
      <c r="C21" s="144" t="s">
        <v>172</v>
      </c>
      <c r="D21" s="145" t="s">
        <v>172</v>
      </c>
      <c r="E21" s="143">
        <v>44.16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46.06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41.05</v>
      </c>
      <c r="C22" s="144" t="s">
        <v>172</v>
      </c>
      <c r="D22" s="145" t="s">
        <v>172</v>
      </c>
      <c r="E22" s="143">
        <v>44.21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45.45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40.58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47.1</v>
      </c>
      <c r="L23" s="144" t="s">
        <v>172</v>
      </c>
      <c r="M23" s="145" t="s">
        <v>172</v>
      </c>
      <c r="N23" s="143">
        <v>25.29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29.6</v>
      </c>
      <c r="C24" s="144" t="s">
        <v>172</v>
      </c>
      <c r="D24" s="145" t="s">
        <v>172</v>
      </c>
      <c r="E24" s="143">
        <v>30.65</v>
      </c>
      <c r="F24" s="144" t="s">
        <v>172</v>
      </c>
      <c r="G24" s="145" t="s">
        <v>172</v>
      </c>
      <c r="H24" s="143">
        <v>34.64</v>
      </c>
      <c r="I24" s="144" t="s">
        <v>172</v>
      </c>
      <c r="J24" s="145" t="s">
        <v>172</v>
      </c>
      <c r="K24" s="143">
        <v>27.49</v>
      </c>
      <c r="L24" s="144" t="s">
        <v>172</v>
      </c>
      <c r="M24" s="145" t="s">
        <v>172</v>
      </c>
      <c r="N24" s="143">
        <v>15.64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1.2470000000000001</v>
      </c>
      <c r="F25" s="144" t="s">
        <v>172</v>
      </c>
      <c r="G25" s="145" t="s">
        <v>172</v>
      </c>
      <c r="H25" s="153">
        <v>1.306</v>
      </c>
      <c r="I25" s="144" t="s">
        <v>172</v>
      </c>
      <c r="J25" s="145" t="s">
        <v>172</v>
      </c>
      <c r="K25" s="153">
        <v>1.2350000000000001</v>
      </c>
      <c r="L25" s="144" t="s">
        <v>172</v>
      </c>
      <c r="M25" s="145" t="s">
        <v>172</v>
      </c>
      <c r="N25" s="153">
        <v>0.53600000000000003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1.1093999999999999</v>
      </c>
      <c r="F26" s="144" t="s">
        <v>172</v>
      </c>
      <c r="G26" s="145" t="s">
        <v>172</v>
      </c>
      <c r="H26" s="153">
        <v>1.21</v>
      </c>
      <c r="I26" s="144" t="s">
        <v>172</v>
      </c>
      <c r="J26" s="145" t="s">
        <v>172</v>
      </c>
      <c r="K26" s="153">
        <v>1.1093999999999999</v>
      </c>
      <c r="L26" s="144" t="s">
        <v>172</v>
      </c>
      <c r="M26" s="145" t="s">
        <v>172</v>
      </c>
      <c r="N26" s="153">
        <v>0.503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4.84</v>
      </c>
      <c r="F27" s="158" t="s">
        <v>172</v>
      </c>
      <c r="G27" s="159" t="s">
        <v>172</v>
      </c>
      <c r="H27" s="160">
        <v>5.05</v>
      </c>
      <c r="I27" s="158" t="s">
        <v>172</v>
      </c>
      <c r="J27" s="159" t="s">
        <v>172</v>
      </c>
      <c r="K27" s="160">
        <v>5.15</v>
      </c>
      <c r="L27" s="158" t="s">
        <v>172</v>
      </c>
      <c r="M27" s="159" t="s">
        <v>172</v>
      </c>
      <c r="N27" s="160">
        <v>2.35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23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7.6654999999999998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2.1328999999999998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2.4253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5.6593999999999998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3.1894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1.7109375" hidden="1" customWidth="1" outlineLevel="1"/>
    <col min="19" max="19" width="28.42578125" hidden="1" customWidth="1" outlineLevel="1"/>
    <col min="20" max="20" width="29.7109375" hidden="1" customWidth="1" outlineLevel="1"/>
    <col min="21" max="21" width="28.28515625" hidden="1" customWidth="1" outlineLevel="1"/>
    <col min="22" max="22" width="32" hidden="1" customWidth="1" outlineLevel="1"/>
    <col min="23" max="23" width="43.5703125" hidden="1" customWidth="1" outlineLevel="1"/>
    <col min="24" max="24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43451</v>
      </c>
      <c r="E2" s="493"/>
      <c r="F2" s="227"/>
      <c r="G2" s="22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0.6738925541941565</v>
      </c>
      <c r="C6" s="103" t="s">
        <v>172</v>
      </c>
      <c r="D6" s="104" t="s">
        <v>172</v>
      </c>
      <c r="E6" s="102">
        <f>E19/$B$32</f>
        <v>0.72573044297832234</v>
      </c>
      <c r="F6" s="103" t="s">
        <v>172</v>
      </c>
      <c r="G6" s="104" t="s">
        <v>172</v>
      </c>
      <c r="H6" s="102">
        <f>H19/$B$32</f>
        <v>0.77756833176248819</v>
      </c>
      <c r="I6" s="103" t="s">
        <v>172</v>
      </c>
      <c r="J6" s="104" t="s">
        <v>172</v>
      </c>
      <c r="K6" s="102">
        <f>K19/$B$32</f>
        <v>0.72573044297832234</v>
      </c>
      <c r="L6" s="103" t="s">
        <v>172</v>
      </c>
      <c r="M6" s="104" t="s">
        <v>172</v>
      </c>
      <c r="N6" s="102">
        <f>N19/$B$32</f>
        <v>0.38642789820923656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0.63042278510838823</v>
      </c>
      <c r="C7" s="107">
        <f>B7-B$6</f>
        <v>-4.3469769085768273E-2</v>
      </c>
      <c r="D7" s="108">
        <f>B7/B$6*100</f>
        <v>93.549451048951028</v>
      </c>
      <c r="E7" s="102">
        <f t="shared" ref="E7:E10" si="0">E20*$B$35/100/$B$32</f>
        <v>0.68580487747408103</v>
      </c>
      <c r="F7" s="107">
        <f>E7-E$6</f>
        <v>-3.9925565504241312E-2</v>
      </c>
      <c r="G7" s="108">
        <f>E7/E$6*100</f>
        <v>94.498568181818172</v>
      </c>
      <c r="H7" s="102">
        <f t="shared" ref="H7:H10" si="1">H20*$B$35/100/$B$32</f>
        <v>0.76887801602262018</v>
      </c>
      <c r="I7" s="107">
        <f t="shared" ref="I7:I14" si="2">H7-H$6</f>
        <v>-8.6903157398680042E-3</v>
      </c>
      <c r="J7" s="108">
        <f t="shared" ref="J7:J14" si="3">H7/H$6*100</f>
        <v>98.882372727272738</v>
      </c>
      <c r="K7" s="102">
        <f t="shared" ref="K7:K10" si="4">K20*$B$35/100/$B$32</f>
        <v>0.69348011310084823</v>
      </c>
      <c r="L7" s="107">
        <f t="shared" ref="L7:L14" si="5">K7-K$6</f>
        <v>-3.2250329877474115E-2</v>
      </c>
      <c r="M7" s="108">
        <f t="shared" ref="M7:M14" si="6">K7/K$6*100</f>
        <v>95.556155844155839</v>
      </c>
      <c r="N7" s="102">
        <f t="shared" ref="N7:N10" si="7">N20*$B$35/100/$B$32</f>
        <v>0.38887860508953814</v>
      </c>
      <c r="O7" s="107">
        <f t="shared" ref="O7:O14" si="8">N7-N$6</f>
        <v>2.4507068803015786E-3</v>
      </c>
      <c r="P7" s="108">
        <f t="shared" ref="P7:P14" si="9">N7/N$6*100</f>
        <v>100.63419512195122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0.61717924128180957</v>
      </c>
      <c r="C8" s="107">
        <f t="shared" ref="C8:C11" si="11">B8-B$6</f>
        <v>-5.6713312912346936E-2</v>
      </c>
      <c r="D8" s="108">
        <f t="shared" ref="D8:D11" si="12">B8/B$6*100</f>
        <v>91.584220279720256</v>
      </c>
      <c r="E8" s="102">
        <f t="shared" si="0"/>
        <v>0.66308016022620175</v>
      </c>
      <c r="F8" s="107">
        <f t="shared" ref="F8:F14" si="13">E8-E$6</f>
        <v>-6.265028275212059E-2</v>
      </c>
      <c r="G8" s="108">
        <f t="shared" ref="G8:G14" si="14">E8/E$6*100</f>
        <v>91.367279220779224</v>
      </c>
      <c r="H8" s="102">
        <f t="shared" si="1"/>
        <v>0.72989985862393969</v>
      </c>
      <c r="I8" s="107">
        <f t="shared" si="2"/>
        <v>-4.7668473138548495E-2</v>
      </c>
      <c r="J8" s="108">
        <f t="shared" si="3"/>
        <v>93.86954545454546</v>
      </c>
      <c r="K8" s="102">
        <f t="shared" si="4"/>
        <v>0.68625636192271444</v>
      </c>
      <c r="L8" s="107">
        <f t="shared" si="5"/>
        <v>-3.9474081055607901E-2</v>
      </c>
      <c r="M8" s="108">
        <f t="shared" si="6"/>
        <v>94.560779220779224</v>
      </c>
      <c r="N8" s="102">
        <f t="shared" si="7"/>
        <v>0.39625285108388308</v>
      </c>
      <c r="O8" s="107">
        <f t="shared" si="8"/>
        <v>9.8249528746465198E-3</v>
      </c>
      <c r="P8" s="108">
        <f t="shared" si="9"/>
        <v>102.54250609756097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0.61582478793590956</v>
      </c>
      <c r="C9" s="107">
        <f t="shared" si="11"/>
        <v>-5.8067766258246944E-2</v>
      </c>
      <c r="D9" s="108">
        <f t="shared" si="12"/>
        <v>91.383230769230778</v>
      </c>
      <c r="E9" s="102">
        <f t="shared" si="0"/>
        <v>0.66413362393967956</v>
      </c>
      <c r="F9" s="107">
        <f t="shared" si="13"/>
        <v>-6.1596819038642781E-2</v>
      </c>
      <c r="G9" s="108">
        <f t="shared" si="14"/>
        <v>91.512438311688314</v>
      </c>
      <c r="H9" s="102">
        <f t="shared" si="1"/>
        <v>0.71635532516493861</v>
      </c>
      <c r="I9" s="107">
        <f t="shared" si="2"/>
        <v>-6.121300659754958E-2</v>
      </c>
      <c r="J9" s="108">
        <f t="shared" si="3"/>
        <v>92.127636363636356</v>
      </c>
      <c r="K9" s="102">
        <f t="shared" si="4"/>
        <v>0.68189201225259188</v>
      </c>
      <c r="L9" s="107">
        <f t="shared" si="5"/>
        <v>-4.383843072573046E-2</v>
      </c>
      <c r="M9" s="108">
        <f t="shared" si="6"/>
        <v>93.959405844155839</v>
      </c>
      <c r="N9" s="102">
        <f t="shared" si="7"/>
        <v>0.39038355325164936</v>
      </c>
      <c r="O9" s="107">
        <f t="shared" si="8"/>
        <v>3.9556550424127979E-3</v>
      </c>
      <c r="P9" s="108">
        <f t="shared" si="9"/>
        <v>101.02364634146342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0.60273173892554188</v>
      </c>
      <c r="C10" s="107">
        <f t="shared" si="11"/>
        <v>-7.1160815268614619E-2</v>
      </c>
      <c r="D10" s="108">
        <f t="shared" si="12"/>
        <v>89.440332167832153</v>
      </c>
      <c r="E10" s="102">
        <f t="shared" si="0"/>
        <v>0.64622474081055603</v>
      </c>
      <c r="F10" s="107">
        <f t="shared" si="13"/>
        <v>-7.9505702167766312E-2</v>
      </c>
      <c r="G10" s="108">
        <f t="shared" si="14"/>
        <v>89.044733766233762</v>
      </c>
      <c r="H10" s="102">
        <f t="shared" si="1"/>
        <v>0.75096913289349676</v>
      </c>
      <c r="I10" s="107">
        <f t="shared" si="2"/>
        <v>-2.6599198868991425E-2</v>
      </c>
      <c r="J10" s="108">
        <f t="shared" si="3"/>
        <v>96.579181818181823</v>
      </c>
      <c r="K10" s="102">
        <f t="shared" si="4"/>
        <v>0.68896526861451468</v>
      </c>
      <c r="L10" s="107">
        <f t="shared" si="5"/>
        <v>-3.6765174363807662E-2</v>
      </c>
      <c r="M10" s="108">
        <f t="shared" si="6"/>
        <v>94.934045454545469</v>
      </c>
      <c r="N10" s="102">
        <f t="shared" si="7"/>
        <v>0.38060139019792644</v>
      </c>
      <c r="O10" s="107">
        <f t="shared" si="8"/>
        <v>-5.8265080113101275E-3</v>
      </c>
      <c r="P10" s="108">
        <f t="shared" si="9"/>
        <v>98.492213414634136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1.0614989632422243</v>
      </c>
      <c r="C11" s="107">
        <f t="shared" si="11"/>
        <v>0.38760640904806776</v>
      </c>
      <c r="D11" s="108">
        <f t="shared" si="12"/>
        <v>157.51753846153844</v>
      </c>
      <c r="E11" s="102">
        <f>E24*$B$31/100/$B$32</f>
        <v>1.0991534872761546</v>
      </c>
      <c r="F11" s="107">
        <f t="shared" si="13"/>
        <v>0.37342304429783224</v>
      </c>
      <c r="G11" s="108">
        <f t="shared" si="14"/>
        <v>151.45478571428572</v>
      </c>
      <c r="H11" s="102">
        <f>H24*$B$31/100/$B$32</f>
        <v>1.2365028463713477</v>
      </c>
      <c r="I11" s="107">
        <f t="shared" si="2"/>
        <v>0.45893451460885948</v>
      </c>
      <c r="J11" s="108">
        <f t="shared" si="3"/>
        <v>159.02176</v>
      </c>
      <c r="K11" s="102">
        <f>K24*$B$31/100/$B$32</f>
        <v>0.98583130065975499</v>
      </c>
      <c r="L11" s="107">
        <f t="shared" si="5"/>
        <v>0.26010085768143265</v>
      </c>
      <c r="M11" s="108">
        <f t="shared" si="6"/>
        <v>135.83987142857143</v>
      </c>
      <c r="N11" s="102">
        <f>N24*$B$31/100/$B$32</f>
        <v>0.55190773798303494</v>
      </c>
      <c r="O11" s="107">
        <f t="shared" si="8"/>
        <v>0.16547983977379838</v>
      </c>
      <c r="P11" s="108">
        <f t="shared" si="9"/>
        <v>142.82295365853662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1.3788460885956646</v>
      </c>
      <c r="F12" s="107">
        <f t="shared" si="13"/>
        <v>0.65311564561734226</v>
      </c>
      <c r="G12" s="108">
        <f t="shared" si="14"/>
        <v>189.99424675324676</v>
      </c>
      <c r="H12" s="102">
        <f t="shared" ref="H12:H13" si="15">H25*$B$33/$B$32</f>
        <v>1.4411604147031103</v>
      </c>
      <c r="I12" s="107">
        <f t="shared" si="2"/>
        <v>0.66359208294062211</v>
      </c>
      <c r="J12" s="108">
        <f t="shared" si="3"/>
        <v>185.34196363636363</v>
      </c>
      <c r="K12" s="102">
        <f t="shared" ref="K12:K13" si="16">K25*$B$33/$B$32</f>
        <v>1.3788460885956646</v>
      </c>
      <c r="L12" s="107">
        <f t="shared" si="5"/>
        <v>0.65311564561734226</v>
      </c>
      <c r="M12" s="108">
        <f t="shared" si="6"/>
        <v>189.99424675324676</v>
      </c>
      <c r="N12" s="102">
        <f t="shared" ref="N12:N13" si="17">N25*$B$33/$B$32</f>
        <v>0.66279783223374167</v>
      </c>
      <c r="O12" s="107">
        <f t="shared" si="8"/>
        <v>0.2763699340245051</v>
      </c>
      <c r="P12" s="108">
        <f t="shared" si="9"/>
        <v>171.5191463414634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1.2569366069745522</v>
      </c>
      <c r="F13" s="107">
        <f t="shared" si="13"/>
        <v>0.53120616399622989</v>
      </c>
      <c r="G13" s="108">
        <f t="shared" si="14"/>
        <v>173.19607012987012</v>
      </c>
      <c r="H13" s="102">
        <f t="shared" si="15"/>
        <v>1.3709151743638077</v>
      </c>
      <c r="I13" s="107">
        <f t="shared" si="2"/>
        <v>0.59334684260131954</v>
      </c>
      <c r="J13" s="108">
        <f t="shared" si="3"/>
        <v>176.30799999999999</v>
      </c>
      <c r="K13" s="102">
        <f t="shared" si="16"/>
        <v>1.2569366069745522</v>
      </c>
      <c r="L13" s="107">
        <f t="shared" si="5"/>
        <v>0.53120616399622989</v>
      </c>
      <c r="M13" s="108">
        <f t="shared" si="6"/>
        <v>173.19607012987012</v>
      </c>
      <c r="N13" s="102">
        <f t="shared" si="17"/>
        <v>0.5664938737040528</v>
      </c>
      <c r="O13" s="107">
        <f t="shared" si="8"/>
        <v>0.18006597549481623</v>
      </c>
      <c r="P13" s="108">
        <f t="shared" si="9"/>
        <v>146.59756097560975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1.2576345900094252</v>
      </c>
      <c r="F14" s="119">
        <f t="shared" si="13"/>
        <v>0.53190414703110289</v>
      </c>
      <c r="G14" s="120">
        <f t="shared" si="14"/>
        <v>173.29224675324676</v>
      </c>
      <c r="H14" s="118">
        <f>H27*$B$34/10/$B$32</f>
        <v>1.3495285579641845</v>
      </c>
      <c r="I14" s="119">
        <f t="shared" si="2"/>
        <v>0.57196022620169629</v>
      </c>
      <c r="J14" s="120">
        <f t="shared" si="3"/>
        <v>173.55755151515149</v>
      </c>
      <c r="K14" s="118">
        <f>K27*$B$34/10/$B$32</f>
        <v>1.3416519321394913</v>
      </c>
      <c r="L14" s="119">
        <f t="shared" si="5"/>
        <v>0.61592148916116896</v>
      </c>
      <c r="M14" s="120">
        <f t="shared" si="6"/>
        <v>184.86918181818186</v>
      </c>
      <c r="N14" s="118">
        <f>N27*$B$34/10/$B$32</f>
        <v>0.60912573044297824</v>
      </c>
      <c r="O14" s="119">
        <f t="shared" si="8"/>
        <v>0.22269783223374168</v>
      </c>
      <c r="P14" s="120">
        <f t="shared" si="9"/>
        <v>157.62985365853658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3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3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26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26" t="s">
        <v>214</v>
      </c>
    </row>
    <row r="19" spans="1:23" s="141" customFormat="1" ht="15.75" x14ac:dyDescent="0.25">
      <c r="A19" s="133" t="s">
        <v>185</v>
      </c>
      <c r="B19" s="134">
        <v>1.43</v>
      </c>
      <c r="C19" s="135" t="s">
        <v>172</v>
      </c>
      <c r="D19" s="136" t="s">
        <v>172</v>
      </c>
      <c r="E19" s="134">
        <v>1.54</v>
      </c>
      <c r="F19" s="135" t="s">
        <v>172</v>
      </c>
      <c r="G19" s="136" t="s">
        <v>172</v>
      </c>
      <c r="H19" s="134">
        <v>1.65</v>
      </c>
      <c r="I19" s="135" t="s">
        <v>172</v>
      </c>
      <c r="J19" s="136" t="s">
        <v>172</v>
      </c>
      <c r="K19" s="134">
        <v>1.54</v>
      </c>
      <c r="L19" s="135" t="s">
        <v>172</v>
      </c>
      <c r="M19" s="136" t="s">
        <v>172</v>
      </c>
      <c r="N19" s="134">
        <v>0.82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</row>
    <row r="20" spans="1:23" s="141" customFormat="1" ht="15.75" x14ac:dyDescent="0.25">
      <c r="A20" s="142" t="s">
        <v>186</v>
      </c>
      <c r="B20" s="143">
        <v>41.89</v>
      </c>
      <c r="C20" s="144" t="s">
        <v>172</v>
      </c>
      <c r="D20" s="145" t="s">
        <v>172</v>
      </c>
      <c r="E20" s="143">
        <v>45.57</v>
      </c>
      <c r="F20" s="144" t="s">
        <v>172</v>
      </c>
      <c r="G20" s="145" t="s">
        <v>172</v>
      </c>
      <c r="H20" s="143">
        <v>51.09</v>
      </c>
      <c r="I20" s="144" t="s">
        <v>172</v>
      </c>
      <c r="J20" s="145" t="s">
        <v>172</v>
      </c>
      <c r="K20" s="143">
        <v>46.08</v>
      </c>
      <c r="L20" s="144" t="s">
        <v>172</v>
      </c>
      <c r="M20" s="145" t="s">
        <v>172</v>
      </c>
      <c r="N20" s="143">
        <v>25.84</v>
      </c>
      <c r="O20" s="144" t="s">
        <v>172</v>
      </c>
      <c r="P20" s="145" t="s">
        <v>172</v>
      </c>
      <c r="Q20" s="147" t="s">
        <v>225</v>
      </c>
      <c r="R20" s="148"/>
      <c r="S20" s="190"/>
      <c r="T20" s="188"/>
      <c r="U20" s="188"/>
      <c r="V20" s="188"/>
      <c r="W20" s="189"/>
    </row>
    <row r="21" spans="1:23" s="141" customFormat="1" ht="15.75" x14ac:dyDescent="0.25">
      <c r="A21" s="142" t="s">
        <v>188</v>
      </c>
      <c r="B21" s="143">
        <v>41.01</v>
      </c>
      <c r="C21" s="144" t="s">
        <v>172</v>
      </c>
      <c r="D21" s="145" t="s">
        <v>172</v>
      </c>
      <c r="E21" s="143">
        <v>44.06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45.6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</row>
    <row r="22" spans="1:23" s="141" customFormat="1" ht="15.75" x14ac:dyDescent="0.25">
      <c r="A22" s="142" t="s">
        <v>190</v>
      </c>
      <c r="B22" s="143">
        <v>40.92</v>
      </c>
      <c r="C22" s="144" t="s">
        <v>172</v>
      </c>
      <c r="D22" s="145" t="s">
        <v>172</v>
      </c>
      <c r="E22" s="143">
        <v>44.13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45.31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</row>
    <row r="23" spans="1:23" s="141" customFormat="1" ht="15.75" x14ac:dyDescent="0.25">
      <c r="A23" s="142" t="s">
        <v>192</v>
      </c>
      <c r="B23" s="143">
        <v>40.049999999999997</v>
      </c>
      <c r="C23" s="144" t="s">
        <v>172</v>
      </c>
      <c r="D23" s="145" t="s">
        <v>172</v>
      </c>
      <c r="E23" s="143">
        <v>42.94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45.78</v>
      </c>
      <c r="L23" s="144" t="s">
        <v>172</v>
      </c>
      <c r="M23" s="145" t="s">
        <v>172</v>
      </c>
      <c r="N23" s="143">
        <v>25.29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</row>
    <row r="24" spans="1:23" s="141" customFormat="1" ht="15.75" x14ac:dyDescent="0.25">
      <c r="A24" s="142" t="s">
        <v>194</v>
      </c>
      <c r="B24" s="143">
        <v>29.6</v>
      </c>
      <c r="C24" s="144" t="s">
        <v>172</v>
      </c>
      <c r="D24" s="145" t="s">
        <v>172</v>
      </c>
      <c r="E24" s="143">
        <v>30.65</v>
      </c>
      <c r="F24" s="144" t="s">
        <v>172</v>
      </c>
      <c r="G24" s="145" t="s">
        <v>172</v>
      </c>
      <c r="H24" s="143">
        <v>34.479999999999997</v>
      </c>
      <c r="I24" s="144" t="s">
        <v>172</v>
      </c>
      <c r="J24" s="145" t="s">
        <v>172</v>
      </c>
      <c r="K24" s="143">
        <v>27.49</v>
      </c>
      <c r="L24" s="144" t="s">
        <v>172</v>
      </c>
      <c r="M24" s="145" t="s">
        <v>172</v>
      </c>
      <c r="N24" s="143">
        <v>15.39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1"/>
      <c r="U24" s="188"/>
      <c r="V24" s="193" t="s">
        <v>215</v>
      </c>
      <c r="W24" s="194" t="s">
        <v>216</v>
      </c>
    </row>
    <row r="25" spans="1:23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1.2170000000000001</v>
      </c>
      <c r="F25" s="144" t="s">
        <v>172</v>
      </c>
      <c r="G25" s="145" t="s">
        <v>172</v>
      </c>
      <c r="H25" s="153">
        <v>1.272</v>
      </c>
      <c r="I25" s="144" t="s">
        <v>172</v>
      </c>
      <c r="J25" s="145" t="s">
        <v>172</v>
      </c>
      <c r="K25" s="153">
        <v>1.2170000000000001</v>
      </c>
      <c r="L25" s="144" t="s">
        <v>172</v>
      </c>
      <c r="M25" s="145" t="s">
        <v>172</v>
      </c>
      <c r="N25" s="153">
        <v>0.58499999999999996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</row>
    <row r="26" spans="1:23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1.1093999999999999</v>
      </c>
      <c r="F26" s="144" t="s">
        <v>172</v>
      </c>
      <c r="G26" s="145" t="s">
        <v>172</v>
      </c>
      <c r="H26" s="153">
        <v>1.21</v>
      </c>
      <c r="I26" s="144" t="s">
        <v>172</v>
      </c>
      <c r="J26" s="145" t="s">
        <v>172</v>
      </c>
      <c r="K26" s="153">
        <v>1.1093999999999999</v>
      </c>
      <c r="L26" s="144" t="s">
        <v>172</v>
      </c>
      <c r="M26" s="145" t="s">
        <v>172</v>
      </c>
      <c r="N26" s="153">
        <v>0.5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</row>
    <row r="27" spans="1:23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4.79</v>
      </c>
      <c r="F27" s="158" t="s">
        <v>172</v>
      </c>
      <c r="G27" s="159" t="s">
        <v>172</v>
      </c>
      <c r="H27" s="160">
        <v>5.14</v>
      </c>
      <c r="I27" s="158" t="s">
        <v>172</v>
      </c>
      <c r="J27" s="159" t="s">
        <v>172</v>
      </c>
      <c r="K27" s="160">
        <v>5.1100000000000003</v>
      </c>
      <c r="L27" s="158" t="s">
        <v>172</v>
      </c>
      <c r="M27" s="159" t="s">
        <v>172</v>
      </c>
      <c r="N27" s="160">
        <v>2.3199999999999998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</row>
    <row r="28" spans="1:23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3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3" s="141" customFormat="1" ht="63.75" thickBot="1" x14ac:dyDescent="0.3">
      <c r="A30" s="130" t="s">
        <v>200</v>
      </c>
      <c r="B30" s="225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3" s="141" customFormat="1" ht="15.75" customHeight="1" x14ac:dyDescent="0.25">
      <c r="A31" s="207" t="s">
        <v>202</v>
      </c>
      <c r="B31" s="208">
        <v>7.6097999999999999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3" s="141" customFormat="1" ht="15.75" x14ac:dyDescent="0.25">
      <c r="A32" s="209" t="s">
        <v>204</v>
      </c>
      <c r="B32" s="210">
        <v>2.1219999999999999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2.4041999999999999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5.5713999999999997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3.1934999999999998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C30:E30"/>
    <mergeCell ref="C31:E35"/>
    <mergeCell ref="A37:E37"/>
    <mergeCell ref="B18:D18"/>
    <mergeCell ref="E18:G18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</hyperlinks>
  <pageMargins left="0.7" right="0.7" top="0.75" bottom="0.75" header="0.3" footer="0.3"/>
  <pageSetup paperSize="9" orientation="portrait" r:id="rId66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2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43461</v>
      </c>
      <c r="E2" s="493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B19/$B$32</f>
        <v>0.66489980006509508</v>
      </c>
      <c r="C6" s="103" t="s">
        <v>172</v>
      </c>
      <c r="D6" s="104" t="s">
        <v>172</v>
      </c>
      <c r="E6" s="102">
        <f>E19/$B$32</f>
        <v>0.71604593853164089</v>
      </c>
      <c r="F6" s="103" t="s">
        <v>172</v>
      </c>
      <c r="G6" s="104" t="s">
        <v>172</v>
      </c>
      <c r="H6" s="102">
        <f>H19/$B$32</f>
        <v>0.76719207699818659</v>
      </c>
      <c r="I6" s="103" t="s">
        <v>172</v>
      </c>
      <c r="J6" s="104" t="s">
        <v>172</v>
      </c>
      <c r="K6" s="102">
        <f>K19/$B$32</f>
        <v>0.71604593853164089</v>
      </c>
      <c r="L6" s="103" t="s">
        <v>172</v>
      </c>
      <c r="M6" s="104" t="s">
        <v>172</v>
      </c>
      <c r="N6" s="102">
        <f>N19/$B$32</f>
        <v>0.38127121402334119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B20*$B$35/100/$B$32</f>
        <v>0.60680403589528986</v>
      </c>
      <c r="C7" s="107">
        <f>B7-B$6</f>
        <v>-5.809576416980522E-2</v>
      </c>
      <c r="D7" s="108">
        <f>B7/B$6*100</f>
        <v>91.262478321678316</v>
      </c>
      <c r="E7" s="102">
        <f t="shared" ref="E7:E10" si="0">E20*$B$35/100/$B$32</f>
        <v>0.65862556376993542</v>
      </c>
      <c r="F7" s="107">
        <f>E7-E$6</f>
        <v>-5.7420374761705473E-2</v>
      </c>
      <c r="G7" s="108">
        <f>E7/E$6*100</f>
        <v>91.980909090909094</v>
      </c>
      <c r="H7" s="102">
        <f t="shared" ref="H7:H10" si="1">H20*$B$35/100/$B$32</f>
        <v>0.73954241874738469</v>
      </c>
      <c r="I7" s="107">
        <f t="shared" ref="I7:I14" si="2">H7-H$6</f>
        <v>-2.7649658250801901E-2</v>
      </c>
      <c r="J7" s="108">
        <f t="shared" ref="J7:J14" si="3">H7/H$6*100</f>
        <v>96.395992727272755</v>
      </c>
      <c r="K7" s="102">
        <f t="shared" ref="K7:K10" si="4">K20*$B$35/100/$B$32</f>
        <v>0.6639814200027897</v>
      </c>
      <c r="L7" s="107">
        <f t="shared" ref="L7:L14" si="5">K7-K$6</f>
        <v>-5.2064518528851189E-2</v>
      </c>
      <c r="M7" s="108">
        <f t="shared" ref="M7:M14" si="6">K7/K$6*100</f>
        <v>92.728885714285695</v>
      </c>
      <c r="N7" s="102">
        <f t="shared" ref="N7:N10" si="7">N20*$B$35/100/$B$32</f>
        <v>0.36593525828799922</v>
      </c>
      <c r="O7" s="107">
        <f t="shared" ref="O7:O14" si="8">N7-N$6</f>
        <v>-1.5335955735341966E-2</v>
      </c>
      <c r="P7" s="108">
        <f t="shared" ref="P7:P14" si="9">N7/N$6*100</f>
        <v>95.97767804878049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B21*$B$35/100/$B$32</f>
        <v>0.5936315246198911</v>
      </c>
      <c r="C8" s="107">
        <f t="shared" ref="C8:C11" si="11">B8-B$6</f>
        <v>-7.1268275445203977E-2</v>
      </c>
      <c r="D8" s="108">
        <f t="shared" ref="D8:D11" si="12">B8/B$6*100</f>
        <v>89.281351048951038</v>
      </c>
      <c r="E8" s="102">
        <f t="shared" si="0"/>
        <v>0.63778115032315064</v>
      </c>
      <c r="F8" s="107">
        <f t="shared" ref="F8:F14" si="13">E8-E$6</f>
        <v>-7.8264788208490255E-2</v>
      </c>
      <c r="G8" s="108">
        <f t="shared" ref="G8:G14" si="14">E8/E$6*100</f>
        <v>89.069864935064942</v>
      </c>
      <c r="H8" s="102">
        <f t="shared" si="1"/>
        <v>0.70205142511740359</v>
      </c>
      <c r="I8" s="107">
        <f t="shared" si="2"/>
        <v>-6.5140651880782996E-2</v>
      </c>
      <c r="J8" s="108">
        <f t="shared" si="3"/>
        <v>91.50921212121213</v>
      </c>
      <c r="K8" s="102">
        <f t="shared" si="4"/>
        <v>0.66007309248151758</v>
      </c>
      <c r="L8" s="107">
        <f t="shared" si="5"/>
        <v>-5.5972846050123315E-2</v>
      </c>
      <c r="M8" s="108">
        <f t="shared" si="6"/>
        <v>92.18306493506492</v>
      </c>
      <c r="N8" s="102">
        <f t="shared" si="7"/>
        <v>0.38113430975961304</v>
      </c>
      <c r="O8" s="107">
        <f t="shared" si="8"/>
        <v>-1.3690426372814368E-4</v>
      </c>
      <c r="P8" s="108">
        <f t="shared" si="9"/>
        <v>99.964092682926818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0.58914418561398618</v>
      </c>
      <c r="C9" s="107">
        <f t="shared" si="11"/>
        <v>-7.5755614451108899E-2</v>
      </c>
      <c r="D9" s="108">
        <f t="shared" si="12"/>
        <v>88.606461538461545</v>
      </c>
      <c r="E9" s="102">
        <f t="shared" si="0"/>
        <v>0.63401757567303674</v>
      </c>
      <c r="F9" s="107">
        <f t="shared" si="13"/>
        <v>-8.2028362858604154E-2</v>
      </c>
      <c r="G9" s="108">
        <f t="shared" si="14"/>
        <v>88.544259740259747</v>
      </c>
      <c r="H9" s="102">
        <f t="shared" si="1"/>
        <v>0.68902366671316306</v>
      </c>
      <c r="I9" s="107">
        <f t="shared" si="2"/>
        <v>-7.8168410285023526E-2</v>
      </c>
      <c r="J9" s="108">
        <f t="shared" si="3"/>
        <v>89.811103030303016</v>
      </c>
      <c r="K9" s="102">
        <f t="shared" si="4"/>
        <v>0.65326970753708102</v>
      </c>
      <c r="L9" s="107">
        <f t="shared" si="5"/>
        <v>-6.2776230994559867E-2</v>
      </c>
      <c r="M9" s="108">
        <f t="shared" si="6"/>
        <v>91.232932467532478</v>
      </c>
      <c r="N9" s="102">
        <f t="shared" si="7"/>
        <v>0.37548894778444231</v>
      </c>
      <c r="O9" s="107">
        <f t="shared" si="8"/>
        <v>-5.782266238898881E-3</v>
      </c>
      <c r="P9" s="108">
        <f t="shared" si="9"/>
        <v>98.483424390243925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0.57973524898870132</v>
      </c>
      <c r="C10" s="107">
        <f t="shared" si="11"/>
        <v>-8.5164551076393757E-2</v>
      </c>
      <c r="D10" s="108">
        <f t="shared" si="12"/>
        <v>87.191370629370624</v>
      </c>
      <c r="E10" s="102">
        <f t="shared" si="0"/>
        <v>0.62156882875342911</v>
      </c>
      <c r="F10" s="107">
        <f t="shared" si="13"/>
        <v>-9.4477109778211776E-2</v>
      </c>
      <c r="G10" s="108">
        <f t="shared" si="14"/>
        <v>86.805719480519471</v>
      </c>
      <c r="H10" s="102">
        <f t="shared" si="1"/>
        <v>0.72231682707955547</v>
      </c>
      <c r="I10" s="107">
        <f t="shared" si="2"/>
        <v>-4.4875249918631122E-2</v>
      </c>
      <c r="J10" s="108">
        <f t="shared" si="3"/>
        <v>94.150715151515158</v>
      </c>
      <c r="K10" s="102">
        <f t="shared" si="4"/>
        <v>0.70320944808666941</v>
      </c>
      <c r="L10" s="107">
        <f t="shared" si="5"/>
        <v>-1.2836490444971482E-2</v>
      </c>
      <c r="M10" s="108">
        <f t="shared" si="6"/>
        <v>98.207309090909078</v>
      </c>
      <c r="N10" s="102">
        <f t="shared" si="7"/>
        <v>0.36608001115915745</v>
      </c>
      <c r="O10" s="107">
        <f t="shared" si="8"/>
        <v>-1.5191202864183739E-2</v>
      </c>
      <c r="P10" s="108">
        <f t="shared" si="9"/>
        <v>96.015643902439024</v>
      </c>
      <c r="Q10" s="109" t="s">
        <v>175</v>
      </c>
    </row>
    <row r="11" spans="1:19" s="96" customFormat="1" ht="15.75" x14ac:dyDescent="0.25">
      <c r="A11" s="110" t="s">
        <v>24</v>
      </c>
      <c r="B11" s="102">
        <f>B24*$B$31/100/$B$32</f>
        <v>1.0737376203096665</v>
      </c>
      <c r="C11" s="107">
        <f t="shared" si="11"/>
        <v>0.40883782024457138</v>
      </c>
      <c r="D11" s="108">
        <f t="shared" si="12"/>
        <v>161.48863636363635</v>
      </c>
      <c r="E11" s="102">
        <f>E24*$B$31/100/$B$32</f>
        <v>1.0994339052401543</v>
      </c>
      <c r="F11" s="107">
        <f t="shared" si="13"/>
        <v>0.38338796670851338</v>
      </c>
      <c r="G11" s="108">
        <f t="shared" si="14"/>
        <v>153.54237012987011</v>
      </c>
      <c r="H11" s="102">
        <f>H24*$B$31/100/$B$32</f>
        <v>1.2514090761147534</v>
      </c>
      <c r="I11" s="107">
        <f t="shared" si="2"/>
        <v>0.48421699911656679</v>
      </c>
      <c r="J11" s="108">
        <f t="shared" si="3"/>
        <v>163.11548484848487</v>
      </c>
      <c r="K11" s="102">
        <f>K24*$B$31/100/$B$32</f>
        <v>0.98526898219184433</v>
      </c>
      <c r="L11" s="107">
        <f t="shared" si="5"/>
        <v>0.26922304366020344</v>
      </c>
      <c r="M11" s="108">
        <f t="shared" si="6"/>
        <v>137.5985714285714</v>
      </c>
      <c r="N11" s="102">
        <f>N24*$B$31/100/$B$32</f>
        <v>0.55210303622076529</v>
      </c>
      <c r="O11" s="107">
        <f t="shared" si="8"/>
        <v>0.1708318221974241</v>
      </c>
      <c r="P11" s="108">
        <f t="shared" si="9"/>
        <v>144.80585365853659</v>
      </c>
      <c r="Q11" s="109" t="s">
        <v>179</v>
      </c>
    </row>
    <row r="12" spans="1:19" s="96" customFormat="1" ht="15.75" x14ac:dyDescent="0.25">
      <c r="A12" s="110" t="s">
        <v>26</v>
      </c>
      <c r="B12" s="111" t="s">
        <v>172</v>
      </c>
      <c r="C12" s="112" t="s">
        <v>172</v>
      </c>
      <c r="D12" s="113" t="s">
        <v>172</v>
      </c>
      <c r="E12" s="102">
        <f>E25*$B$33/$B$32</f>
        <v>1.3649969777281814</v>
      </c>
      <c r="F12" s="107">
        <f t="shared" si="13"/>
        <v>0.64895103919654051</v>
      </c>
      <c r="G12" s="108">
        <f t="shared" si="14"/>
        <v>190.62980519480516</v>
      </c>
      <c r="H12" s="102">
        <f t="shared" ref="H12:H13" si="15">H25*$B$33/$B$32</f>
        <v>1.4276637838843167</v>
      </c>
      <c r="I12" s="107">
        <f t="shared" si="2"/>
        <v>0.66047170688613011</v>
      </c>
      <c r="J12" s="108">
        <f t="shared" si="3"/>
        <v>186.08948484848486</v>
      </c>
      <c r="K12" s="102">
        <f t="shared" ref="K12:K13" si="16">K25*$B$33/$B$32</f>
        <v>1.3649969777281814</v>
      </c>
      <c r="L12" s="107">
        <f t="shared" si="5"/>
        <v>0.64895103919654051</v>
      </c>
      <c r="M12" s="108">
        <f t="shared" si="6"/>
        <v>190.62980519480516</v>
      </c>
      <c r="N12" s="102">
        <f t="shared" ref="N12:N13" si="17">N25*$B$33/$B$32</f>
        <v>0.6665469382061654</v>
      </c>
      <c r="O12" s="107">
        <f t="shared" si="8"/>
        <v>0.28527572418282421</v>
      </c>
      <c r="P12" s="108">
        <f t="shared" si="9"/>
        <v>174.822256097561</v>
      </c>
      <c r="Q12" s="109" t="s">
        <v>180</v>
      </c>
    </row>
    <row r="13" spans="1:19" s="96" customFormat="1" ht="15.75" x14ac:dyDescent="0.25">
      <c r="A13" s="110" t="s">
        <v>27</v>
      </c>
      <c r="B13" s="111" t="s">
        <v>172</v>
      </c>
      <c r="C13" s="112" t="s">
        <v>172</v>
      </c>
      <c r="D13" s="113" t="s">
        <v>172</v>
      </c>
      <c r="E13" s="102">
        <f t="shared" ref="E13" si="18">E26*$B$33/$B$32</f>
        <v>1.2464997442693075</v>
      </c>
      <c r="F13" s="107">
        <f t="shared" si="13"/>
        <v>0.53045380573766665</v>
      </c>
      <c r="G13" s="108">
        <f t="shared" si="14"/>
        <v>174.080974025974</v>
      </c>
      <c r="H13" s="102">
        <f t="shared" si="15"/>
        <v>1.4094334402752591</v>
      </c>
      <c r="I13" s="107">
        <f t="shared" si="2"/>
        <v>0.64224136327707249</v>
      </c>
      <c r="J13" s="108">
        <f t="shared" si="3"/>
        <v>183.7132424242424</v>
      </c>
      <c r="K13" s="102">
        <f t="shared" si="16"/>
        <v>1.2351057795136466</v>
      </c>
      <c r="L13" s="107">
        <f t="shared" si="5"/>
        <v>0.51905984098200575</v>
      </c>
      <c r="M13" s="108">
        <f t="shared" si="6"/>
        <v>172.48974025974024</v>
      </c>
      <c r="N13" s="102">
        <f t="shared" si="17"/>
        <v>0.56969823778304729</v>
      </c>
      <c r="O13" s="107">
        <f t="shared" si="8"/>
        <v>0.1884270237597061</v>
      </c>
      <c r="P13" s="108">
        <f t="shared" si="9"/>
        <v>149.42073170731706</v>
      </c>
      <c r="Q13" s="109" t="s">
        <v>180</v>
      </c>
    </row>
    <row r="14" spans="1:19" s="96" customFormat="1" ht="16.5" thickBot="1" x14ac:dyDescent="0.3">
      <c r="A14" s="114" t="s">
        <v>29</v>
      </c>
      <c r="B14" s="115" t="s">
        <v>172</v>
      </c>
      <c r="C14" s="116" t="s">
        <v>172</v>
      </c>
      <c r="D14" s="117" t="s">
        <v>172</v>
      </c>
      <c r="E14" s="118">
        <f>E27*$B$34/10/$B$32</f>
        <v>1.2785291765471707</v>
      </c>
      <c r="F14" s="119">
        <f t="shared" si="13"/>
        <v>0.5624832380155298</v>
      </c>
      <c r="G14" s="120">
        <f t="shared" si="14"/>
        <v>178.55407142857143</v>
      </c>
      <c r="H14" s="118">
        <f>H27*$B$34/10/$B$32</f>
        <v>1.3290324080531921</v>
      </c>
      <c r="I14" s="119">
        <f t="shared" si="2"/>
        <v>0.56184033105500553</v>
      </c>
      <c r="J14" s="120">
        <f t="shared" si="3"/>
        <v>173.23333333333335</v>
      </c>
      <c r="K14" s="118">
        <f>K27*$B$34/10/$B$32</f>
        <v>1.3582711210303624</v>
      </c>
      <c r="L14" s="119">
        <f t="shared" si="5"/>
        <v>0.64222518249872151</v>
      </c>
      <c r="M14" s="120">
        <f t="shared" si="6"/>
        <v>189.69050000000004</v>
      </c>
      <c r="N14" s="118">
        <f>N27*$B$34/10/$B$32</f>
        <v>0.61401297252057474</v>
      </c>
      <c r="O14" s="119">
        <f t="shared" si="8"/>
        <v>0.23274175849723355</v>
      </c>
      <c r="P14" s="120">
        <f t="shared" si="9"/>
        <v>161.04362195121956</v>
      </c>
      <c r="Q14" s="121" t="s">
        <v>180</v>
      </c>
    </row>
    <row r="15" spans="1:19" s="96" customFormat="1" ht="15.75" x14ac:dyDescent="0.25">
      <c r="A15" s="122"/>
      <c r="B15" s="123"/>
      <c r="C15" s="123"/>
      <c r="D15" s="124"/>
      <c r="E15" s="123"/>
      <c r="F15" s="124"/>
      <c r="G15" s="124"/>
      <c r="H15" s="123"/>
      <c r="I15" s="123"/>
      <c r="J15" s="123"/>
      <c r="K15" s="123"/>
      <c r="L15" s="123"/>
      <c r="M15" s="125"/>
      <c r="N15" s="123"/>
      <c r="O15" s="124"/>
      <c r="P15" s="124"/>
      <c r="Q15" s="124"/>
      <c r="R15" s="124"/>
      <c r="S15" s="95"/>
    </row>
    <row r="16" spans="1:19" s="96" customFormat="1" ht="15.75" x14ac:dyDescent="0.25">
      <c r="A16" s="126" t="s">
        <v>181</v>
      </c>
      <c r="B16" s="123"/>
      <c r="C16" s="123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  <c r="P16" s="127"/>
      <c r="Q16" s="124"/>
      <c r="R16" s="124"/>
      <c r="S16" s="95"/>
    </row>
    <row r="17" spans="1:24" s="96" customFormat="1" ht="16.5" thickBot="1" x14ac:dyDescent="0.3">
      <c r="A17" s="128" t="s">
        <v>182</v>
      </c>
      <c r="B17" s="123"/>
      <c r="C17" s="123"/>
      <c r="D17" s="124"/>
      <c r="E17" s="123"/>
      <c r="F17" s="124"/>
      <c r="G17" s="124"/>
      <c r="H17" s="123"/>
      <c r="I17" s="123"/>
      <c r="J17" s="123"/>
      <c r="K17" s="123"/>
      <c r="L17" s="123"/>
      <c r="M17" s="125"/>
      <c r="N17" s="123"/>
      <c r="O17" s="124"/>
      <c r="P17" s="124"/>
      <c r="Q17" s="124"/>
      <c r="R17" s="124"/>
      <c r="S17" s="95"/>
    </row>
    <row r="18" spans="1:24" s="96" customFormat="1" ht="16.5" thickBot="1" x14ac:dyDescent="0.3">
      <c r="A18" s="129" t="s">
        <v>1</v>
      </c>
      <c r="B18" s="500" t="s">
        <v>164</v>
      </c>
      <c r="C18" s="501"/>
      <c r="D18" s="502"/>
      <c r="E18" s="500" t="s">
        <v>165</v>
      </c>
      <c r="F18" s="501"/>
      <c r="G18" s="502"/>
      <c r="H18" s="500" t="s">
        <v>10</v>
      </c>
      <c r="I18" s="501"/>
      <c r="J18" s="502"/>
      <c r="K18" s="500" t="s">
        <v>11</v>
      </c>
      <c r="L18" s="501"/>
      <c r="M18" s="502"/>
      <c r="N18" s="500" t="s">
        <v>3</v>
      </c>
      <c r="O18" s="501"/>
      <c r="P18" s="502"/>
      <c r="Q18" s="130" t="s">
        <v>183</v>
      </c>
      <c r="R18" s="230" t="s">
        <v>184</v>
      </c>
      <c r="S18" s="186" t="s">
        <v>210</v>
      </c>
      <c r="T18" s="186" t="s">
        <v>211</v>
      </c>
      <c r="U18" s="186" t="s">
        <v>212</v>
      </c>
      <c r="V18" s="186" t="s">
        <v>213</v>
      </c>
      <c r="W18" s="230" t="s">
        <v>214</v>
      </c>
      <c r="X18" s="230" t="s">
        <v>214</v>
      </c>
    </row>
    <row r="19" spans="1:24" s="141" customFormat="1" ht="15.75" x14ac:dyDescent="0.25">
      <c r="A19" s="133" t="s">
        <v>185</v>
      </c>
      <c r="B19" s="134">
        <v>1.43</v>
      </c>
      <c r="C19" s="135" t="s">
        <v>172</v>
      </c>
      <c r="D19" s="136" t="s">
        <v>172</v>
      </c>
      <c r="E19" s="134">
        <v>1.54</v>
      </c>
      <c r="F19" s="135" t="s">
        <v>172</v>
      </c>
      <c r="G19" s="136" t="s">
        <v>172</v>
      </c>
      <c r="H19" s="134">
        <v>1.65</v>
      </c>
      <c r="I19" s="135" t="s">
        <v>172</v>
      </c>
      <c r="J19" s="136" t="s">
        <v>172</v>
      </c>
      <c r="K19" s="134">
        <v>1.54</v>
      </c>
      <c r="L19" s="135" t="s">
        <v>172</v>
      </c>
      <c r="M19" s="136" t="s">
        <v>172</v>
      </c>
      <c r="N19" s="134">
        <v>0.82</v>
      </c>
      <c r="O19" s="135" t="s">
        <v>172</v>
      </c>
      <c r="P19" s="136" t="s">
        <v>172</v>
      </c>
      <c r="Q19" s="138" t="s">
        <v>32</v>
      </c>
      <c r="R19" s="139"/>
      <c r="S19" s="187"/>
      <c r="T19" s="188"/>
      <c r="U19" s="188"/>
      <c r="V19" s="188"/>
      <c r="W19" s="189"/>
      <c r="X19" s="189"/>
    </row>
    <row r="20" spans="1:24" s="141" customFormat="1" ht="15.75" x14ac:dyDescent="0.25">
      <c r="A20" s="142" t="s">
        <v>186</v>
      </c>
      <c r="B20" s="143">
        <v>41.92</v>
      </c>
      <c r="C20" s="144" t="s">
        <v>172</v>
      </c>
      <c r="D20" s="145" t="s">
        <v>172</v>
      </c>
      <c r="E20" s="143">
        <v>45.5</v>
      </c>
      <c r="F20" s="144" t="s">
        <v>172</v>
      </c>
      <c r="G20" s="145" t="s">
        <v>172</v>
      </c>
      <c r="H20" s="143">
        <v>51.09</v>
      </c>
      <c r="I20" s="144" t="s">
        <v>172</v>
      </c>
      <c r="J20" s="145" t="s">
        <v>172</v>
      </c>
      <c r="K20" s="143">
        <v>45.87</v>
      </c>
      <c r="L20" s="144" t="s">
        <v>172</v>
      </c>
      <c r="M20" s="145" t="s">
        <v>172</v>
      </c>
      <c r="N20" s="143">
        <v>25.28</v>
      </c>
      <c r="O20" s="144" t="s">
        <v>172</v>
      </c>
      <c r="P20" s="145" t="s">
        <v>172</v>
      </c>
      <c r="Q20" s="147" t="s">
        <v>225</v>
      </c>
      <c r="R20" s="201" t="s">
        <v>226</v>
      </c>
      <c r="S20" s="190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188</v>
      </c>
      <c r="B21" s="143">
        <v>41.01</v>
      </c>
      <c r="C21" s="144" t="s">
        <v>172</v>
      </c>
      <c r="D21" s="145" t="s">
        <v>172</v>
      </c>
      <c r="E21" s="143">
        <v>44.06</v>
      </c>
      <c r="F21" s="144" t="s">
        <v>172</v>
      </c>
      <c r="G21" s="145" t="s">
        <v>172</v>
      </c>
      <c r="H21" s="143">
        <v>48.5</v>
      </c>
      <c r="I21" s="144" t="s">
        <v>172</v>
      </c>
      <c r="J21" s="145" t="s">
        <v>172</v>
      </c>
      <c r="K21" s="143">
        <v>45.6</v>
      </c>
      <c r="L21" s="144" t="s">
        <v>172</v>
      </c>
      <c r="M21" s="145" t="s">
        <v>172</v>
      </c>
      <c r="N21" s="143">
        <v>26.33</v>
      </c>
      <c r="O21" s="144" t="s">
        <v>172</v>
      </c>
      <c r="P21" s="145" t="s">
        <v>172</v>
      </c>
      <c r="Q21" s="147" t="s">
        <v>220</v>
      </c>
      <c r="R21" s="148"/>
      <c r="S21" s="190"/>
      <c r="T21" s="191"/>
      <c r="U21" s="188"/>
      <c r="V21" s="188"/>
      <c r="W21" s="189"/>
      <c r="X21" s="189"/>
    </row>
    <row r="22" spans="1:24" s="141" customFormat="1" ht="15.75" x14ac:dyDescent="0.25">
      <c r="A22" s="142" t="s">
        <v>190</v>
      </c>
      <c r="B22" s="143">
        <v>40.700000000000003</v>
      </c>
      <c r="C22" s="144" t="s">
        <v>172</v>
      </c>
      <c r="D22" s="145" t="s">
        <v>172</v>
      </c>
      <c r="E22" s="143">
        <v>43.8</v>
      </c>
      <c r="F22" s="144" t="s">
        <v>172</v>
      </c>
      <c r="G22" s="145" t="s">
        <v>172</v>
      </c>
      <c r="H22" s="143">
        <v>47.6</v>
      </c>
      <c r="I22" s="144" t="s">
        <v>172</v>
      </c>
      <c r="J22" s="145" t="s">
        <v>172</v>
      </c>
      <c r="K22" s="143">
        <v>45.13</v>
      </c>
      <c r="L22" s="144" t="s">
        <v>172</v>
      </c>
      <c r="M22" s="145" t="s">
        <v>172</v>
      </c>
      <c r="N22" s="143">
        <v>25.94</v>
      </c>
      <c r="O22" s="144" t="s">
        <v>172</v>
      </c>
      <c r="P22" s="145" t="s">
        <v>172</v>
      </c>
      <c r="Q22" s="147" t="s">
        <v>221</v>
      </c>
      <c r="R22" s="55" t="s">
        <v>37</v>
      </c>
      <c r="S22" s="55" t="s">
        <v>39</v>
      </c>
      <c r="T22" s="193" t="s">
        <v>224</v>
      </c>
      <c r="U22" s="188"/>
      <c r="V22" s="188"/>
      <c r="W22" s="189"/>
      <c r="X22" s="189"/>
    </row>
    <row r="23" spans="1:24" s="141" customFormat="1" ht="15.75" x14ac:dyDescent="0.25">
      <c r="A23" s="142" t="s">
        <v>192</v>
      </c>
      <c r="B23" s="143">
        <v>40.049999999999997</v>
      </c>
      <c r="C23" s="144" t="s">
        <v>172</v>
      </c>
      <c r="D23" s="145" t="s">
        <v>172</v>
      </c>
      <c r="E23" s="143">
        <v>42.94</v>
      </c>
      <c r="F23" s="144" t="s">
        <v>172</v>
      </c>
      <c r="G23" s="145" t="s">
        <v>172</v>
      </c>
      <c r="H23" s="143">
        <v>49.9</v>
      </c>
      <c r="I23" s="144" t="s">
        <v>172</v>
      </c>
      <c r="J23" s="145" t="s">
        <v>172</v>
      </c>
      <c r="K23" s="143">
        <v>48.58</v>
      </c>
      <c r="L23" s="144" t="s">
        <v>172</v>
      </c>
      <c r="M23" s="145" t="s">
        <v>172</v>
      </c>
      <c r="N23" s="143">
        <v>25.29</v>
      </c>
      <c r="O23" s="144" t="s">
        <v>172</v>
      </c>
      <c r="P23" s="145" t="s">
        <v>172</v>
      </c>
      <c r="Q23" s="147" t="s">
        <v>222</v>
      </c>
      <c r="S23" s="190"/>
      <c r="T23" s="191"/>
      <c r="U23" s="188"/>
      <c r="V23" s="188"/>
      <c r="W23" s="189"/>
      <c r="X23" s="189"/>
    </row>
    <row r="24" spans="1:24" s="141" customFormat="1" ht="15.75" x14ac:dyDescent="0.25">
      <c r="A24" s="142" t="s">
        <v>194</v>
      </c>
      <c r="B24" s="143">
        <v>29.25</v>
      </c>
      <c r="C24" s="144" t="s">
        <v>172</v>
      </c>
      <c r="D24" s="145" t="s">
        <v>172</v>
      </c>
      <c r="E24" s="143">
        <v>29.95</v>
      </c>
      <c r="F24" s="144" t="s">
        <v>172</v>
      </c>
      <c r="G24" s="145" t="s">
        <v>172</v>
      </c>
      <c r="H24" s="143">
        <v>34.090000000000003</v>
      </c>
      <c r="I24" s="144" t="s">
        <v>172</v>
      </c>
      <c r="J24" s="145" t="s">
        <v>172</v>
      </c>
      <c r="K24" s="143">
        <v>26.84</v>
      </c>
      <c r="L24" s="144" t="s">
        <v>172</v>
      </c>
      <c r="M24" s="145" t="s">
        <v>172</v>
      </c>
      <c r="N24" s="143">
        <v>15.04</v>
      </c>
      <c r="O24" s="144" t="s">
        <v>172</v>
      </c>
      <c r="P24" s="145" t="s">
        <v>172</v>
      </c>
      <c r="Q24" s="147" t="s">
        <v>41</v>
      </c>
      <c r="R24" s="201" t="s">
        <v>223</v>
      </c>
      <c r="S24" s="192" t="s">
        <v>209</v>
      </c>
      <c r="T24" s="193" t="s">
        <v>227</v>
      </c>
      <c r="U24" s="188"/>
      <c r="V24" s="193" t="s">
        <v>215</v>
      </c>
      <c r="W24" s="194" t="s">
        <v>216</v>
      </c>
      <c r="X24" s="194"/>
    </row>
    <row r="25" spans="1:24" s="141" customFormat="1" ht="15.75" x14ac:dyDescent="0.25">
      <c r="A25" s="142" t="s">
        <v>195</v>
      </c>
      <c r="B25" s="152" t="s">
        <v>172</v>
      </c>
      <c r="C25" s="144" t="s">
        <v>172</v>
      </c>
      <c r="D25" s="145" t="s">
        <v>172</v>
      </c>
      <c r="E25" s="153">
        <v>1.198</v>
      </c>
      <c r="F25" s="144" t="s">
        <v>172</v>
      </c>
      <c r="G25" s="145" t="s">
        <v>172</v>
      </c>
      <c r="H25" s="153">
        <v>1.2529999999999999</v>
      </c>
      <c r="I25" s="144" t="s">
        <v>172</v>
      </c>
      <c r="J25" s="145" t="s">
        <v>172</v>
      </c>
      <c r="K25" s="153">
        <v>1.198</v>
      </c>
      <c r="L25" s="144" t="s">
        <v>172</v>
      </c>
      <c r="M25" s="145" t="s">
        <v>172</v>
      </c>
      <c r="N25" s="153">
        <v>0.58499999999999996</v>
      </c>
      <c r="O25" s="144" t="s">
        <v>172</v>
      </c>
      <c r="P25" s="145" t="s">
        <v>172</v>
      </c>
      <c r="Q25" s="147" t="s">
        <v>45</v>
      </c>
      <c r="R25" s="154" t="s">
        <v>196</v>
      </c>
      <c r="S25" s="192" t="s">
        <v>209</v>
      </c>
      <c r="T25" s="193" t="s">
        <v>217</v>
      </c>
      <c r="U25" s="193" t="s">
        <v>218</v>
      </c>
      <c r="V25" s="193" t="s">
        <v>215</v>
      </c>
      <c r="W25" s="194" t="s">
        <v>216</v>
      </c>
      <c r="X25" s="194" t="s">
        <v>228</v>
      </c>
    </row>
    <row r="26" spans="1:24" s="141" customFormat="1" ht="15.75" x14ac:dyDescent="0.25">
      <c r="A26" s="142" t="s">
        <v>197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1.2370000000000001</v>
      </c>
      <c r="I26" s="144" t="s">
        <v>172</v>
      </c>
      <c r="J26" s="145" t="s">
        <v>172</v>
      </c>
      <c r="K26" s="153">
        <v>1.0840000000000001</v>
      </c>
      <c r="L26" s="144" t="s">
        <v>172</v>
      </c>
      <c r="M26" s="145" t="s">
        <v>172</v>
      </c>
      <c r="N26" s="153">
        <v>0.5</v>
      </c>
      <c r="O26" s="144" t="s">
        <v>172</v>
      </c>
      <c r="P26" s="145" t="s">
        <v>172</v>
      </c>
      <c r="Q26" s="147" t="s">
        <v>48</v>
      </c>
      <c r="R26" s="154" t="s">
        <v>196</v>
      </c>
      <c r="S26" s="192" t="s">
        <v>209</v>
      </c>
      <c r="T26" s="195"/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93" customFormat="1" ht="16.5" thickBot="1" x14ac:dyDescent="0.3">
      <c r="A27" s="156" t="s">
        <v>198</v>
      </c>
      <c r="B27" s="157" t="s">
        <v>172</v>
      </c>
      <c r="C27" s="158" t="s">
        <v>172</v>
      </c>
      <c r="D27" s="159" t="s">
        <v>172</v>
      </c>
      <c r="E27" s="160">
        <v>4.8099999999999996</v>
      </c>
      <c r="F27" s="158" t="s">
        <v>172</v>
      </c>
      <c r="G27" s="159" t="s">
        <v>172</v>
      </c>
      <c r="H27" s="160">
        <v>5</v>
      </c>
      <c r="I27" s="158" t="s">
        <v>172</v>
      </c>
      <c r="J27" s="159" t="s">
        <v>172</v>
      </c>
      <c r="K27" s="160">
        <v>5.1100000000000003</v>
      </c>
      <c r="L27" s="158" t="s">
        <v>172</v>
      </c>
      <c r="M27" s="159" t="s">
        <v>172</v>
      </c>
      <c r="N27" s="160">
        <v>2.31</v>
      </c>
      <c r="O27" s="158" t="s">
        <v>172</v>
      </c>
      <c r="P27" s="159" t="s">
        <v>172</v>
      </c>
      <c r="Q27" s="162" t="s">
        <v>51</v>
      </c>
      <c r="R27" s="163" t="s">
        <v>50</v>
      </c>
      <c r="S27" s="196" t="s">
        <v>209</v>
      </c>
      <c r="T27" s="197"/>
      <c r="U27" s="198" t="s">
        <v>218</v>
      </c>
      <c r="V27" s="198" t="s">
        <v>215</v>
      </c>
      <c r="W27" s="199" t="s">
        <v>216</v>
      </c>
      <c r="X27" s="199" t="s">
        <v>228</v>
      </c>
    </row>
    <row r="28" spans="1:24" s="93" customFormat="1" ht="48.75" customHeight="1" x14ac:dyDescent="0.25">
      <c r="A28" s="504" t="s">
        <v>199</v>
      </c>
      <c r="B28" s="504"/>
      <c r="C28" s="504"/>
      <c r="D28" s="504"/>
      <c r="E28" s="504"/>
      <c r="F28" s="504"/>
      <c r="G28" s="504"/>
      <c r="H28" s="504"/>
      <c r="I28" s="504"/>
      <c r="J28" s="504"/>
      <c r="K28" s="504"/>
      <c r="L28" s="504"/>
      <c r="M28" s="504"/>
      <c r="N28" s="504"/>
      <c r="O28" s="504"/>
      <c r="P28" s="504"/>
      <c r="Q28" s="200"/>
      <c r="R28" s="200"/>
      <c r="S28" s="164"/>
    </row>
    <row r="29" spans="1:24" s="141" customFormat="1" ht="11.25" customHeight="1" thickBot="1" x14ac:dyDescent="0.3">
      <c r="A29" s="165"/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  <c r="M29" s="166"/>
      <c r="N29" s="166"/>
      <c r="O29" s="166"/>
      <c r="P29" s="167"/>
      <c r="Q29" s="167"/>
      <c r="R29" s="167"/>
      <c r="T29"/>
      <c r="U29"/>
    </row>
    <row r="30" spans="1:24" s="141" customFormat="1" ht="63.75" thickBot="1" x14ac:dyDescent="0.3">
      <c r="A30" s="130" t="s">
        <v>200</v>
      </c>
      <c r="B30" s="229" t="s">
        <v>201</v>
      </c>
      <c r="C30" s="511" t="s">
        <v>183</v>
      </c>
      <c r="D30" s="511"/>
      <c r="E30" s="512"/>
      <c r="F30" s="171"/>
      <c r="G30" s="171"/>
      <c r="H30" s="172"/>
      <c r="I30" s="172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15.75" customHeight="1" x14ac:dyDescent="0.25">
      <c r="A31" s="207" t="s">
        <v>202</v>
      </c>
      <c r="B31" s="208">
        <v>7.8949999999999996</v>
      </c>
      <c r="C31" s="520" t="s">
        <v>203</v>
      </c>
      <c r="D31" s="513"/>
      <c r="E31" s="514"/>
      <c r="F31" s="175"/>
      <c r="G31" s="175"/>
      <c r="H31" s="172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x14ac:dyDescent="0.25">
      <c r="A32" s="209" t="s">
        <v>204</v>
      </c>
      <c r="B32" s="210">
        <v>2.1507000000000001</v>
      </c>
      <c r="C32" s="521"/>
      <c r="D32" s="515"/>
      <c r="E32" s="516"/>
      <c r="F32" s="175"/>
      <c r="G32" s="175"/>
      <c r="H32" s="177"/>
      <c r="K32" s="178"/>
      <c r="L32" s="178"/>
      <c r="M32" s="178"/>
      <c r="N32" s="178"/>
      <c r="O32" s="178"/>
      <c r="P32" s="179"/>
      <c r="Q32" s="179"/>
      <c r="R32" s="179"/>
      <c r="T32"/>
      <c r="U32"/>
    </row>
    <row r="33" spans="1:21" s="141" customFormat="1" ht="15.75" x14ac:dyDescent="0.25">
      <c r="A33" s="209" t="s">
        <v>205</v>
      </c>
      <c r="B33" s="211">
        <v>2.4504999999999999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206</v>
      </c>
      <c r="B34" s="210">
        <v>5.7167000000000003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6.5" thickBot="1" x14ac:dyDescent="0.3">
      <c r="A35" s="212" t="s">
        <v>207</v>
      </c>
      <c r="B35" s="210">
        <v>3.1132</v>
      </c>
      <c r="C35" s="522"/>
      <c r="D35" s="517"/>
      <c r="E35" s="518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9.75" customHeight="1" x14ac:dyDescent="0.25">
      <c r="A36" s="181"/>
      <c r="B36" s="166"/>
      <c r="C36" s="178"/>
      <c r="D36" s="178"/>
      <c r="E36" s="178"/>
      <c r="F36" s="177"/>
      <c r="G36" s="177"/>
      <c r="H36" s="177"/>
      <c r="I36" s="177"/>
      <c r="J36" s="178"/>
      <c r="K36" s="178"/>
      <c r="L36" s="178"/>
      <c r="M36" s="178"/>
      <c r="N36" s="178"/>
      <c r="O36" s="178"/>
      <c r="S36"/>
      <c r="T36"/>
      <c r="U36"/>
    </row>
    <row r="37" spans="1:21" s="141" customFormat="1" x14ac:dyDescent="0.25">
      <c r="A37" s="519" t="s">
        <v>208</v>
      </c>
      <c r="B37" s="519"/>
      <c r="C37" s="519"/>
      <c r="D37" s="519"/>
      <c r="E37" s="519"/>
      <c r="F37" s="182"/>
      <c r="G37" s="182"/>
      <c r="H37" s="182"/>
      <c r="I37" s="182"/>
      <c r="J37" s="182"/>
      <c r="K37" s="182"/>
      <c r="L37" s="182"/>
      <c r="M37" s="182"/>
      <c r="N37" s="182"/>
      <c r="O37" s="182"/>
      <c r="P37" s="182"/>
      <c r="S37"/>
      <c r="T37"/>
      <c r="U37"/>
    </row>
    <row r="38" spans="1:21" s="141" customFormat="1" x14ac:dyDescent="0.25">
      <c r="A38" s="183"/>
      <c r="B38" s="178"/>
      <c r="C38" s="178"/>
      <c r="D38" s="178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S38"/>
      <c r="T38"/>
      <c r="U38"/>
    </row>
    <row r="39" spans="1:21" s="141" customFormat="1" x14ac:dyDescent="0.25">
      <c r="S39"/>
      <c r="T39"/>
      <c r="U39"/>
    </row>
    <row r="40" spans="1:21" s="141" customFormat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8:J18"/>
    <mergeCell ref="K18:M18"/>
    <mergeCell ref="N18:P18"/>
    <mergeCell ref="A28:P28"/>
    <mergeCell ref="Q3:Q5"/>
    <mergeCell ref="C4:D4"/>
    <mergeCell ref="F4:G4"/>
    <mergeCell ref="I4:J4"/>
    <mergeCell ref="L4:M4"/>
    <mergeCell ref="O4:P4"/>
    <mergeCell ref="C30:E30"/>
    <mergeCell ref="C31:E35"/>
    <mergeCell ref="A37:E37"/>
    <mergeCell ref="B18:D18"/>
    <mergeCell ref="E18:G18"/>
  </mergeCells>
  <hyperlinks>
    <hyperlink ref="Q19" r:id="rId1"/>
    <hyperlink ref="Q25" r:id="rId2" location=".WOOTMl7SnSs"/>
    <hyperlink ref="Q27" r:id="rId3" location=".VyhQfdKLTcs"/>
    <hyperlink ref="R27" r:id="rId4"/>
    <hyperlink ref="R25" r:id="rId5"/>
    <hyperlink ref="R26" r:id="rId6"/>
    <hyperlink ref="C31" r:id="rId7"/>
    <hyperlink ref="C31:E35" r:id="rId8" display="http://www.nbrb.by/statistics/rates/ratesDaily.asp"/>
    <hyperlink ref="S25" r:id="rId9"/>
    <hyperlink ref="S24" r:id="rId10"/>
    <hyperlink ref="T25" r:id="rId11"/>
    <hyperlink ref="U25" r:id="rId12"/>
    <hyperlink ref="U26" r:id="rId13"/>
    <hyperlink ref="U27" r:id="rId14"/>
    <hyperlink ref="V24" r:id="rId15"/>
    <hyperlink ref="V25" r:id="rId16"/>
    <hyperlink ref="V26" r:id="rId17"/>
    <hyperlink ref="V27" r:id="rId18"/>
    <hyperlink ref="W24" r:id="rId19"/>
    <hyperlink ref="W25" r:id="rId20"/>
    <hyperlink ref="W26" r:id="rId21"/>
    <hyperlink ref="W27" r:id="rId22"/>
    <hyperlink ref="R24" r:id="rId23"/>
    <hyperlink ref="Q23" r:id="rId24"/>
    <hyperlink ref="Q24" r:id="rId25"/>
    <hyperlink ref="Q20" r:id="rId26"/>
    <hyperlink ref="Q21" r:id="rId27"/>
    <hyperlink ref="Q22" r:id="rId28"/>
    <hyperlink ref="S26" r:id="rId29" location=".WOOTMl7SnSs" display="http://autotraveler.ru/latvia/#.WOOTMl7SnSs"/>
    <hyperlink ref="O22" r:id="rId30" display="www.benzin-price.ru/price.php?region_id=32"/>
    <hyperlink ref="P11" r:id="rId31" display="www.nbrb.by"/>
    <hyperlink ref="R22" r:id="rId32"/>
    <hyperlink ref="R21" r:id="rId33" display="http://natrakte.ru/"/>
    <hyperlink ref="S27" r:id="rId34" location=".Vs2LGH2LRkg" display="http://autotraveler.ru/lithuania/#.Vs2LGH2LRkg"/>
    <hyperlink ref="Q26" r:id="rId35" display="http://www.fuel-prices-europe.info/"/>
    <hyperlink ref="O28" r:id="rId36" display="www.e-petrol.ru/rynek-krajowy/ceny-stacje-paliw"/>
    <hyperlink ref="B77" r:id="rId37" display="http://www.lukoil.lt/ru/avtozapravochnye_stancii_azs_/karta_azs?filterID=65"/>
    <hyperlink ref="B73" r:id="rId38" display="http://www.lukoil.lt/ru/avtozapravochnye_stancii_azs_/karta_azs?filterID=86,87,111"/>
    <hyperlink ref="B70" r:id="rId39" display="http://www.lukoil.lt/ru/avtozapravochnye_stancii_azs_/karta_azs?filterID=67"/>
    <hyperlink ref="B66" r:id="rId40" display="http://www.lukoil.lt/ru/avtozapravochnye_stancii_azs_/karta_azs?filterID=22,77,104,110,117,118,119"/>
    <hyperlink ref="B62" r:id="rId41" display="http://www.lukoil.lt/ru/avtozapravochnye_stancii_azs_/karta_azs?filterID=32,87"/>
    <hyperlink ref="B59" r:id="rId42" display="http://www.lukoil.lt/ru/avtozapravochnye_stancii_azs_/karta_azs?filterID=33"/>
    <hyperlink ref="B56" r:id="rId43" display="http://www.lukoil.lt/ru/avtozapravochnye_stancii_azs_/karta_azs?filterID=54"/>
    <hyperlink ref="B53" r:id="rId44" display="http://www.lukoil.lt/ru/avtozapravochnye_stancii_azs_/karta_azs?filterID=67"/>
    <hyperlink ref="B50" r:id="rId45" display="http://www.lukoil.lt/ru/avtozapravochnye_stancii_azs_/karta_azs?filterID=65"/>
    <hyperlink ref="O27" r:id="rId46" display="www.lukoil.lt/ru/osnovnaja_stranica"/>
    <hyperlink ref="O26" r:id="rId47" display="www.lukoil.lv/lv/galvena_lapa"/>
    <hyperlink ref="O25" r:id="rId48" display="www.vseazs.com/"/>
    <hyperlink ref="M42" r:id="rId49" display="http://www.benzin-price.ru/price.php?region_id=60&amp;sort=11&amp;brand_id=0&amp;price_mode="/>
    <hyperlink ref="L42" r:id="rId50" display="http://www.benzin-price.ru/price.php?region_id=60&amp;sort=10&amp;brand_id=0&amp;price_mode="/>
    <hyperlink ref="K42" r:id="rId51" display="http://www.benzin-price.ru/price.php?region_id=60&amp;sort=9&amp;brand_id=0&amp;price_mode="/>
    <hyperlink ref="J42" r:id="rId52" display="http://www.benzin-price.ru/price.php?region_id=60&amp;sort=8&amp;brand_id=0&amp;price_mode="/>
    <hyperlink ref="I42" r:id="rId53" display="http://www.benzin-price.ru/price.php?region_id=60&amp;sort=7&amp;brand_id=0&amp;price_mode="/>
    <hyperlink ref="H42" r:id="rId54" display="http://www.benzin-price.ru/price.php?region_id=60&amp;sort=6&amp;brand_id=0&amp;price_mode="/>
    <hyperlink ref="G42" r:id="rId55" display="http://www.benzin-price.ru/price.php?region_id=60&amp;sort=5&amp;brand_id=0&amp;price_mode="/>
    <hyperlink ref="E42" r:id="rId56" display="http://www.benzin-price.ru/price.php?region_id=60&amp;sort=3&amp;brand_id=0&amp;price_mode="/>
    <hyperlink ref="D42" r:id="rId57" display="http://www.benzin-price.ru/price.php?region_id=60&amp;sort=2&amp;brand_id=0&amp;price_mode="/>
    <hyperlink ref="C42" r:id="rId58" display="http://www.benzin-price.ru/price.php?region_id=60&amp;sort=1&amp;brand_id=0&amp;price_mode="/>
    <hyperlink ref="O24" r:id="rId59" display="www.benzin-price.ru/price.php?region_id=60"/>
    <hyperlink ref="O23" r:id="rId60" display="www.benzin-price.ru/price.php?region_id=67"/>
    <hyperlink ref="O21" r:id="rId61" display="www.benzin-price.ru/price.php?region_id=77"/>
    <hyperlink ref="O20" r:id="rId62" display="www.belorusneft.by/sitebeloil/ru/center/azs/"/>
    <hyperlink ref="Q28" r:id="rId63" location=".VyhQfdKLTcs" display="http://autotraveler.ru/poland/#.VyhQfdKLTcs"/>
    <hyperlink ref="S22" r:id="rId64"/>
    <hyperlink ref="T22" r:id="rId65"/>
    <hyperlink ref="R20" r:id="rId66"/>
    <hyperlink ref="T24" r:id="rId67"/>
    <hyperlink ref="X25" r:id="rId68"/>
    <hyperlink ref="X26" r:id="rId69"/>
    <hyperlink ref="X27" r:id="rId70"/>
  </hyperlinks>
  <pageMargins left="0.7" right="0.7" top="0.75" bottom="0.75" header="0.3" footer="0.3"/>
  <pageSetup paperSize="9" orientation="portrait" r:id="rId7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5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43467</v>
      </c>
      <c r="E2" s="493"/>
      <c r="F2" s="233"/>
      <c r="G2" s="233"/>
      <c r="H2" s="233"/>
      <c r="I2" s="233"/>
      <c r="J2" s="233"/>
      <c r="K2" s="233"/>
      <c r="L2" s="233"/>
      <c r="M2" s="233"/>
      <c r="N2" s="233"/>
      <c r="O2" s="233"/>
      <c r="P2" s="233"/>
      <c r="Q2" s="233"/>
      <c r="R2" s="233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0.6620983424391147</v>
      </c>
      <c r="C6" s="103" t="s">
        <v>172</v>
      </c>
      <c r="D6" s="104" t="s">
        <v>172</v>
      </c>
      <c r="E6" s="102">
        <f>E20/$B$33</f>
        <v>0.71302898416520044</v>
      </c>
      <c r="F6" s="103" t="s">
        <v>172</v>
      </c>
      <c r="G6" s="104" t="s">
        <v>172</v>
      </c>
      <c r="H6" s="102">
        <f>H20/$B$33</f>
        <v>0.76395962589128608</v>
      </c>
      <c r="I6" s="103" t="s">
        <v>172</v>
      </c>
      <c r="J6" s="104" t="s">
        <v>172</v>
      </c>
      <c r="K6" s="102">
        <f>K20/$B$33</f>
        <v>0.71302898416520044</v>
      </c>
      <c r="L6" s="103" t="s">
        <v>172</v>
      </c>
      <c r="M6" s="104" t="s">
        <v>172</v>
      </c>
      <c r="N6" s="102">
        <f>N20/$B$33</f>
        <v>0.37966478377627555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0.60402559496249653</v>
      </c>
      <c r="C7" s="107">
        <f>B7-B$6</f>
        <v>-5.8072747476618169E-2</v>
      </c>
      <c r="D7" s="108">
        <f>B7/B$6*100</f>
        <v>91.228984615384618</v>
      </c>
      <c r="E7" s="102">
        <f t="shared" ref="E7:E10" si="0">E21*$B$36/100/$B$33</f>
        <v>0.65648689693490136</v>
      </c>
      <c r="F7" s="107">
        <f>E7-E$6</f>
        <v>-5.6542087230299076E-2</v>
      </c>
      <c r="G7" s="108">
        <f>E7/E$6*100</f>
        <v>92.070155844155849</v>
      </c>
      <c r="H7" s="102">
        <f t="shared" ref="H7:H10" si="1">H21*$B$36/100/$B$33</f>
        <v>0.73633184554125386</v>
      </c>
      <c r="I7" s="107">
        <f t="shared" ref="I7:I15" si="2">H7-H$6</f>
        <v>-2.7627780350032216E-2</v>
      </c>
      <c r="J7" s="108">
        <f t="shared" ref="J7:J15" si="3">H7/H$6*100</f>
        <v>96.383607272727303</v>
      </c>
      <c r="K7" s="102">
        <f t="shared" ref="K7:K10" si="4">K21*$B$36/100/$B$33</f>
        <v>0.66282837299749986</v>
      </c>
      <c r="L7" s="107">
        <f t="shared" ref="L7:L15" si="5">K7-K$6</f>
        <v>-5.0200611167700582E-2</v>
      </c>
      <c r="M7" s="108">
        <f t="shared" ref="M7:M15" si="6">K7/K$6*100</f>
        <v>92.9595272727273</v>
      </c>
      <c r="N7" s="102">
        <f t="shared" ref="N7:N10" si="7">N21*$B$36/100/$B$33</f>
        <v>0.36910273173441982</v>
      </c>
      <c r="O7" s="107">
        <f t="shared" ref="O7:O15" si="8">N7-N$6</f>
        <v>-1.056205204185573E-2</v>
      </c>
      <c r="P7" s="108">
        <f t="shared" ref="P7:P15" si="9">N7/N$6*100</f>
        <v>97.21805853658536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0.58846015371793681</v>
      </c>
      <c r="C8" s="107">
        <f t="shared" ref="C8:C12" si="11">B8-B$6</f>
        <v>-7.3638188721177888E-2</v>
      </c>
      <c r="D8" s="108">
        <f t="shared" ref="D8:D12" si="12">B8/B$6*100</f>
        <v>88.878058741258741</v>
      </c>
      <c r="E8" s="102">
        <f t="shared" si="0"/>
        <v>0.63169749050838031</v>
      </c>
      <c r="F8" s="107">
        <f t="shared" ref="F8:F15" si="13">E8-E$6</f>
        <v>-8.1331493656820131E-2</v>
      </c>
      <c r="G8" s="108">
        <f t="shared" ref="G8:G15" si="14">E8/E$6*100</f>
        <v>88.593522077922074</v>
      </c>
      <c r="H8" s="102">
        <f t="shared" si="1"/>
        <v>0.69900361144550416</v>
      </c>
      <c r="I8" s="107">
        <f t="shared" si="2"/>
        <v>-6.4956014445781918E-2</v>
      </c>
      <c r="J8" s="108">
        <f t="shared" si="3"/>
        <v>91.497454545454559</v>
      </c>
      <c r="K8" s="102">
        <f t="shared" si="4"/>
        <v>0.66556673766089436</v>
      </c>
      <c r="L8" s="107">
        <f t="shared" si="5"/>
        <v>-4.7462246504306083E-2</v>
      </c>
      <c r="M8" s="108">
        <f t="shared" si="6"/>
        <v>93.343574025974007</v>
      </c>
      <c r="N8" s="102">
        <f t="shared" si="7"/>
        <v>0.37947969256412623</v>
      </c>
      <c r="O8" s="107">
        <f t="shared" si="8"/>
        <v>-1.8509121214932422E-4</v>
      </c>
      <c r="P8" s="108">
        <f t="shared" si="9"/>
        <v>99.951248780487788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0.58932490045374564</v>
      </c>
      <c r="C9" s="107">
        <f t="shared" si="11"/>
        <v>-7.2773441985369058E-2</v>
      </c>
      <c r="D9" s="108">
        <f t="shared" si="12"/>
        <v>89.008665734265719</v>
      </c>
      <c r="E9" s="102">
        <f t="shared" si="0"/>
        <v>0.63501235299564773</v>
      </c>
      <c r="F9" s="107">
        <f t="shared" si="13"/>
        <v>-7.8016631169552708E-2</v>
      </c>
      <c r="G9" s="108">
        <f t="shared" si="14"/>
        <v>89.058420779220782</v>
      </c>
      <c r="H9" s="102">
        <f t="shared" si="1"/>
        <v>0.68603241040837126</v>
      </c>
      <c r="I9" s="107">
        <f t="shared" si="2"/>
        <v>-7.7927215482914813E-2</v>
      </c>
      <c r="J9" s="108">
        <f t="shared" si="3"/>
        <v>89.799563636363672</v>
      </c>
      <c r="K9" s="102">
        <f t="shared" si="4"/>
        <v>0.65360440781553841</v>
      </c>
      <c r="L9" s="107">
        <f t="shared" si="5"/>
        <v>-5.9424576349662028E-2</v>
      </c>
      <c r="M9" s="108">
        <f t="shared" si="6"/>
        <v>91.665896103896102</v>
      </c>
      <c r="N9" s="102">
        <f t="shared" si="7"/>
        <v>0.37385883878136861</v>
      </c>
      <c r="O9" s="107">
        <f t="shared" si="8"/>
        <v>-5.8059449949069419E-3</v>
      </c>
      <c r="P9" s="108">
        <f t="shared" si="9"/>
        <v>98.470770731707319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0.60171960366700616</v>
      </c>
      <c r="C10" s="107">
        <f t="shared" si="11"/>
        <v>-6.0378738772108531E-2</v>
      </c>
      <c r="D10" s="108">
        <f t="shared" si="12"/>
        <v>90.880699300699291</v>
      </c>
      <c r="E10" s="102">
        <f t="shared" si="0"/>
        <v>0.64279507361792765</v>
      </c>
      <c r="F10" s="107">
        <f t="shared" si="13"/>
        <v>-7.0233910547272793E-2</v>
      </c>
      <c r="G10" s="108">
        <f t="shared" si="14"/>
        <v>90.149922077922099</v>
      </c>
      <c r="H10" s="102">
        <f t="shared" si="1"/>
        <v>0.73863783683674411</v>
      </c>
      <c r="I10" s="107">
        <f t="shared" si="2"/>
        <v>-2.5321789054541965E-2</v>
      </c>
      <c r="J10" s="108">
        <f t="shared" si="3"/>
        <v>96.685454545454562</v>
      </c>
      <c r="K10" s="102">
        <f t="shared" si="4"/>
        <v>0.67709669413834606</v>
      </c>
      <c r="L10" s="107">
        <f t="shared" si="5"/>
        <v>-3.5932290026854385E-2</v>
      </c>
      <c r="M10" s="108">
        <f t="shared" si="6"/>
        <v>94.960612987012979</v>
      </c>
      <c r="N10" s="102">
        <f t="shared" si="7"/>
        <v>0.36449074914343921</v>
      </c>
      <c r="O10" s="107">
        <f t="shared" si="8"/>
        <v>-1.5174034632836342E-2</v>
      </c>
      <c r="P10" s="108">
        <f t="shared" si="9"/>
        <v>96.00330731707318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0.59588256320029631</v>
      </c>
      <c r="C11" s="236">
        <f t="shared" si="11"/>
        <v>-6.6215779238818384E-2</v>
      </c>
      <c r="D11" s="237">
        <f t="shared" si="12"/>
        <v>89.99910209790211</v>
      </c>
      <c r="E11" s="235">
        <f>AVERAGE(E7:E10)</f>
        <v>0.64149795351421424</v>
      </c>
      <c r="F11" s="236">
        <f t="shared" si="13"/>
        <v>-7.1531030650986205E-2</v>
      </c>
      <c r="G11" s="237">
        <f t="shared" si="14"/>
        <v>89.968005194805187</v>
      </c>
      <c r="H11" s="235">
        <f>AVERAGE(H7:H10)</f>
        <v>0.71500142605796835</v>
      </c>
      <c r="I11" s="236">
        <f t="shared" si="2"/>
        <v>-4.8958199833317728E-2</v>
      </c>
      <c r="J11" s="237">
        <f t="shared" si="3"/>
        <v>93.591520000000017</v>
      </c>
      <c r="K11" s="235">
        <f>AVERAGE(K7:K10)</f>
        <v>0.6647740531530697</v>
      </c>
      <c r="L11" s="236">
        <f t="shared" si="5"/>
        <v>-4.8254931012130742E-2</v>
      </c>
      <c r="M11" s="237">
        <f t="shared" si="6"/>
        <v>93.232402597402597</v>
      </c>
      <c r="N11" s="235">
        <f>AVERAGE(N7:N10)</f>
        <v>0.37173300305583845</v>
      </c>
      <c r="O11" s="236">
        <f t="shared" si="8"/>
        <v>-7.9317807204370983E-3</v>
      </c>
      <c r="P11" s="237">
        <f t="shared" si="9"/>
        <v>97.910846341463412</v>
      </c>
      <c r="Q11" s="109"/>
    </row>
    <row r="12" spans="1:19" s="96" customFormat="1" ht="15.75" x14ac:dyDescent="0.25">
      <c r="A12" s="110" t="s">
        <v>24</v>
      </c>
      <c r="B12" s="102">
        <f>B25*$B$32/100/$B$33</f>
        <v>1.0516061764978237</v>
      </c>
      <c r="C12" s="107">
        <f t="shared" si="11"/>
        <v>0.38950783405870903</v>
      </c>
      <c r="D12" s="108">
        <f t="shared" si="12"/>
        <v>158.82930209790209</v>
      </c>
      <c r="E12" s="102">
        <f>E25*$B$32/100/$B$33</f>
        <v>1.080837508102602</v>
      </c>
      <c r="F12" s="107">
        <f t="shared" si="13"/>
        <v>0.3678085239374016</v>
      </c>
      <c r="G12" s="108">
        <f t="shared" si="14"/>
        <v>151.58395129870129</v>
      </c>
      <c r="H12" s="102">
        <f>H25*$B$32/100/$B$33</f>
        <v>1.1688923835540326</v>
      </c>
      <c r="I12" s="107">
        <f t="shared" si="2"/>
        <v>0.4049327576627465</v>
      </c>
      <c r="J12" s="108">
        <f t="shared" si="3"/>
        <v>153.00447090909091</v>
      </c>
      <c r="K12" s="102">
        <f>K25*$B$32/100/$B$33</f>
        <v>0.96860362996573734</v>
      </c>
      <c r="L12" s="107">
        <f t="shared" si="5"/>
        <v>0.2555746458005369</v>
      </c>
      <c r="M12" s="108">
        <f t="shared" si="6"/>
        <v>135.84351428571426</v>
      </c>
      <c r="N12" s="102">
        <f>N25*$B$32/100/$B$33</f>
        <v>0.49693263728122972</v>
      </c>
      <c r="O12" s="107">
        <f t="shared" si="8"/>
        <v>0.11726785350495417</v>
      </c>
      <c r="P12" s="108">
        <f t="shared" si="9"/>
        <v>130.88720853658538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1.3719479581442724</v>
      </c>
      <c r="F13" s="107">
        <f t="shared" si="13"/>
        <v>0.65891897397907195</v>
      </c>
      <c r="G13" s="108">
        <f t="shared" si="14"/>
        <v>192.41124675324673</v>
      </c>
      <c r="H13" s="102">
        <f t="shared" ref="H13:H14" si="15">H26*$B$34/$B$33</f>
        <v>1.4349338827669227</v>
      </c>
      <c r="I13" s="107">
        <f t="shared" si="2"/>
        <v>0.67097425687563661</v>
      </c>
      <c r="J13" s="108">
        <f t="shared" si="3"/>
        <v>187.828496969697</v>
      </c>
      <c r="K13" s="102">
        <f t="shared" ref="K13:K14" si="16">K26*$B$34/$B$33</f>
        <v>1.3719479581442724</v>
      </c>
      <c r="L13" s="107">
        <f t="shared" si="5"/>
        <v>0.65891897397907195</v>
      </c>
      <c r="M13" s="108">
        <f t="shared" si="6"/>
        <v>192.41124675324673</v>
      </c>
      <c r="N13" s="102">
        <f t="shared" ref="N13:N14" si="17">N26*$B$34/$B$33</f>
        <v>0.66994119825909793</v>
      </c>
      <c r="O13" s="107">
        <f t="shared" si="8"/>
        <v>0.29027641448282238</v>
      </c>
      <c r="P13" s="108">
        <f t="shared" si="9"/>
        <v>176.45597560975608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1.2528473006759884</v>
      </c>
      <c r="F14" s="107">
        <f t="shared" si="13"/>
        <v>0.53981831651078793</v>
      </c>
      <c r="G14" s="108">
        <f t="shared" si="14"/>
        <v>175.70776623376622</v>
      </c>
      <c r="H14" s="102">
        <f t="shared" si="15"/>
        <v>1.3478987869247152</v>
      </c>
      <c r="I14" s="107">
        <f t="shared" si="2"/>
        <v>0.58393916103342913</v>
      </c>
      <c r="J14" s="108">
        <f t="shared" si="3"/>
        <v>176.4358666666667</v>
      </c>
      <c r="K14" s="102">
        <f t="shared" si="16"/>
        <v>1.2184913417909065</v>
      </c>
      <c r="L14" s="107">
        <f t="shared" si="5"/>
        <v>0.50546235762570602</v>
      </c>
      <c r="M14" s="108">
        <f t="shared" si="6"/>
        <v>170.88945454545456</v>
      </c>
      <c r="N14" s="102">
        <f t="shared" si="17"/>
        <v>0.576034910639874</v>
      </c>
      <c r="O14" s="107">
        <f t="shared" si="8"/>
        <v>0.19637012686359845</v>
      </c>
      <c r="P14" s="108">
        <f t="shared" si="9"/>
        <v>151.7219756097561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1.2731248263728121</v>
      </c>
      <c r="F15" s="119">
        <f t="shared" si="13"/>
        <v>0.56009584220761166</v>
      </c>
      <c r="G15" s="120">
        <f t="shared" si="14"/>
        <v>178.55162337662335</v>
      </c>
      <c r="H15" s="118">
        <f>H28*$B$35/10/$B$33</f>
        <v>1.3397108528567461</v>
      </c>
      <c r="I15" s="119">
        <f t="shared" si="2"/>
        <v>0.57575122696545999</v>
      </c>
      <c r="J15" s="120">
        <f t="shared" si="3"/>
        <v>175.36409090909095</v>
      </c>
      <c r="K15" s="118">
        <f>K28*$B$35/10/$B$33</f>
        <v>1.3663452634503195</v>
      </c>
      <c r="L15" s="119">
        <f t="shared" si="5"/>
        <v>0.65331627928511904</v>
      </c>
      <c r="M15" s="120">
        <f t="shared" si="6"/>
        <v>191.62548701298704</v>
      </c>
      <c r="N15" s="118">
        <f>N28*$B$35/10/$B$33</f>
        <v>0.6072645615334753</v>
      </c>
      <c r="O15" s="119">
        <f t="shared" si="8"/>
        <v>0.22759977775719975</v>
      </c>
      <c r="P15" s="120">
        <f t="shared" si="9"/>
        <v>159.94756097560975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32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32" t="s">
        <v>214</v>
      </c>
      <c r="X19" s="232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41.91</v>
      </c>
      <c r="C21" s="144" t="s">
        <v>172</v>
      </c>
      <c r="D21" s="145" t="s">
        <v>172</v>
      </c>
      <c r="E21" s="143">
        <v>45.55</v>
      </c>
      <c r="F21" s="144" t="s">
        <v>172</v>
      </c>
      <c r="G21" s="145" t="s">
        <v>172</v>
      </c>
      <c r="H21" s="143">
        <v>51.09</v>
      </c>
      <c r="I21" s="144" t="s">
        <v>172</v>
      </c>
      <c r="J21" s="145" t="s">
        <v>172</v>
      </c>
      <c r="K21" s="143">
        <v>45.99</v>
      </c>
      <c r="L21" s="144" t="s">
        <v>172</v>
      </c>
      <c r="M21" s="145" t="s">
        <v>172</v>
      </c>
      <c r="N21" s="143">
        <v>25.61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40.83</v>
      </c>
      <c r="C22" s="144" t="s">
        <v>172</v>
      </c>
      <c r="D22" s="145" t="s">
        <v>172</v>
      </c>
      <c r="E22" s="143">
        <v>43.83</v>
      </c>
      <c r="F22" s="144" t="s">
        <v>172</v>
      </c>
      <c r="G22" s="145" t="s">
        <v>172</v>
      </c>
      <c r="H22" s="143">
        <v>48.5</v>
      </c>
      <c r="I22" s="144" t="s">
        <v>172</v>
      </c>
      <c r="J22" s="145" t="s">
        <v>172</v>
      </c>
      <c r="K22" s="143">
        <v>46.18</v>
      </c>
      <c r="L22" s="144" t="s">
        <v>172</v>
      </c>
      <c r="M22" s="145" t="s">
        <v>172</v>
      </c>
      <c r="N22" s="143">
        <v>26.33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40.89</v>
      </c>
      <c r="C23" s="144" t="s">
        <v>172</v>
      </c>
      <c r="D23" s="145" t="s">
        <v>172</v>
      </c>
      <c r="E23" s="143">
        <v>44.06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45.35</v>
      </c>
      <c r="L23" s="144" t="s">
        <v>172</v>
      </c>
      <c r="M23" s="145" t="s">
        <v>172</v>
      </c>
      <c r="N23" s="143">
        <v>25.94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41.75</v>
      </c>
      <c r="C24" s="144" t="s">
        <v>172</v>
      </c>
      <c r="D24" s="145" t="s">
        <v>172</v>
      </c>
      <c r="E24" s="143">
        <v>44.6</v>
      </c>
      <c r="F24" s="144" t="s">
        <v>172</v>
      </c>
      <c r="G24" s="145" t="s">
        <v>172</v>
      </c>
      <c r="H24" s="143">
        <v>51.25</v>
      </c>
      <c r="I24" s="144" t="s">
        <v>172</v>
      </c>
      <c r="J24" s="145" t="s">
        <v>172</v>
      </c>
      <c r="K24" s="143">
        <v>46.98</v>
      </c>
      <c r="L24" s="144" t="s">
        <v>172</v>
      </c>
      <c r="M24" s="145" t="s">
        <v>172</v>
      </c>
      <c r="N24" s="143">
        <v>25.29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29.14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13.77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1.198</v>
      </c>
      <c r="F26" s="144" t="s">
        <v>172</v>
      </c>
      <c r="G26" s="145" t="s">
        <v>172</v>
      </c>
      <c r="H26" s="153">
        <v>1.2529999999999999</v>
      </c>
      <c r="I26" s="144" t="s">
        <v>172</v>
      </c>
      <c r="J26" s="145" t="s">
        <v>172</v>
      </c>
      <c r="K26" s="153">
        <v>1.198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1.0940000000000001</v>
      </c>
      <c r="F27" s="144" t="s">
        <v>172</v>
      </c>
      <c r="G27" s="145" t="s">
        <v>172</v>
      </c>
      <c r="H27" s="153">
        <v>1.177</v>
      </c>
      <c r="I27" s="144" t="s">
        <v>172</v>
      </c>
      <c r="J27" s="145" t="s">
        <v>172</v>
      </c>
      <c r="K27" s="153">
        <v>1.0640000000000001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4.78</v>
      </c>
      <c r="F28" s="158" t="s">
        <v>172</v>
      </c>
      <c r="G28" s="159" t="s">
        <v>172</v>
      </c>
      <c r="H28" s="234">
        <v>5.03</v>
      </c>
      <c r="I28" s="158" t="s">
        <v>172</v>
      </c>
      <c r="J28" s="159" t="s">
        <v>172</v>
      </c>
      <c r="K28" s="234">
        <v>5.13</v>
      </c>
      <c r="L28" s="158" t="s">
        <v>172</v>
      </c>
      <c r="M28" s="159" t="s">
        <v>172</v>
      </c>
      <c r="N28" s="234">
        <v>2.2799999999999998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31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7.7942999999999998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2.1598000000000002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2.4733999999999998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5.7525000000000004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3.1128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43473</v>
      </c>
      <c r="E2" s="493"/>
      <c r="F2" s="238"/>
      <c r="G2" s="238"/>
      <c r="H2" s="238"/>
      <c r="I2" s="238"/>
      <c r="J2" s="238"/>
      <c r="K2" s="238"/>
      <c r="L2" s="238"/>
      <c r="M2" s="238"/>
      <c r="N2" s="238"/>
      <c r="O2" s="238"/>
      <c r="P2" s="238"/>
      <c r="Q2" s="238"/>
      <c r="R2" s="238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0.65816725732958992</v>
      </c>
      <c r="C6" s="103" t="s">
        <v>172</v>
      </c>
      <c r="D6" s="104" t="s">
        <v>172</v>
      </c>
      <c r="E6" s="102">
        <f>E20/$B$33</f>
        <v>0.70879550789340462</v>
      </c>
      <c r="F6" s="103" t="s">
        <v>172</v>
      </c>
      <c r="G6" s="104" t="s">
        <v>172</v>
      </c>
      <c r="H6" s="102">
        <f>H20/$B$33</f>
        <v>0.7594237584572191</v>
      </c>
      <c r="I6" s="103" t="s">
        <v>172</v>
      </c>
      <c r="J6" s="104" t="s">
        <v>172</v>
      </c>
      <c r="K6" s="102">
        <f>K20/$B$33</f>
        <v>0.70879550789340462</v>
      </c>
      <c r="L6" s="103" t="s">
        <v>172</v>
      </c>
      <c r="M6" s="104" t="s">
        <v>172</v>
      </c>
      <c r="N6" s="102">
        <f>N20/$B$33</f>
        <v>0.37741059511207253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0.61303526027523347</v>
      </c>
      <c r="C7" s="107">
        <f>B7-B$6</f>
        <v>-4.5131997054356443E-2</v>
      </c>
      <c r="D7" s="108">
        <f>B7/B$6*100</f>
        <v>93.142776923076909</v>
      </c>
      <c r="E7" s="102">
        <f t="shared" ref="E7:E10" si="0">E21*$B$36/100/$B$33</f>
        <v>0.66627907672481235</v>
      </c>
      <c r="F7" s="107">
        <f>E7-E$6</f>
        <v>-4.2516431168592272E-2</v>
      </c>
      <c r="G7" s="108">
        <f>E7/E$6*100</f>
        <v>94.001594155844131</v>
      </c>
      <c r="H7" s="102">
        <f t="shared" ref="H7:H10" si="1">H21*$B$36/100/$B$33</f>
        <v>0.74731499516730349</v>
      </c>
      <c r="I7" s="107">
        <f t="shared" ref="I7:I15" si="2">H7-H$6</f>
        <v>-1.2108763289915614E-2</v>
      </c>
      <c r="J7" s="108">
        <f t="shared" ref="J7:J15" si="3">H7/H$6*100</f>
        <v>98.405532727272742</v>
      </c>
      <c r="K7" s="102">
        <f t="shared" ref="K7:K10" si="4">K21*$B$36/100/$B$33</f>
        <v>0.67549435264877811</v>
      </c>
      <c r="L7" s="107">
        <f t="shared" ref="L7:L15" si="5">K7-K$6</f>
        <v>-3.3301155244626512E-2</v>
      </c>
      <c r="M7" s="108">
        <f t="shared" ref="M7:M15" si="6">K7/K$6*100</f>
        <v>95.30172597402597</v>
      </c>
      <c r="N7" s="102">
        <f t="shared" ref="N7:N10" si="7">N21*$B$36/100/$B$33</f>
        <v>0.37124397293689881</v>
      </c>
      <c r="O7" s="107">
        <f t="shared" ref="O7:O15" si="8">N7-N$6</f>
        <v>-6.1666221751737194E-3</v>
      </c>
      <c r="P7" s="108">
        <f t="shared" ref="P7:P15" si="9">N7/N$6*100</f>
        <v>98.366070731707325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0.59723764440557825</v>
      </c>
      <c r="C8" s="107">
        <f t="shared" ref="C8:C12" si="11">B8-B$6</f>
        <v>-6.0929612924011667E-2</v>
      </c>
      <c r="D8" s="108">
        <f t="shared" ref="D8:D12" si="12">B8/B$6*100</f>
        <v>90.742533566433565</v>
      </c>
      <c r="E8" s="102">
        <f t="shared" si="0"/>
        <v>0.64111991071017638</v>
      </c>
      <c r="F8" s="107">
        <f t="shared" ref="F8:F15" si="13">E8-E$6</f>
        <v>-6.7675597183228242E-2</v>
      </c>
      <c r="G8" s="108">
        <f t="shared" ref="G8:G15" si="14">E8/E$6*100</f>
        <v>90.452027922077932</v>
      </c>
      <c r="H8" s="102">
        <f t="shared" si="1"/>
        <v>0.70942997192433388</v>
      </c>
      <c r="I8" s="107">
        <f t="shared" si="2"/>
        <v>-4.999378653288522E-2</v>
      </c>
      <c r="J8" s="108">
        <f t="shared" si="3"/>
        <v>93.416878787878815</v>
      </c>
      <c r="K8" s="102">
        <f t="shared" si="4"/>
        <v>0.67110612601831843</v>
      </c>
      <c r="L8" s="107">
        <f t="shared" si="5"/>
        <v>-3.7689381875086192E-2</v>
      </c>
      <c r="M8" s="108">
        <f t="shared" si="6"/>
        <v>94.682615584415601</v>
      </c>
      <c r="N8" s="102">
        <f t="shared" si="7"/>
        <v>0.37797258710360387</v>
      </c>
      <c r="O8" s="107">
        <f t="shared" si="8"/>
        <v>5.6199199153134094E-4</v>
      </c>
      <c r="P8" s="108">
        <f t="shared" si="9"/>
        <v>100.1489073170732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0.59840783817370091</v>
      </c>
      <c r="C9" s="107">
        <f t="shared" si="11"/>
        <v>-5.9759419155889004E-2</v>
      </c>
      <c r="D9" s="108">
        <f t="shared" si="12"/>
        <v>90.920329370629375</v>
      </c>
      <c r="E9" s="102">
        <f t="shared" si="0"/>
        <v>0.64492304045657478</v>
      </c>
      <c r="F9" s="107">
        <f t="shared" si="13"/>
        <v>-6.3872467436829838E-2</v>
      </c>
      <c r="G9" s="108">
        <f t="shared" si="14"/>
        <v>90.988590259740249</v>
      </c>
      <c r="H9" s="102">
        <f t="shared" si="1"/>
        <v>0.69626529203295462</v>
      </c>
      <c r="I9" s="107">
        <f t="shared" si="2"/>
        <v>-6.3158466424264481E-2</v>
      </c>
      <c r="J9" s="108">
        <f t="shared" si="3"/>
        <v>91.683369696969734</v>
      </c>
      <c r="K9" s="102">
        <f t="shared" si="4"/>
        <v>0.66525515717770511</v>
      </c>
      <c r="L9" s="107">
        <f t="shared" si="5"/>
        <v>-4.3540350715699505E-2</v>
      </c>
      <c r="M9" s="108">
        <f t="shared" si="6"/>
        <v>93.857135064935051</v>
      </c>
      <c r="N9" s="102">
        <f t="shared" si="7"/>
        <v>0.37241416670502148</v>
      </c>
      <c r="O9" s="107">
        <f t="shared" si="8"/>
        <v>-4.9964284070510567E-3</v>
      </c>
      <c r="P9" s="108">
        <f t="shared" si="9"/>
        <v>98.676129268292698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0.6071842914346206</v>
      </c>
      <c r="C10" s="107">
        <f t="shared" si="11"/>
        <v>-5.0982965894969312E-2</v>
      </c>
      <c r="D10" s="108">
        <f t="shared" si="12"/>
        <v>92.253797902097915</v>
      </c>
      <c r="E10" s="102">
        <f t="shared" si="0"/>
        <v>0.6479947990978967</v>
      </c>
      <c r="F10" s="107">
        <f t="shared" si="13"/>
        <v>-6.0800708795507918E-2</v>
      </c>
      <c r="G10" s="108">
        <f t="shared" si="14"/>
        <v>91.421967532467534</v>
      </c>
      <c r="H10" s="102">
        <f t="shared" si="1"/>
        <v>0.7496553827035487</v>
      </c>
      <c r="I10" s="107">
        <f t="shared" si="2"/>
        <v>-9.7683757536703997E-3</v>
      </c>
      <c r="J10" s="108">
        <f t="shared" si="3"/>
        <v>98.71371212121214</v>
      </c>
      <c r="K10" s="102">
        <f t="shared" si="4"/>
        <v>0.68280806369954439</v>
      </c>
      <c r="L10" s="107">
        <f t="shared" si="5"/>
        <v>-2.5987444193860232E-2</v>
      </c>
      <c r="M10" s="108">
        <f t="shared" si="6"/>
        <v>96.333576623376615</v>
      </c>
      <c r="N10" s="102">
        <f t="shared" si="7"/>
        <v>0.35939576103465737</v>
      </c>
      <c r="O10" s="107">
        <f t="shared" si="8"/>
        <v>-1.8014834077415165E-2</v>
      </c>
      <c r="P10" s="108">
        <f t="shared" si="9"/>
        <v>95.226728048780501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0.60396625857228337</v>
      </c>
      <c r="C11" s="236">
        <f t="shared" si="11"/>
        <v>-5.4200998757306551E-2</v>
      </c>
      <c r="D11" s="237">
        <f t="shared" si="12"/>
        <v>91.764859440559448</v>
      </c>
      <c r="E11" s="235">
        <f>AVERAGE(E7:E10)</f>
        <v>0.65007920674736508</v>
      </c>
      <c r="F11" s="236">
        <f t="shared" si="13"/>
        <v>-5.871630114603954E-2</v>
      </c>
      <c r="G11" s="237">
        <f t="shared" si="14"/>
        <v>91.716044967532468</v>
      </c>
      <c r="H11" s="235">
        <f>AVERAGE(H7:H10)</f>
        <v>0.72566641045703517</v>
      </c>
      <c r="I11" s="236">
        <f t="shared" si="2"/>
        <v>-3.3757348000183929E-2</v>
      </c>
      <c r="J11" s="237">
        <f t="shared" si="3"/>
        <v>95.554873333333362</v>
      </c>
      <c r="K11" s="235">
        <f>AVERAGE(K7:K10)</f>
        <v>0.67366592488608656</v>
      </c>
      <c r="L11" s="236">
        <f t="shared" si="5"/>
        <v>-3.5129583007318055E-2</v>
      </c>
      <c r="M11" s="237">
        <f t="shared" si="6"/>
        <v>95.043763311688309</v>
      </c>
      <c r="N11" s="235">
        <f>AVERAGE(N7:N10)</f>
        <v>0.37025662194504544</v>
      </c>
      <c r="O11" s="236">
        <f t="shared" si="8"/>
        <v>-7.1539731670270945E-3</v>
      </c>
      <c r="P11" s="237">
        <f t="shared" si="9"/>
        <v>98.10445884146344</v>
      </c>
      <c r="Q11" s="109"/>
    </row>
    <row r="12" spans="1:19" s="96" customFormat="1" ht="15.75" x14ac:dyDescent="0.25">
      <c r="A12" s="110" t="s">
        <v>24</v>
      </c>
      <c r="B12" s="102">
        <f>B25*$B$32/100/$B$33</f>
        <v>1.0432498734293736</v>
      </c>
      <c r="C12" s="107">
        <f t="shared" si="11"/>
        <v>0.38508261609978367</v>
      </c>
      <c r="D12" s="108">
        <f t="shared" si="12"/>
        <v>158.50832167832166</v>
      </c>
      <c r="E12" s="102">
        <f>E25*$B$32/100/$B$33</f>
        <v>1.0774253003175771</v>
      </c>
      <c r="F12" s="107">
        <f t="shared" si="13"/>
        <v>0.36862979242417249</v>
      </c>
      <c r="G12" s="108">
        <f t="shared" si="14"/>
        <v>152.00791883116881</v>
      </c>
      <c r="H12" s="102">
        <f>H25*$B$32/100/$B$33</f>
        <v>1.1652021862199109</v>
      </c>
      <c r="I12" s="107">
        <f t="shared" si="2"/>
        <v>0.4057784277626918</v>
      </c>
      <c r="J12" s="108">
        <f t="shared" si="3"/>
        <v>153.43241151515156</v>
      </c>
      <c r="K12" s="102">
        <f>K25*$B$32/100/$B$33</f>
        <v>0.96554574492566847</v>
      </c>
      <c r="L12" s="107">
        <f t="shared" si="5"/>
        <v>0.25675023703226385</v>
      </c>
      <c r="M12" s="108">
        <f t="shared" si="6"/>
        <v>136.22345714285711</v>
      </c>
      <c r="N12" s="102">
        <f>N25*$B$32/100/$B$33</f>
        <v>0.48816899249781376</v>
      </c>
      <c r="O12" s="107">
        <f t="shared" si="8"/>
        <v>0.11075839738574123</v>
      </c>
      <c r="P12" s="108">
        <f t="shared" si="9"/>
        <v>129.34692317073171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1.3549334928890322</v>
      </c>
      <c r="F13" s="107">
        <f t="shared" si="13"/>
        <v>0.64613798499562758</v>
      </c>
      <c r="G13" s="108">
        <f t="shared" si="14"/>
        <v>191.16</v>
      </c>
      <c r="H13" s="102">
        <f t="shared" ref="H13:H14" si="15">H26*$B$34/$B$33</f>
        <v>1.4176618953375988</v>
      </c>
      <c r="I13" s="107">
        <f t="shared" si="2"/>
        <v>0.65823813688037969</v>
      </c>
      <c r="J13" s="108">
        <f t="shared" si="3"/>
        <v>186.67600000000007</v>
      </c>
      <c r="K13" s="102">
        <f t="shared" ref="K13:K14" si="16">K26*$B$34/$B$33</f>
        <v>1.3549334928890322</v>
      </c>
      <c r="L13" s="107">
        <f t="shared" si="5"/>
        <v>0.64613798499562758</v>
      </c>
      <c r="M13" s="108">
        <f t="shared" si="6"/>
        <v>191.16</v>
      </c>
      <c r="N13" s="102">
        <f t="shared" ref="N13:N14" si="17">N26*$B$34/$B$33</f>
        <v>0.66720209877111436</v>
      </c>
      <c r="O13" s="107">
        <f t="shared" si="8"/>
        <v>0.28979150365904183</v>
      </c>
      <c r="P13" s="108">
        <f t="shared" si="9"/>
        <v>176.78414634146344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1.2157904910940307</v>
      </c>
      <c r="F14" s="107">
        <f t="shared" si="13"/>
        <v>0.50699498320062608</v>
      </c>
      <c r="G14" s="108">
        <f t="shared" si="14"/>
        <v>171.52909090909091</v>
      </c>
      <c r="H14" s="102">
        <f t="shared" si="15"/>
        <v>1.2944861232567775</v>
      </c>
      <c r="I14" s="107">
        <f t="shared" si="2"/>
        <v>0.53506236479955838</v>
      </c>
      <c r="J14" s="108">
        <f t="shared" si="3"/>
        <v>170.45636363636368</v>
      </c>
      <c r="K14" s="102">
        <f t="shared" si="16"/>
        <v>1.1906991301146042</v>
      </c>
      <c r="L14" s="107">
        <f t="shared" si="5"/>
        <v>0.48190362222119953</v>
      </c>
      <c r="M14" s="108">
        <f t="shared" si="6"/>
        <v>167.98909090909092</v>
      </c>
      <c r="N14" s="102">
        <f t="shared" si="17"/>
        <v>0.56227458922078521</v>
      </c>
      <c r="O14" s="107">
        <f t="shared" si="8"/>
        <v>0.18486399410871268</v>
      </c>
      <c r="P14" s="108">
        <f t="shared" si="9"/>
        <v>148.98219512195124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1.2613441340267868</v>
      </c>
      <c r="F15" s="119">
        <f t="shared" si="13"/>
        <v>0.55254862613338218</v>
      </c>
      <c r="G15" s="120">
        <f t="shared" si="14"/>
        <v>177.95599999999996</v>
      </c>
      <c r="H15" s="118">
        <f>H28*$B$35/10/$B$33</f>
        <v>1.3726392046762093</v>
      </c>
      <c r="I15" s="119">
        <f t="shared" si="2"/>
        <v>0.61321544621899016</v>
      </c>
      <c r="J15" s="120">
        <f t="shared" si="3"/>
        <v>180.74746666666667</v>
      </c>
      <c r="K15" s="118">
        <f>K28*$B$35/10/$B$33</f>
        <v>1.3567399088691492</v>
      </c>
      <c r="L15" s="119">
        <f t="shared" si="5"/>
        <v>0.64794440097574457</v>
      </c>
      <c r="M15" s="120">
        <f t="shared" si="6"/>
        <v>191.41485714285716</v>
      </c>
      <c r="N15" s="118">
        <f>N28*$B$35/10/$B$33</f>
        <v>0.60682312330280297</v>
      </c>
      <c r="O15" s="119">
        <f t="shared" si="8"/>
        <v>0.22941252819073044</v>
      </c>
      <c r="P15" s="120">
        <f t="shared" si="9"/>
        <v>160.78592682926828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40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40" t="s">
        <v>214</v>
      </c>
      <c r="X19" s="240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41.91</v>
      </c>
      <c r="C21" s="144" t="s">
        <v>172</v>
      </c>
      <c r="D21" s="145" t="s">
        <v>172</v>
      </c>
      <c r="E21" s="143">
        <v>45.55</v>
      </c>
      <c r="F21" s="144" t="s">
        <v>172</v>
      </c>
      <c r="G21" s="145" t="s">
        <v>172</v>
      </c>
      <c r="H21" s="143">
        <v>51.09</v>
      </c>
      <c r="I21" s="144" t="s">
        <v>172</v>
      </c>
      <c r="J21" s="145" t="s">
        <v>172</v>
      </c>
      <c r="K21" s="143">
        <v>46.18</v>
      </c>
      <c r="L21" s="144" t="s">
        <v>172</v>
      </c>
      <c r="M21" s="145" t="s">
        <v>172</v>
      </c>
      <c r="N21" s="143">
        <v>25.38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40.83</v>
      </c>
      <c r="C22" s="144" t="s">
        <v>172</v>
      </c>
      <c r="D22" s="145" t="s">
        <v>172</v>
      </c>
      <c r="E22" s="143">
        <v>43.83</v>
      </c>
      <c r="F22" s="144" t="s">
        <v>172</v>
      </c>
      <c r="G22" s="145" t="s">
        <v>172</v>
      </c>
      <c r="H22" s="143">
        <v>48.5</v>
      </c>
      <c r="I22" s="144" t="s">
        <v>172</v>
      </c>
      <c r="J22" s="145" t="s">
        <v>172</v>
      </c>
      <c r="K22" s="143">
        <v>45.88</v>
      </c>
      <c r="L22" s="144" t="s">
        <v>172</v>
      </c>
      <c r="M22" s="145" t="s">
        <v>172</v>
      </c>
      <c r="N22" s="143">
        <v>25.84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40.909999999999997</v>
      </c>
      <c r="C23" s="144" t="s">
        <v>172</v>
      </c>
      <c r="D23" s="145" t="s">
        <v>172</v>
      </c>
      <c r="E23" s="143">
        <v>44.09</v>
      </c>
      <c r="F23" s="144" t="s">
        <v>172</v>
      </c>
      <c r="G23" s="145" t="s">
        <v>172</v>
      </c>
      <c r="H23" s="143">
        <v>47.6</v>
      </c>
      <c r="I23" s="144" t="s">
        <v>172</v>
      </c>
      <c r="J23" s="145" t="s">
        <v>172</v>
      </c>
      <c r="K23" s="143">
        <v>45.48</v>
      </c>
      <c r="L23" s="144" t="s">
        <v>172</v>
      </c>
      <c r="M23" s="145" t="s">
        <v>172</v>
      </c>
      <c r="N23" s="143">
        <v>25.46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41.51</v>
      </c>
      <c r="C24" s="144" t="s">
        <v>172</v>
      </c>
      <c r="D24" s="145" t="s">
        <v>172</v>
      </c>
      <c r="E24" s="143">
        <v>44.3</v>
      </c>
      <c r="F24" s="144" t="s">
        <v>172</v>
      </c>
      <c r="G24" s="145" t="s">
        <v>172</v>
      </c>
      <c r="H24" s="143">
        <v>51.25</v>
      </c>
      <c r="I24" s="144" t="s">
        <v>172</v>
      </c>
      <c r="J24" s="145" t="s">
        <v>172</v>
      </c>
      <c r="K24" s="143">
        <v>46.68</v>
      </c>
      <c r="L24" s="144" t="s">
        <v>172</v>
      </c>
      <c r="M24" s="145" t="s">
        <v>172</v>
      </c>
      <c r="N24" s="143">
        <v>24.57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29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13.57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1.1879999999999999</v>
      </c>
      <c r="F26" s="144" t="s">
        <v>172</v>
      </c>
      <c r="G26" s="145" t="s">
        <v>172</v>
      </c>
      <c r="H26" s="153">
        <v>1.2430000000000001</v>
      </c>
      <c r="I26" s="144" t="s">
        <v>172</v>
      </c>
      <c r="J26" s="145" t="s">
        <v>172</v>
      </c>
      <c r="K26" s="153">
        <v>1.1879999999999999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1.0660000000000001</v>
      </c>
      <c r="F27" s="144" t="s">
        <v>172</v>
      </c>
      <c r="G27" s="145" t="s">
        <v>172</v>
      </c>
      <c r="H27" s="153">
        <v>1.135</v>
      </c>
      <c r="I27" s="144" t="s">
        <v>172</v>
      </c>
      <c r="J27" s="145" t="s">
        <v>172</v>
      </c>
      <c r="K27" s="153">
        <v>1.044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4.76</v>
      </c>
      <c r="F28" s="158" t="s">
        <v>172</v>
      </c>
      <c r="G28" s="159" t="s">
        <v>172</v>
      </c>
      <c r="H28" s="234">
        <v>5.18</v>
      </c>
      <c r="I28" s="158" t="s">
        <v>172</v>
      </c>
      <c r="J28" s="159" t="s">
        <v>172</v>
      </c>
      <c r="K28" s="234">
        <v>5.12</v>
      </c>
      <c r="L28" s="158" t="s">
        <v>172</v>
      </c>
      <c r="M28" s="159" t="s">
        <v>172</v>
      </c>
      <c r="N28" s="234">
        <v>2.29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39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7.8160999999999996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2.1726999999999999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2.4780000000000002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5.7573999999999996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3.1781000000000001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43479</v>
      </c>
      <c r="E2" s="493"/>
      <c r="F2" s="244"/>
      <c r="G2" s="244"/>
      <c r="H2" s="244"/>
      <c r="I2" s="244"/>
      <c r="J2" s="244"/>
      <c r="K2" s="244"/>
      <c r="L2" s="244"/>
      <c r="M2" s="244"/>
      <c r="N2" s="244"/>
      <c r="O2" s="244"/>
      <c r="P2" s="244"/>
      <c r="Q2" s="244"/>
      <c r="R2" s="24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0.6650234850951029</v>
      </c>
      <c r="C6" s="103" t="s">
        <v>172</v>
      </c>
      <c r="D6" s="104" t="s">
        <v>172</v>
      </c>
      <c r="E6" s="102">
        <f>E20/$B$33</f>
        <v>0.71617913779472631</v>
      </c>
      <c r="F6" s="103" t="s">
        <v>172</v>
      </c>
      <c r="G6" s="104" t="s">
        <v>172</v>
      </c>
      <c r="H6" s="102">
        <f>H20/$B$33</f>
        <v>0.76733479049434949</v>
      </c>
      <c r="I6" s="103" t="s">
        <v>172</v>
      </c>
      <c r="J6" s="104" t="s">
        <v>172</v>
      </c>
      <c r="K6" s="102">
        <f>K20/$B$33</f>
        <v>0.71617913779472631</v>
      </c>
      <c r="L6" s="103" t="s">
        <v>172</v>
      </c>
      <c r="M6" s="104" t="s">
        <v>172</v>
      </c>
      <c r="N6" s="102">
        <f>N20/$B$33</f>
        <v>0.38134213830628283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0.62799118262567999</v>
      </c>
      <c r="C7" s="107">
        <f>B7-B$6</f>
        <v>-3.7032302469422906E-2</v>
      </c>
      <c r="D7" s="108">
        <f>B7/B$6*100</f>
        <v>94.43142937062936</v>
      </c>
      <c r="E7" s="102">
        <f t="shared" ref="E7:E10" si="0">E21*$B$36/100/$B$33</f>
        <v>0.68270310189275907</v>
      </c>
      <c r="F7" s="107">
        <f>E7-E$6</f>
        <v>-3.3476035901967238E-2</v>
      </c>
      <c r="G7" s="108">
        <f>E7/E$6*100</f>
        <v>95.325745454545441</v>
      </c>
      <c r="H7" s="102">
        <f t="shared" ref="H7:H10" si="1">H21*$B$36/100/$B$33</f>
        <v>0.78584852346184253</v>
      </c>
      <c r="I7" s="107">
        <f t="shared" ref="I7:I15" si="2">H7-H$6</f>
        <v>1.8513732967493035E-2</v>
      </c>
      <c r="J7" s="108">
        <f t="shared" ref="J7:J15" si="3">H7/H$6*100</f>
        <v>102.41273212121213</v>
      </c>
      <c r="K7" s="102">
        <f t="shared" ref="K7:K10" si="4">K21*$B$36/100/$B$33</f>
        <v>0.69690428312328501</v>
      </c>
      <c r="L7" s="107">
        <f t="shared" ref="L7:L15" si="5">K7-K$6</f>
        <v>-1.9274854671441299E-2</v>
      </c>
      <c r="M7" s="108">
        <f t="shared" ref="M7:M15" si="6">K7/K$6*100</f>
        <v>97.30865454545453</v>
      </c>
      <c r="N7" s="102">
        <f t="shared" ref="N7:N10" si="7">N21*$B$36/100/$B$33</f>
        <v>0.38118960145096031</v>
      </c>
      <c r="O7" s="107">
        <f t="shared" ref="O7:O15" si="8">N7-N$6</f>
        <v>-1.5253685532251593E-4</v>
      </c>
      <c r="P7" s="108">
        <f t="shared" ref="P7:P15" si="9">N7/N$6*100</f>
        <v>99.960000000000008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0.6169292098776914</v>
      </c>
      <c r="C8" s="107">
        <f t="shared" ref="C8:C12" si="11">B8-B$6</f>
        <v>-4.8094275217411497E-2</v>
      </c>
      <c r="D8" s="108">
        <f t="shared" ref="D8:D12" si="12">B8/B$6*100</f>
        <v>92.768033566433573</v>
      </c>
      <c r="E8" s="102">
        <f t="shared" si="0"/>
        <v>0.66297093428823883</v>
      </c>
      <c r="F8" s="107">
        <f t="shared" ref="F8:F15" si="13">E8-E$6</f>
        <v>-5.3208203506487473E-2</v>
      </c>
      <c r="G8" s="108">
        <f t="shared" ref="G8:G15" si="14">E8/E$6*100</f>
        <v>92.570545454545453</v>
      </c>
      <c r="H8" s="102">
        <f t="shared" si="1"/>
        <v>0.72500767334790495</v>
      </c>
      <c r="I8" s="107">
        <f t="shared" si="2"/>
        <v>-4.2327117146444548E-2</v>
      </c>
      <c r="J8" s="108">
        <f t="shared" si="3"/>
        <v>94.483878787878808</v>
      </c>
      <c r="K8" s="102">
        <f t="shared" si="4"/>
        <v>0.68913100497604984</v>
      </c>
      <c r="L8" s="107">
        <f t="shared" si="5"/>
        <v>-2.7048132818676462E-2</v>
      </c>
      <c r="M8" s="108">
        <f t="shared" si="6"/>
        <v>96.223272727272729</v>
      </c>
      <c r="N8" s="102">
        <f t="shared" si="7"/>
        <v>0.39344746314467749</v>
      </c>
      <c r="O8" s="107">
        <f t="shared" si="8"/>
        <v>1.210532483839466E-2</v>
      </c>
      <c r="P8" s="108">
        <f t="shared" si="9"/>
        <v>103.17440000000001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0.61932098776914846</v>
      </c>
      <c r="C9" s="107">
        <f t="shared" si="11"/>
        <v>-4.5702497325954439E-2</v>
      </c>
      <c r="D9" s="108">
        <f t="shared" si="12"/>
        <v>93.127686713286721</v>
      </c>
      <c r="E9" s="102">
        <f t="shared" si="0"/>
        <v>0.66745551783472057</v>
      </c>
      <c r="F9" s="107">
        <f t="shared" si="13"/>
        <v>-4.8723619960005737E-2</v>
      </c>
      <c r="G9" s="108">
        <f t="shared" si="14"/>
        <v>93.196727272727259</v>
      </c>
      <c r="H9" s="102">
        <f t="shared" si="1"/>
        <v>0.72156949262893544</v>
      </c>
      <c r="I9" s="107">
        <f t="shared" si="2"/>
        <v>-4.5765297865414056E-2</v>
      </c>
      <c r="J9" s="108">
        <f t="shared" si="3"/>
        <v>94.035810909090927</v>
      </c>
      <c r="K9" s="102">
        <f t="shared" si="4"/>
        <v>0.69092483839464258</v>
      </c>
      <c r="L9" s="107">
        <f t="shared" si="5"/>
        <v>-2.5254299400083724E-2</v>
      </c>
      <c r="M9" s="108">
        <f t="shared" si="6"/>
        <v>96.473745454545451</v>
      </c>
      <c r="N9" s="102">
        <f t="shared" si="7"/>
        <v>0.38059165697809605</v>
      </c>
      <c r="O9" s="107">
        <f t="shared" si="8"/>
        <v>-7.5048132818678059E-4</v>
      </c>
      <c r="P9" s="108">
        <f t="shared" si="9"/>
        <v>99.80319999999999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0.60855798725759191</v>
      </c>
      <c r="C10" s="107">
        <f t="shared" si="11"/>
        <v>-5.6465497837510981E-2</v>
      </c>
      <c r="D10" s="108">
        <f t="shared" si="12"/>
        <v>91.509247552447562</v>
      </c>
      <c r="E10" s="102">
        <f t="shared" si="0"/>
        <v>0.64622848904803964</v>
      </c>
      <c r="F10" s="107">
        <f t="shared" si="13"/>
        <v>-6.9950648746686661E-2</v>
      </c>
      <c r="G10" s="108">
        <f t="shared" si="14"/>
        <v>90.232799999999983</v>
      </c>
      <c r="H10" s="102">
        <f t="shared" si="1"/>
        <v>0.76626584197553815</v>
      </c>
      <c r="I10" s="107">
        <f t="shared" si="2"/>
        <v>-1.0689485188113412E-3</v>
      </c>
      <c r="J10" s="108">
        <f t="shared" si="3"/>
        <v>99.86069333333333</v>
      </c>
      <c r="K10" s="102">
        <f t="shared" si="4"/>
        <v>0.69017740780356229</v>
      </c>
      <c r="L10" s="107">
        <f t="shared" si="5"/>
        <v>-2.6001729991164013E-2</v>
      </c>
      <c r="M10" s="108">
        <f t="shared" si="6"/>
        <v>96.369381818181822</v>
      </c>
      <c r="N10" s="102">
        <f t="shared" si="7"/>
        <v>0.37521015672231783</v>
      </c>
      <c r="O10" s="107">
        <f t="shared" si="8"/>
        <v>-6.131981583964996E-3</v>
      </c>
      <c r="P10" s="108">
        <f t="shared" si="9"/>
        <v>98.39200000000001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0.61819984188252797</v>
      </c>
      <c r="C11" s="236">
        <f t="shared" si="11"/>
        <v>-4.6823643212574928E-2</v>
      </c>
      <c r="D11" s="237">
        <f t="shared" si="12"/>
        <v>92.959099300699307</v>
      </c>
      <c r="E11" s="235">
        <f>AVERAGE(E7:E10)</f>
        <v>0.66483951076593961</v>
      </c>
      <c r="F11" s="236">
        <f t="shared" si="13"/>
        <v>-5.1339627028786694E-2</v>
      </c>
      <c r="G11" s="237">
        <f t="shared" si="14"/>
        <v>92.831454545454534</v>
      </c>
      <c r="H11" s="235">
        <f>AVERAGE(H7:H10)</f>
        <v>0.74967288285355527</v>
      </c>
      <c r="I11" s="236">
        <f t="shared" si="2"/>
        <v>-1.7661907640794228E-2</v>
      </c>
      <c r="J11" s="237">
        <f t="shared" si="3"/>
        <v>97.698278787878806</v>
      </c>
      <c r="K11" s="235">
        <f>AVERAGE(K7:K10)</f>
        <v>0.69178438357438488</v>
      </c>
      <c r="L11" s="236">
        <f t="shared" si="5"/>
        <v>-2.439475422034143E-2</v>
      </c>
      <c r="M11" s="237">
        <f t="shared" si="6"/>
        <v>96.593763636363633</v>
      </c>
      <c r="N11" s="235">
        <f>AVERAGE(N7:N10)</f>
        <v>0.38260971957401291</v>
      </c>
      <c r="O11" s="236">
        <f t="shared" si="8"/>
        <v>1.267581267730078E-3</v>
      </c>
      <c r="P11" s="237">
        <f t="shared" si="9"/>
        <v>100.33239999999999</v>
      </c>
      <c r="Q11" s="109"/>
    </row>
    <row r="12" spans="1:19" s="96" customFormat="1" ht="15.75" x14ac:dyDescent="0.25">
      <c r="A12" s="110" t="s">
        <v>24</v>
      </c>
      <c r="B12" s="102">
        <f>B25*$B$32/100/$B$33</f>
        <v>1.02742690787332</v>
      </c>
      <c r="C12" s="107">
        <f t="shared" si="11"/>
        <v>0.36240342277821713</v>
      </c>
      <c r="D12" s="108">
        <f t="shared" si="12"/>
        <v>154.49483076923082</v>
      </c>
      <c r="E12" s="102">
        <f>E25*$B$32/100/$B$33</f>
        <v>1.0629903176300981</v>
      </c>
      <c r="F12" s="107">
        <f t="shared" si="13"/>
        <v>0.3468111798353718</v>
      </c>
      <c r="G12" s="108">
        <f t="shared" si="14"/>
        <v>148.42519999999999</v>
      </c>
      <c r="H12" s="102">
        <f>H25*$B$32/100/$B$33</f>
        <v>1.1518988420220433</v>
      </c>
      <c r="I12" s="107">
        <f t="shared" si="2"/>
        <v>0.3845640515276938</v>
      </c>
      <c r="J12" s="108">
        <f t="shared" si="3"/>
        <v>150.11685333333332</v>
      </c>
      <c r="K12" s="102">
        <f>K25*$B$32/100/$B$33</f>
        <v>0.95452191787192464</v>
      </c>
      <c r="L12" s="107">
        <f t="shared" si="5"/>
        <v>0.23834278007719834</v>
      </c>
      <c r="M12" s="108">
        <f t="shared" si="6"/>
        <v>133.27977142857139</v>
      </c>
      <c r="N12" s="102">
        <f>N25*$B$32/100/$B$33</f>
        <v>0.46481376552109005</v>
      </c>
      <c r="O12" s="107">
        <f t="shared" si="8"/>
        <v>8.347162721480722E-2</v>
      </c>
      <c r="P12" s="108">
        <f t="shared" si="9"/>
        <v>121.88890731707316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1.3551098916430264</v>
      </c>
      <c r="F13" s="107">
        <f t="shared" si="13"/>
        <v>0.63893075384830011</v>
      </c>
      <c r="G13" s="108">
        <f t="shared" si="14"/>
        <v>189.21381818181817</v>
      </c>
      <c r="H13" s="102">
        <f t="shared" ref="H13:H14" si="15">H26*$B$34/$B$33</f>
        <v>1.4184866297725898</v>
      </c>
      <c r="I13" s="107">
        <f t="shared" si="2"/>
        <v>0.65115183927824027</v>
      </c>
      <c r="J13" s="108">
        <f t="shared" si="3"/>
        <v>184.85889696969699</v>
      </c>
      <c r="K13" s="102">
        <f t="shared" ref="K13:K14" si="16">K26*$B$34/$B$33</f>
        <v>1.3528052829837693</v>
      </c>
      <c r="L13" s="107">
        <f t="shared" si="5"/>
        <v>0.63662614518904304</v>
      </c>
      <c r="M13" s="108">
        <f t="shared" si="6"/>
        <v>188.89202597402593</v>
      </c>
      <c r="N13" s="102">
        <f t="shared" ref="N13:N14" si="17">N26*$B$34/$B$33</f>
        <v>0.67409803283262792</v>
      </c>
      <c r="O13" s="107">
        <f t="shared" si="8"/>
        <v>0.2927558945263451</v>
      </c>
      <c r="P13" s="108">
        <f t="shared" si="9"/>
        <v>176.76987804878047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1.2087672417802164</v>
      </c>
      <c r="F14" s="107">
        <f t="shared" si="13"/>
        <v>0.49258810398549013</v>
      </c>
      <c r="G14" s="108">
        <f t="shared" si="14"/>
        <v>168.78001298701295</v>
      </c>
      <c r="H14" s="102">
        <f t="shared" si="15"/>
        <v>1.3078654141282609</v>
      </c>
      <c r="I14" s="107">
        <f t="shared" si="2"/>
        <v>0.54053062363391136</v>
      </c>
      <c r="J14" s="108">
        <f t="shared" si="3"/>
        <v>170.44260606060604</v>
      </c>
      <c r="K14" s="102">
        <f t="shared" si="16"/>
        <v>1.2087672417802164</v>
      </c>
      <c r="L14" s="107">
        <f t="shared" si="5"/>
        <v>0.49258810398549013</v>
      </c>
      <c r="M14" s="108">
        <f t="shared" si="6"/>
        <v>168.78001298701295</v>
      </c>
      <c r="N14" s="102">
        <f t="shared" si="17"/>
        <v>0.56808603450681294</v>
      </c>
      <c r="O14" s="107">
        <f t="shared" si="8"/>
        <v>0.18674389620053011</v>
      </c>
      <c r="P14" s="108">
        <f t="shared" si="9"/>
        <v>148.9701707317073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1.2684970004185463</v>
      </c>
      <c r="F15" s="119">
        <f t="shared" si="13"/>
        <v>0.55231786262381999</v>
      </c>
      <c r="G15" s="120">
        <f t="shared" si="14"/>
        <v>177.12007142857144</v>
      </c>
      <c r="H15" s="118">
        <f>H28*$B$35/10/$B$33</f>
        <v>1.3489513556247967</v>
      </c>
      <c r="I15" s="119">
        <f t="shared" si="2"/>
        <v>0.58161656513044724</v>
      </c>
      <c r="J15" s="120">
        <f t="shared" si="3"/>
        <v>175.79697575757581</v>
      </c>
      <c r="K15" s="118">
        <f>K28*$B$35/10/$B$33</f>
        <v>1.3596786029856298</v>
      </c>
      <c r="L15" s="119">
        <f t="shared" si="5"/>
        <v>0.64349946519090351</v>
      </c>
      <c r="M15" s="120">
        <f t="shared" si="6"/>
        <v>189.85174675324674</v>
      </c>
      <c r="N15" s="118">
        <f>N28*$B$35/10/$B$33</f>
        <v>0.59804404036646042</v>
      </c>
      <c r="O15" s="119">
        <f t="shared" si="8"/>
        <v>0.21670190206017759</v>
      </c>
      <c r="P15" s="120">
        <f t="shared" si="9"/>
        <v>156.82610975609754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4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43" t="s">
        <v>214</v>
      </c>
      <c r="X19" s="243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42.01</v>
      </c>
      <c r="C21" s="144" t="s">
        <v>172</v>
      </c>
      <c r="D21" s="145" t="s">
        <v>172</v>
      </c>
      <c r="E21" s="143">
        <v>45.67</v>
      </c>
      <c r="F21" s="144" t="s">
        <v>172</v>
      </c>
      <c r="G21" s="145" t="s">
        <v>172</v>
      </c>
      <c r="H21" s="143">
        <v>52.57</v>
      </c>
      <c r="I21" s="144" t="s">
        <v>172</v>
      </c>
      <c r="J21" s="145" t="s">
        <v>172</v>
      </c>
      <c r="K21" s="143">
        <v>46.62</v>
      </c>
      <c r="L21" s="144" t="s">
        <v>172</v>
      </c>
      <c r="M21" s="145" t="s">
        <v>172</v>
      </c>
      <c r="N21" s="143">
        <v>25.5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41.27</v>
      </c>
      <c r="C22" s="144" t="s">
        <v>172</v>
      </c>
      <c r="D22" s="145" t="s">
        <v>172</v>
      </c>
      <c r="E22" s="143">
        <v>44.35</v>
      </c>
      <c r="F22" s="144" t="s">
        <v>172</v>
      </c>
      <c r="G22" s="145" t="s">
        <v>172</v>
      </c>
      <c r="H22" s="143">
        <v>48.5</v>
      </c>
      <c r="I22" s="144" t="s">
        <v>172</v>
      </c>
      <c r="J22" s="145" t="s">
        <v>172</v>
      </c>
      <c r="K22" s="143">
        <v>46.1</v>
      </c>
      <c r="L22" s="144" t="s">
        <v>172</v>
      </c>
      <c r="M22" s="145" t="s">
        <v>172</v>
      </c>
      <c r="N22" s="143">
        <v>26.32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41.43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48.27</v>
      </c>
      <c r="I23" s="144" t="s">
        <v>172</v>
      </c>
      <c r="J23" s="145" t="s">
        <v>172</v>
      </c>
      <c r="K23" s="143">
        <v>46.22</v>
      </c>
      <c r="L23" s="144" t="s">
        <v>172</v>
      </c>
      <c r="M23" s="145" t="s">
        <v>172</v>
      </c>
      <c r="N23" s="143">
        <v>25.46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40.71</v>
      </c>
      <c r="C24" s="144" t="s">
        <v>172</v>
      </c>
      <c r="D24" s="145" t="s">
        <v>172</v>
      </c>
      <c r="E24" s="143">
        <v>43.23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46.17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28.89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13.07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1.1759999999999999</v>
      </c>
      <c r="F26" s="144" t="s">
        <v>172</v>
      </c>
      <c r="G26" s="145" t="s">
        <v>172</v>
      </c>
      <c r="H26" s="153">
        <v>1.2310000000000001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1.0489999999999999</v>
      </c>
      <c r="F27" s="144" t="s">
        <v>172</v>
      </c>
      <c r="G27" s="145" t="s">
        <v>172</v>
      </c>
      <c r="H27" s="153">
        <v>1.135</v>
      </c>
      <c r="I27" s="144" t="s">
        <v>172</v>
      </c>
      <c r="J27" s="145" t="s">
        <v>172</v>
      </c>
      <c r="K27" s="153">
        <v>1.0489999999999999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4.7300000000000004</v>
      </c>
      <c r="F28" s="158" t="s">
        <v>172</v>
      </c>
      <c r="G28" s="159" t="s">
        <v>172</v>
      </c>
      <c r="H28" s="234">
        <v>5.03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2.23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4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7.6471999999999998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2.1503000000000001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2.4777999999999998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5.7667000000000002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3.2143999999999999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43486</v>
      </c>
      <c r="E2" s="493"/>
      <c r="F2" s="245"/>
      <c r="G2" s="245"/>
      <c r="H2" s="245"/>
      <c r="I2" s="245"/>
      <c r="J2" s="245"/>
      <c r="K2" s="245"/>
      <c r="L2" s="245"/>
      <c r="M2" s="245"/>
      <c r="N2" s="245"/>
      <c r="O2" s="245"/>
      <c r="P2" s="245"/>
      <c r="Q2" s="245"/>
      <c r="R2" s="24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0.65584445788176182</v>
      </c>
      <c r="C6" s="103" t="s">
        <v>172</v>
      </c>
      <c r="D6" s="104" t="s">
        <v>172</v>
      </c>
      <c r="E6" s="102">
        <f>E20/$B$33</f>
        <v>0.70700962835480718</v>
      </c>
      <c r="F6" s="103" t="s">
        <v>172</v>
      </c>
      <c r="G6" s="104" t="s">
        <v>172</v>
      </c>
      <c r="H6" s="102">
        <f>H20/$B$33</f>
        <v>0.75817479882785233</v>
      </c>
      <c r="I6" s="103" t="s">
        <v>172</v>
      </c>
      <c r="J6" s="104" t="s">
        <v>172</v>
      </c>
      <c r="K6" s="102">
        <f>K20/$B$33</f>
        <v>0.71166100748872041</v>
      </c>
      <c r="L6" s="103" t="s">
        <v>172</v>
      </c>
      <c r="M6" s="104" t="s">
        <v>172</v>
      </c>
      <c r="N6" s="102">
        <f>N20/$B$33</f>
        <v>0.38141308898088278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0.63584893250848862</v>
      </c>
      <c r="C7" s="107">
        <f>B7-B$6</f>
        <v>-1.9995525373273204E-2</v>
      </c>
      <c r="D7" s="108">
        <f>B7/B$6*100</f>
        <v>96.951178723404254</v>
      </c>
      <c r="E7" s="102">
        <f t="shared" ref="E7:E10" si="0">E21*$B$36/100/$B$33</f>
        <v>0.69041918228754817</v>
      </c>
      <c r="F7" s="107">
        <f>E7-E$6</f>
        <v>-1.6590446067259013E-2</v>
      </c>
      <c r="G7" s="108">
        <f>E7/E$6*100</f>
        <v>97.653434210526299</v>
      </c>
      <c r="H7" s="102">
        <f t="shared" ref="H7:H10" si="1">H21*$B$36/100/$B$33</f>
        <v>0.77076709149262757</v>
      </c>
      <c r="I7" s="107">
        <f t="shared" ref="I7:I15" si="2">H7-H$6</f>
        <v>1.259229266477524E-2</v>
      </c>
      <c r="J7" s="108">
        <f t="shared" ref="J7:J15" si="3">H7/H$6*100</f>
        <v>101.66086932515339</v>
      </c>
      <c r="K7" s="102">
        <f t="shared" ref="K7:K10" si="4">K21*$B$36/100/$B$33</f>
        <v>0.7053430903762965</v>
      </c>
      <c r="L7" s="107">
        <f t="shared" ref="L7:L15" si="5">K7-K$6</f>
        <v>-6.3179171124239097E-3</v>
      </c>
      <c r="M7" s="108">
        <f t="shared" ref="M7:M15" si="6">K7/K$6*100</f>
        <v>99.112229411764702</v>
      </c>
      <c r="N7" s="102">
        <f t="shared" ref="N7:N10" si="7">N21*$B$36/100/$B$33</f>
        <v>0.37852457788734356</v>
      </c>
      <c r="O7" s="107">
        <f t="shared" ref="O7:O15" si="8">N7-N$6</f>
        <v>-2.8885110935392144E-3</v>
      </c>
      <c r="P7" s="108">
        <f t="shared" ref="P7:P15" si="9">N7/N$6*100</f>
        <v>99.242681707317075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0.62107577096609146</v>
      </c>
      <c r="C8" s="107">
        <f t="shared" ref="C8:C12" si="11">B8-B$6</f>
        <v>-3.4768686915670366E-2</v>
      </c>
      <c r="D8" s="108">
        <f t="shared" ref="D8:D12" si="12">B8/B$6*100</f>
        <v>94.698638297872364</v>
      </c>
      <c r="E8" s="102">
        <f t="shared" si="0"/>
        <v>0.66750570724219715</v>
      </c>
      <c r="F8" s="107">
        <f t="shared" ref="F8:F15" si="13">E8-E$6</f>
        <v>-3.950392111261003E-2</v>
      </c>
      <c r="G8" s="108">
        <f t="shared" ref="G8:G15" si="14">E8/E$6*100</f>
        <v>94.412534210526303</v>
      </c>
      <c r="H8" s="102">
        <f t="shared" si="1"/>
        <v>0.72961328433880634</v>
      </c>
      <c r="I8" s="107">
        <f t="shared" si="2"/>
        <v>-2.856151448904598E-2</v>
      </c>
      <c r="J8" s="108">
        <f t="shared" si="3"/>
        <v>96.232858895705519</v>
      </c>
      <c r="K8" s="102">
        <f t="shared" si="4"/>
        <v>0.70353413182008462</v>
      </c>
      <c r="L8" s="107">
        <f t="shared" si="5"/>
        <v>-8.1268756686357912E-3</v>
      </c>
      <c r="M8" s="108">
        <f t="shared" si="6"/>
        <v>98.858041176470579</v>
      </c>
      <c r="N8" s="102">
        <f t="shared" si="7"/>
        <v>0.39299624633703889</v>
      </c>
      <c r="O8" s="107">
        <f t="shared" si="8"/>
        <v>1.1583157356156115E-2</v>
      </c>
      <c r="P8" s="108">
        <f t="shared" si="9"/>
        <v>103.03690609756097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0.62544742081027027</v>
      </c>
      <c r="C9" s="107">
        <f t="shared" si="11"/>
        <v>-3.0397037071491551E-2</v>
      </c>
      <c r="D9" s="108">
        <f t="shared" si="12"/>
        <v>95.365206382978741</v>
      </c>
      <c r="E9" s="102">
        <f t="shared" si="0"/>
        <v>0.6744400483743429</v>
      </c>
      <c r="F9" s="107">
        <f t="shared" si="13"/>
        <v>-3.256957998046428E-2</v>
      </c>
      <c r="G9" s="108">
        <f t="shared" si="14"/>
        <v>95.39333289473683</v>
      </c>
      <c r="H9" s="102">
        <f t="shared" si="1"/>
        <v>0.72961328433880634</v>
      </c>
      <c r="I9" s="107">
        <f t="shared" si="2"/>
        <v>-2.856151448904598E-2</v>
      </c>
      <c r="J9" s="108">
        <f t="shared" si="3"/>
        <v>96.232858895705519</v>
      </c>
      <c r="K9" s="102">
        <f t="shared" si="4"/>
        <v>0.69569531140983298</v>
      </c>
      <c r="L9" s="107">
        <f t="shared" si="5"/>
        <v>-1.5965696078887426E-2</v>
      </c>
      <c r="M9" s="108">
        <f t="shared" si="6"/>
        <v>97.756558823529403</v>
      </c>
      <c r="N9" s="102">
        <f t="shared" si="7"/>
        <v>0.38380070700962832</v>
      </c>
      <c r="O9" s="107">
        <f t="shared" si="8"/>
        <v>2.3876180287455417E-3</v>
      </c>
      <c r="P9" s="108">
        <f t="shared" si="9"/>
        <v>100.62599268292682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0.61368919019489276</v>
      </c>
      <c r="C10" s="107">
        <f t="shared" si="11"/>
        <v>-4.2155267686869058E-2</v>
      </c>
      <c r="D10" s="108">
        <f t="shared" si="12"/>
        <v>93.57236808510639</v>
      </c>
      <c r="E10" s="102">
        <f t="shared" si="0"/>
        <v>0.65167731987534294</v>
      </c>
      <c r="F10" s="107">
        <f t="shared" si="13"/>
        <v>-5.5332308479464243E-2</v>
      </c>
      <c r="G10" s="108">
        <f t="shared" si="14"/>
        <v>92.173754605263142</v>
      </c>
      <c r="H10" s="102">
        <f t="shared" si="1"/>
        <v>0.7727267965951905</v>
      </c>
      <c r="I10" s="107">
        <f t="shared" si="2"/>
        <v>1.4551997767338176E-2</v>
      </c>
      <c r="J10" s="108">
        <f t="shared" si="3"/>
        <v>101.91934601226995</v>
      </c>
      <c r="K10" s="102">
        <f t="shared" si="4"/>
        <v>0.69599680450253498</v>
      </c>
      <c r="L10" s="107">
        <f t="shared" si="5"/>
        <v>-1.5664202986185427E-2</v>
      </c>
      <c r="M10" s="108">
        <f t="shared" si="6"/>
        <v>97.798923529411766</v>
      </c>
      <c r="N10" s="102">
        <f t="shared" si="7"/>
        <v>0.37837383134099262</v>
      </c>
      <c r="O10" s="107">
        <f t="shared" si="8"/>
        <v>-3.0392576398901583E-3</v>
      </c>
      <c r="P10" s="108">
        <f t="shared" si="9"/>
        <v>99.203158536585377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0.62401532861993581</v>
      </c>
      <c r="C11" s="236">
        <f t="shared" si="11"/>
        <v>-3.1829129261826017E-2</v>
      </c>
      <c r="D11" s="237">
        <f t="shared" si="12"/>
        <v>95.146847872340444</v>
      </c>
      <c r="E11" s="235">
        <f>AVERAGE(E7:E10)</f>
        <v>0.67101056444485774</v>
      </c>
      <c r="F11" s="236">
        <f t="shared" si="13"/>
        <v>-3.5999063909949447E-2</v>
      </c>
      <c r="G11" s="237">
        <f t="shared" si="14"/>
        <v>94.908263980263143</v>
      </c>
      <c r="H11" s="235">
        <f>AVERAGE(H7:H10)</f>
        <v>0.75068011419135772</v>
      </c>
      <c r="I11" s="236">
        <f t="shared" si="2"/>
        <v>-7.4946846364946085E-3</v>
      </c>
      <c r="J11" s="237">
        <f t="shared" si="3"/>
        <v>99.011483282208602</v>
      </c>
      <c r="K11" s="235">
        <f>AVERAGE(K7:K10)</f>
        <v>0.70014233452718733</v>
      </c>
      <c r="L11" s="236">
        <f t="shared" si="5"/>
        <v>-1.1518672961533083E-2</v>
      </c>
      <c r="M11" s="237">
        <f t="shared" si="6"/>
        <v>98.381438235294112</v>
      </c>
      <c r="N11" s="235">
        <f>AVERAGE(N7:N10)</f>
        <v>0.38342384064375085</v>
      </c>
      <c r="O11" s="236">
        <f t="shared" si="8"/>
        <v>2.0107516628680711E-3</v>
      </c>
      <c r="P11" s="237">
        <f t="shared" si="9"/>
        <v>100.52718475609757</v>
      </c>
      <c r="Q11" s="109"/>
    </row>
    <row r="12" spans="1:19" s="96" customFormat="1" ht="15.75" x14ac:dyDescent="0.25">
      <c r="A12" s="110" t="s">
        <v>24</v>
      </c>
      <c r="B12" s="102">
        <f>B25*$B$32/100/$B$33</f>
        <v>1.0145077166379832</v>
      </c>
      <c r="C12" s="107">
        <f t="shared" si="11"/>
        <v>0.3586632587562214</v>
      </c>
      <c r="D12" s="108">
        <f t="shared" si="12"/>
        <v>154.68724397163126</v>
      </c>
      <c r="E12" s="102">
        <f>E25*$B$32/100/$B$33</f>
        <v>1.0681097446392855</v>
      </c>
      <c r="F12" s="107">
        <f t="shared" si="13"/>
        <v>0.36110011628447836</v>
      </c>
      <c r="G12" s="108">
        <f t="shared" si="14"/>
        <v>151.07428552631578</v>
      </c>
      <c r="H12" s="102">
        <f>H25*$B$32/100/$B$33</f>
        <v>1.1574464579747894</v>
      </c>
      <c r="I12" s="107">
        <f t="shared" si="2"/>
        <v>0.39927165914693707</v>
      </c>
      <c r="J12" s="108">
        <f t="shared" si="3"/>
        <v>152.66221717791413</v>
      </c>
      <c r="K12" s="102">
        <f>K25*$B$32/100/$B$33</f>
        <v>0.95911895436997063</v>
      </c>
      <c r="L12" s="107">
        <f t="shared" si="5"/>
        <v>0.24745794688125022</v>
      </c>
      <c r="M12" s="108">
        <f t="shared" si="6"/>
        <v>134.77188496732023</v>
      </c>
      <c r="N12" s="102">
        <f>N25*$B$32/100/$B$33</f>
        <v>0.44311009814409968</v>
      </c>
      <c r="O12" s="107">
        <f t="shared" si="8"/>
        <v>6.1697009163216909E-2</v>
      </c>
      <c r="P12" s="108">
        <f t="shared" si="9"/>
        <v>116.1759024390244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1.3379307874784871</v>
      </c>
      <c r="F13" s="107">
        <f t="shared" si="13"/>
        <v>0.63092115912367996</v>
      </c>
      <c r="G13" s="108">
        <f t="shared" si="14"/>
        <v>189.23798684210524</v>
      </c>
      <c r="H13" s="102">
        <f t="shared" ref="H13:H14" si="15">H26*$B$34/$B$33</f>
        <v>1.4006106795664914</v>
      </c>
      <c r="I13" s="107">
        <f t="shared" si="2"/>
        <v>0.64243588073863911</v>
      </c>
      <c r="J13" s="108">
        <f t="shared" si="3"/>
        <v>184.73453374233131</v>
      </c>
      <c r="K13" s="102">
        <f t="shared" ref="K13:K14" si="16">K26*$B$34/$B$33</f>
        <v>1.3379307874784871</v>
      </c>
      <c r="L13" s="107">
        <f t="shared" si="5"/>
        <v>0.62626977998976674</v>
      </c>
      <c r="M13" s="108">
        <f t="shared" si="6"/>
        <v>188.00113725490192</v>
      </c>
      <c r="N13" s="102">
        <f t="shared" ref="N13:N14" si="17">N26*$B$34/$B$33</f>
        <v>0.6666861249360434</v>
      </c>
      <c r="O13" s="107">
        <f t="shared" si="8"/>
        <v>0.28527303595516063</v>
      </c>
      <c r="P13" s="108">
        <f t="shared" si="9"/>
        <v>174.79371951219511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1.2365033257360807</v>
      </c>
      <c r="F14" s="107">
        <f t="shared" si="13"/>
        <v>0.5294936973812735</v>
      </c>
      <c r="G14" s="108">
        <f t="shared" si="14"/>
        <v>174.89200657894736</v>
      </c>
      <c r="H14" s="102">
        <f t="shared" si="15"/>
        <v>1.3151380994464856</v>
      </c>
      <c r="I14" s="107">
        <f t="shared" si="2"/>
        <v>0.55696330061863331</v>
      </c>
      <c r="J14" s="108">
        <f t="shared" si="3"/>
        <v>173.46106748466258</v>
      </c>
      <c r="K14" s="102">
        <f t="shared" si="16"/>
        <v>1.2239673473184798</v>
      </c>
      <c r="L14" s="107">
        <f t="shared" si="5"/>
        <v>0.51230633982975937</v>
      </c>
      <c r="M14" s="108">
        <f t="shared" si="6"/>
        <v>171.98741176470585</v>
      </c>
      <c r="N14" s="102">
        <f t="shared" si="17"/>
        <v>0.56183975998883662</v>
      </c>
      <c r="O14" s="107">
        <f t="shared" si="8"/>
        <v>0.18042667100795384</v>
      </c>
      <c r="P14" s="108">
        <f t="shared" si="9"/>
        <v>147.30479268292683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1.2495663519233453</v>
      </c>
      <c r="F15" s="119">
        <f t="shared" si="13"/>
        <v>0.54255672356853812</v>
      </c>
      <c r="G15" s="120">
        <f t="shared" si="14"/>
        <v>176.73965131578947</v>
      </c>
      <c r="H15" s="118">
        <f>H28*$B$35/10/$B$33</f>
        <v>1.3158915298385971</v>
      </c>
      <c r="I15" s="119">
        <f t="shared" si="2"/>
        <v>0.55771673101074482</v>
      </c>
      <c r="J15" s="120">
        <f t="shared" si="3"/>
        <v>173.56044171779143</v>
      </c>
      <c r="K15" s="118">
        <f>K28*$B$35/10/$B$33</f>
        <v>1.3291565654216475</v>
      </c>
      <c r="L15" s="119">
        <f t="shared" si="5"/>
        <v>0.6174955579329271</v>
      </c>
      <c r="M15" s="120">
        <f t="shared" si="6"/>
        <v>186.76821568627452</v>
      </c>
      <c r="N15" s="118">
        <f>N28*$B$35/10/$B$33</f>
        <v>0.58366156565421645</v>
      </c>
      <c r="O15" s="119">
        <f t="shared" si="8"/>
        <v>0.20224847667333368</v>
      </c>
      <c r="P15" s="120">
        <f t="shared" si="9"/>
        <v>153.02609756097561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4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47" t="s">
        <v>214</v>
      </c>
      <c r="X19" s="247" t="s">
        <v>214</v>
      </c>
    </row>
    <row r="20" spans="1:24" s="141" customFormat="1" ht="15.75" x14ac:dyDescent="0.25">
      <c r="A20" s="133" t="s">
        <v>185</v>
      </c>
      <c r="B20" s="134">
        <v>1.41</v>
      </c>
      <c r="C20" s="135" t="s">
        <v>172</v>
      </c>
      <c r="D20" s="136" t="s">
        <v>172</v>
      </c>
      <c r="E20" s="134">
        <v>1.52</v>
      </c>
      <c r="F20" s="135" t="s">
        <v>172</v>
      </c>
      <c r="G20" s="136" t="s">
        <v>172</v>
      </c>
      <c r="H20" s="134">
        <v>1.63</v>
      </c>
      <c r="I20" s="135" t="s">
        <v>172</v>
      </c>
      <c r="J20" s="136" t="s">
        <v>172</v>
      </c>
      <c r="K20" s="134">
        <v>1.53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42.18</v>
      </c>
      <c r="C21" s="144" t="s">
        <v>172</v>
      </c>
      <c r="D21" s="145" t="s">
        <v>172</v>
      </c>
      <c r="E21" s="143">
        <v>45.8</v>
      </c>
      <c r="F21" s="144" t="s">
        <v>172</v>
      </c>
      <c r="G21" s="145" t="s">
        <v>172</v>
      </c>
      <c r="H21" s="143">
        <v>51.13</v>
      </c>
      <c r="I21" s="144" t="s">
        <v>172</v>
      </c>
      <c r="J21" s="145" t="s">
        <v>172</v>
      </c>
      <c r="K21" s="143">
        <v>46.79</v>
      </c>
      <c r="L21" s="144" t="s">
        <v>172</v>
      </c>
      <c r="M21" s="145" t="s">
        <v>172</v>
      </c>
      <c r="N21" s="143">
        <v>25.11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41.2</v>
      </c>
      <c r="C22" s="144" t="s">
        <v>172</v>
      </c>
      <c r="D22" s="145" t="s">
        <v>172</v>
      </c>
      <c r="E22" s="143">
        <v>44.28</v>
      </c>
      <c r="F22" s="144" t="s">
        <v>172</v>
      </c>
      <c r="G22" s="145" t="s">
        <v>172</v>
      </c>
      <c r="H22" s="143">
        <v>48.4</v>
      </c>
      <c r="I22" s="144" t="s">
        <v>172</v>
      </c>
      <c r="J22" s="145" t="s">
        <v>172</v>
      </c>
      <c r="K22" s="143">
        <v>46.67</v>
      </c>
      <c r="L22" s="144" t="s">
        <v>172</v>
      </c>
      <c r="M22" s="145" t="s">
        <v>172</v>
      </c>
      <c r="N22" s="143">
        <v>26.07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41.49</v>
      </c>
      <c r="C23" s="144" t="s">
        <v>172</v>
      </c>
      <c r="D23" s="145" t="s">
        <v>172</v>
      </c>
      <c r="E23" s="143">
        <v>44.74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46.15</v>
      </c>
      <c r="L23" s="144" t="s">
        <v>172</v>
      </c>
      <c r="M23" s="145" t="s">
        <v>172</v>
      </c>
      <c r="N23" s="143">
        <v>25.46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40.71</v>
      </c>
      <c r="C24" s="144" t="s">
        <v>172</v>
      </c>
      <c r="D24" s="145" t="s">
        <v>172</v>
      </c>
      <c r="E24" s="143">
        <v>43.23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46.17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1.085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1.0740000000000001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4.71</v>
      </c>
      <c r="F28" s="158" t="s">
        <v>172</v>
      </c>
      <c r="G28" s="159" t="s">
        <v>172</v>
      </c>
      <c r="H28" s="234">
        <v>4.96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2.2000000000000002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4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7.6825999999999999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2.1499000000000001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2.4500999999999999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5.7037000000000004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3.2408999999999999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A7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43493</v>
      </c>
      <c r="E2" s="493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0.66462167689161544</v>
      </c>
      <c r="C6" s="103" t="s">
        <v>172</v>
      </c>
      <c r="D6" s="104" t="s">
        <v>172</v>
      </c>
      <c r="E6" s="102">
        <f>E20/$B$33</f>
        <v>0.71574642126789356</v>
      </c>
      <c r="F6" s="103" t="s">
        <v>172</v>
      </c>
      <c r="G6" s="104" t="s">
        <v>172</v>
      </c>
      <c r="H6" s="102">
        <f>H20/$B$33</f>
        <v>0.76687116564417168</v>
      </c>
      <c r="I6" s="103" t="s">
        <v>172</v>
      </c>
      <c r="J6" s="104" t="s">
        <v>172</v>
      </c>
      <c r="K6" s="102">
        <f>K20/$B$33</f>
        <v>0.71574642126789356</v>
      </c>
      <c r="L6" s="103" t="s">
        <v>172</v>
      </c>
      <c r="M6" s="104" t="s">
        <v>172</v>
      </c>
      <c r="N6" s="102">
        <f>N20/$B$33</f>
        <v>0.38111173080498228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0.64241193530395968</v>
      </c>
      <c r="C7" s="107">
        <f>B7-B$6</f>
        <v>-2.2209741587655762E-2</v>
      </c>
      <c r="D7" s="108">
        <f>B7/B$6*100</f>
        <v>96.658288111888098</v>
      </c>
      <c r="E7" s="102">
        <f t="shared" ref="E7:E10" si="0">E21*$B$36/100/$B$33</f>
        <v>0.69630046012269931</v>
      </c>
      <c r="F7" s="107">
        <f>E7-E$6</f>
        <v>-1.9445961145194257E-2</v>
      </c>
      <c r="G7" s="108">
        <f>E7/E$6*100</f>
        <v>97.283121428571434</v>
      </c>
      <c r="H7" s="102">
        <f t="shared" ref="H7:H10" si="1">H21*$B$36/100/$B$33</f>
        <v>0.77614655605131055</v>
      </c>
      <c r="I7" s="107">
        <f t="shared" ref="I7:I15" si="2">H7-H$6</f>
        <v>9.2753904071388726E-3</v>
      </c>
      <c r="J7" s="108">
        <f t="shared" ref="J7:J15" si="3">H7/H$6*100</f>
        <v>101.20951090909091</v>
      </c>
      <c r="K7" s="102">
        <f t="shared" ref="K7:K10" si="4">K21*$B$36/100/$B$33</f>
        <v>0.70495298382598981</v>
      </c>
      <c r="L7" s="107">
        <f t="shared" ref="L7:L15" si="5">K7-K$6</f>
        <v>-1.0793437441903753E-2</v>
      </c>
      <c r="M7" s="108">
        <f t="shared" ref="M7:M15" si="6">K7/K$6*100</f>
        <v>98.492002597402589</v>
      </c>
      <c r="N7" s="102">
        <f t="shared" ref="N7:N10" si="7">N21*$B$36/100/$B$33</f>
        <v>0.38116643892916896</v>
      </c>
      <c r="O7" s="107">
        <f t="shared" ref="O7:O15" si="8">N7-N$6</f>
        <v>5.4708124186675366E-5</v>
      </c>
      <c r="P7" s="108">
        <f t="shared" ref="P7:P15" si="9">N7/N$6*100</f>
        <v>100.01435487804879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0.62328530395984372</v>
      </c>
      <c r="C8" s="107">
        <f t="shared" ref="C8:C12" si="11">B8-B$6</f>
        <v>-4.1336372931771725E-2</v>
      </c>
      <c r="D8" s="108">
        <f t="shared" ref="D8:D12" si="12">B8/B$6*100</f>
        <v>93.780465734265732</v>
      </c>
      <c r="E8" s="102">
        <f t="shared" si="0"/>
        <v>0.66973569436698255</v>
      </c>
      <c r="F8" s="107">
        <f t="shared" ref="F8:F15" si="13">E8-E$6</f>
        <v>-4.6010726900911014E-2</v>
      </c>
      <c r="G8" s="108">
        <f t="shared" ref="G8:G15" si="14">E8/E$6*100</f>
        <v>93.57164415584414</v>
      </c>
      <c r="H8" s="102">
        <f t="shared" si="1"/>
        <v>0.74229545454545454</v>
      </c>
      <c r="I8" s="107">
        <f t="shared" si="2"/>
        <v>-2.4575711098717146E-2</v>
      </c>
      <c r="J8" s="108">
        <f t="shared" si="3"/>
        <v>96.795327272727278</v>
      </c>
      <c r="K8" s="102">
        <f t="shared" si="4"/>
        <v>0.71740047406581131</v>
      </c>
      <c r="L8" s="107">
        <f t="shared" si="5"/>
        <v>1.6540527979177488E-3</v>
      </c>
      <c r="M8" s="108">
        <f t="shared" si="6"/>
        <v>100.23109480519479</v>
      </c>
      <c r="N8" s="102">
        <f t="shared" si="7"/>
        <v>0.39680170105967644</v>
      </c>
      <c r="O8" s="107">
        <f t="shared" si="8"/>
        <v>1.5689970254694152E-2</v>
      </c>
      <c r="P8" s="108">
        <f t="shared" si="9"/>
        <v>104.11689512195122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0.62981264640267698</v>
      </c>
      <c r="C9" s="107">
        <f t="shared" si="11"/>
        <v>-3.4809030488938464E-2</v>
      </c>
      <c r="D9" s="108">
        <f t="shared" si="12"/>
        <v>94.762579720279717</v>
      </c>
      <c r="E9" s="102">
        <f t="shared" si="0"/>
        <v>0.67778102342442814</v>
      </c>
      <c r="F9" s="107">
        <f t="shared" si="13"/>
        <v>-3.796539784346542E-2</v>
      </c>
      <c r="G9" s="108">
        <f t="shared" si="14"/>
        <v>94.695691558441538</v>
      </c>
      <c r="H9" s="102">
        <f t="shared" si="1"/>
        <v>0.73470552147239254</v>
      </c>
      <c r="I9" s="107">
        <f t="shared" si="2"/>
        <v>-3.216564417177914E-2</v>
      </c>
      <c r="J9" s="108">
        <f t="shared" si="3"/>
        <v>95.805599999999998</v>
      </c>
      <c r="K9" s="102">
        <f t="shared" si="4"/>
        <v>0.70525658114891221</v>
      </c>
      <c r="L9" s="107">
        <f t="shared" si="5"/>
        <v>-1.0489840118981353E-2</v>
      </c>
      <c r="M9" s="108">
        <f t="shared" si="6"/>
        <v>98.53441948051946</v>
      </c>
      <c r="N9" s="102">
        <f t="shared" si="7"/>
        <v>0.38647939208031229</v>
      </c>
      <c r="O9" s="107">
        <f t="shared" si="8"/>
        <v>5.3676612753300046E-3</v>
      </c>
      <c r="P9" s="108">
        <f t="shared" si="9"/>
        <v>101.40842195121951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0.6179723508087005</v>
      </c>
      <c r="C10" s="107">
        <f t="shared" si="11"/>
        <v>-4.6649326082914944E-2</v>
      </c>
      <c r="D10" s="108">
        <f t="shared" si="12"/>
        <v>92.981070629370649</v>
      </c>
      <c r="E10" s="102">
        <f t="shared" si="0"/>
        <v>0.65622561349693243</v>
      </c>
      <c r="F10" s="107">
        <f t="shared" si="13"/>
        <v>-5.9520807770961137E-2</v>
      </c>
      <c r="G10" s="108">
        <f t="shared" si="14"/>
        <v>91.684092857142858</v>
      </c>
      <c r="H10" s="102">
        <f t="shared" si="1"/>
        <v>0.7781199386503066</v>
      </c>
      <c r="I10" s="107">
        <f t="shared" si="2"/>
        <v>1.1248773006134916E-2</v>
      </c>
      <c r="J10" s="108">
        <f t="shared" si="3"/>
        <v>101.46683999999999</v>
      </c>
      <c r="K10" s="102">
        <f t="shared" si="4"/>
        <v>0.70085441996653652</v>
      </c>
      <c r="L10" s="107">
        <f t="shared" si="5"/>
        <v>-1.4892001301357038E-2</v>
      </c>
      <c r="M10" s="108">
        <f t="shared" si="6"/>
        <v>97.91937467532469</v>
      </c>
      <c r="N10" s="102">
        <f t="shared" si="7"/>
        <v>0.38101464026770776</v>
      </c>
      <c r="O10" s="107">
        <f t="shared" si="8"/>
        <v>-9.7090537274524547E-5</v>
      </c>
      <c r="P10" s="108">
        <f t="shared" si="9"/>
        <v>99.974524390243928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0.62837055911879514</v>
      </c>
      <c r="C11" s="236">
        <f t="shared" si="11"/>
        <v>-3.6251117772820307E-2</v>
      </c>
      <c r="D11" s="237">
        <f t="shared" si="12"/>
        <v>94.545601048951028</v>
      </c>
      <c r="E11" s="235">
        <f>AVERAGE(E7:E10)</f>
        <v>0.67501069785276058</v>
      </c>
      <c r="F11" s="236">
        <f t="shared" si="13"/>
        <v>-4.0735723415132985E-2</v>
      </c>
      <c r="G11" s="237">
        <f t="shared" si="14"/>
        <v>94.308637499999989</v>
      </c>
      <c r="H11" s="235">
        <f>AVERAGE(H7:H10)</f>
        <v>0.75781686767986611</v>
      </c>
      <c r="I11" s="236">
        <f t="shared" si="2"/>
        <v>-9.0542979643055688E-3</v>
      </c>
      <c r="J11" s="237">
        <f t="shared" si="3"/>
        <v>98.819319545454547</v>
      </c>
      <c r="K11" s="235">
        <f>AVERAGE(K7:K10)</f>
        <v>0.70711611475181257</v>
      </c>
      <c r="L11" s="236">
        <f t="shared" si="5"/>
        <v>-8.6303065160809878E-3</v>
      </c>
      <c r="M11" s="237">
        <f t="shared" si="6"/>
        <v>98.794222889610396</v>
      </c>
      <c r="N11" s="235">
        <f>AVERAGE(N7:N10)</f>
        <v>0.38636554308421633</v>
      </c>
      <c r="O11" s="236">
        <f t="shared" si="8"/>
        <v>5.2538122792340491E-3</v>
      </c>
      <c r="P11" s="237">
        <f t="shared" si="9"/>
        <v>101.37854908536585</v>
      </c>
      <c r="Q11" s="109"/>
    </row>
    <row r="12" spans="1:19" s="96" customFormat="1" ht="15.75" x14ac:dyDescent="0.25">
      <c r="A12" s="110" t="s">
        <v>24</v>
      </c>
      <c r="B12" s="102">
        <f>B25*$B$32/100/$B$33</f>
        <v>1.0219529141104293</v>
      </c>
      <c r="C12" s="107">
        <f t="shared" si="11"/>
        <v>0.35733123721881388</v>
      </c>
      <c r="D12" s="108">
        <f t="shared" si="12"/>
        <v>153.76460769230769</v>
      </c>
      <c r="E12" s="102">
        <f>E25*$B$32/100/$B$33</f>
        <v>1.0759483128834355</v>
      </c>
      <c r="F12" s="107">
        <f t="shared" si="13"/>
        <v>0.36020189161554195</v>
      </c>
      <c r="G12" s="108">
        <f t="shared" si="14"/>
        <v>150.32535000000001</v>
      </c>
      <c r="H12" s="102">
        <f>H25*$B$32/100/$B$33</f>
        <v>1.165940644171779</v>
      </c>
      <c r="I12" s="107">
        <f t="shared" si="2"/>
        <v>0.39906947852760732</v>
      </c>
      <c r="J12" s="108">
        <f t="shared" si="3"/>
        <v>152.03865999999999</v>
      </c>
      <c r="K12" s="102">
        <f>K25*$B$32/100/$B$33</f>
        <v>0.96615766871165631</v>
      </c>
      <c r="L12" s="107">
        <f t="shared" si="5"/>
        <v>0.25041124744376275</v>
      </c>
      <c r="M12" s="108">
        <f t="shared" si="6"/>
        <v>134.98602857142856</v>
      </c>
      <c r="N12" s="102">
        <f>N25*$B$32/100/$B$33</f>
        <v>0.42404386503067476</v>
      </c>
      <c r="O12" s="107">
        <f t="shared" si="8"/>
        <v>4.2932134225692475E-2</v>
      </c>
      <c r="P12" s="108">
        <f t="shared" si="9"/>
        <v>111.26497317073169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1.3293984011898119</v>
      </c>
      <c r="F13" s="107">
        <f t="shared" si="13"/>
        <v>0.61365197992191833</v>
      </c>
      <c r="G13" s="108">
        <f t="shared" si="14"/>
        <v>185.73594805194804</v>
      </c>
      <c r="H13" s="102">
        <f t="shared" ref="H13:H14" si="15">H26*$B$34/$B$33</f>
        <v>1.3916785647889942</v>
      </c>
      <c r="I13" s="107">
        <f t="shared" si="2"/>
        <v>0.62480739914482253</v>
      </c>
      <c r="J13" s="108">
        <f t="shared" si="3"/>
        <v>181.47488484848486</v>
      </c>
      <c r="K13" s="102">
        <f t="shared" ref="K13:K14" si="16">K26*$B$34/$B$33</f>
        <v>1.3293984011898119</v>
      </c>
      <c r="L13" s="107">
        <f t="shared" si="5"/>
        <v>0.61365197992191833</v>
      </c>
      <c r="M13" s="108">
        <f t="shared" si="6"/>
        <v>185.73594805194804</v>
      </c>
      <c r="N13" s="102">
        <f t="shared" ref="N13:N14" si="17">N26*$B$34/$B$33</f>
        <v>0.66243446737311751</v>
      </c>
      <c r="O13" s="107">
        <f t="shared" si="8"/>
        <v>0.28132273656813522</v>
      </c>
      <c r="P13" s="108">
        <f t="shared" si="9"/>
        <v>173.8163414634146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1.2104999070459193</v>
      </c>
      <c r="F14" s="107">
        <f t="shared" si="13"/>
        <v>0.49475348577802569</v>
      </c>
      <c r="G14" s="108">
        <f t="shared" si="14"/>
        <v>169.12412987012988</v>
      </c>
      <c r="H14" s="102">
        <f t="shared" si="15"/>
        <v>1.3067510689719275</v>
      </c>
      <c r="I14" s="107">
        <f t="shared" si="2"/>
        <v>0.53987990332775582</v>
      </c>
      <c r="J14" s="108">
        <f t="shared" si="3"/>
        <v>170.40033939393936</v>
      </c>
      <c r="K14" s="102">
        <f t="shared" si="16"/>
        <v>1.2048380739914482</v>
      </c>
      <c r="L14" s="107">
        <f t="shared" si="5"/>
        <v>0.48909165272355459</v>
      </c>
      <c r="M14" s="108">
        <f t="shared" si="6"/>
        <v>168.33309090909091</v>
      </c>
      <c r="N14" s="102">
        <f t="shared" si="17"/>
        <v>0.55825673917084961</v>
      </c>
      <c r="O14" s="107">
        <f t="shared" si="8"/>
        <v>0.17714500836586733</v>
      </c>
      <c r="P14" s="108">
        <f t="shared" si="9"/>
        <v>146.48112195121954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1.2524341885108756</v>
      </c>
      <c r="F15" s="119">
        <f t="shared" si="13"/>
        <v>0.53668776724298206</v>
      </c>
      <c r="G15" s="120">
        <f t="shared" si="14"/>
        <v>174.98294805194809</v>
      </c>
      <c r="H15" s="118">
        <f>H28*$B$35/10/$B$33</f>
        <v>1.3079217791411042</v>
      </c>
      <c r="I15" s="119">
        <f t="shared" si="2"/>
        <v>0.54105061349693251</v>
      </c>
      <c r="J15" s="120">
        <f t="shared" si="3"/>
        <v>170.553</v>
      </c>
      <c r="K15" s="118">
        <f>K28*$B$35/10/$B$33</f>
        <v>1.3237753764640268</v>
      </c>
      <c r="L15" s="119">
        <f t="shared" si="5"/>
        <v>0.6080289551961332</v>
      </c>
      <c r="M15" s="120">
        <f t="shared" si="6"/>
        <v>184.95033116883118</v>
      </c>
      <c r="N15" s="118">
        <f>N28*$B$35/10/$B$33</f>
        <v>0.58129856850715744</v>
      </c>
      <c r="O15" s="119">
        <f t="shared" si="8"/>
        <v>0.20018683770217516</v>
      </c>
      <c r="P15" s="120">
        <f t="shared" si="9"/>
        <v>152.52707317073174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4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49" t="s">
        <v>214</v>
      </c>
      <c r="X19" s="249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42.32</v>
      </c>
      <c r="C21" s="144" t="s">
        <v>172</v>
      </c>
      <c r="D21" s="145" t="s">
        <v>172</v>
      </c>
      <c r="E21" s="143">
        <v>45.87</v>
      </c>
      <c r="F21" s="144" t="s">
        <v>172</v>
      </c>
      <c r="G21" s="145" t="s">
        <v>172</v>
      </c>
      <c r="H21" s="143">
        <v>51.13</v>
      </c>
      <c r="I21" s="144" t="s">
        <v>172</v>
      </c>
      <c r="J21" s="145" t="s">
        <v>172</v>
      </c>
      <c r="K21" s="143">
        <v>46.44</v>
      </c>
      <c r="L21" s="144" t="s">
        <v>172</v>
      </c>
      <c r="M21" s="145" t="s">
        <v>172</v>
      </c>
      <c r="N21" s="143">
        <v>25.11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41.06</v>
      </c>
      <c r="C22" s="144" t="s">
        <v>172</v>
      </c>
      <c r="D22" s="145" t="s">
        <v>172</v>
      </c>
      <c r="E22" s="143">
        <v>44.12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47.26</v>
      </c>
      <c r="L22" s="144" t="s">
        <v>172</v>
      </c>
      <c r="M22" s="145" t="s">
        <v>172</v>
      </c>
      <c r="N22" s="143">
        <v>26.14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41.49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46.46</v>
      </c>
      <c r="L23" s="144" t="s">
        <v>172</v>
      </c>
      <c r="M23" s="145" t="s">
        <v>172</v>
      </c>
      <c r="N23" s="143">
        <v>25.46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40.71</v>
      </c>
      <c r="C24" s="144" t="s">
        <v>172</v>
      </c>
      <c r="D24" s="145" t="s">
        <v>172</v>
      </c>
      <c r="E24" s="143">
        <v>43.23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46.17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11.78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1.069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1.0640000000000001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4.74</v>
      </c>
      <c r="F28" s="158" t="s">
        <v>172</v>
      </c>
      <c r="G28" s="159" t="s">
        <v>172</v>
      </c>
      <c r="H28" s="234">
        <v>4.95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2.2000000000000002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4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7.7450999999999999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2.1516000000000002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2.4363999999999999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5.6851000000000003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3.2660999999999998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B22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43500</v>
      </c>
      <c r="E2" s="493"/>
      <c r="F2" s="251"/>
      <c r="G2" s="251"/>
      <c r="H2" s="251"/>
      <c r="I2" s="251"/>
      <c r="J2" s="251"/>
      <c r="K2" s="251"/>
      <c r="L2" s="251"/>
      <c r="M2" s="251"/>
      <c r="N2" s="251"/>
      <c r="O2" s="251"/>
      <c r="P2" s="251"/>
      <c r="Q2" s="251"/>
      <c r="R2" s="25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0.66280417149478554</v>
      </c>
      <c r="C6" s="103" t="s">
        <v>172</v>
      </c>
      <c r="D6" s="104" t="s">
        <v>172</v>
      </c>
      <c r="E6" s="102">
        <f>E20/$B$33</f>
        <v>0.71378910776361526</v>
      </c>
      <c r="F6" s="103" t="s">
        <v>172</v>
      </c>
      <c r="G6" s="104" t="s">
        <v>172</v>
      </c>
      <c r="H6" s="102">
        <f>H20/$B$33</f>
        <v>0.76477404403244487</v>
      </c>
      <c r="I6" s="103" t="s">
        <v>172</v>
      </c>
      <c r="J6" s="104" t="s">
        <v>172</v>
      </c>
      <c r="K6" s="102">
        <f>K20/$B$33</f>
        <v>0.71378910776361526</v>
      </c>
      <c r="L6" s="103" t="s">
        <v>172</v>
      </c>
      <c r="M6" s="104" t="s">
        <v>172</v>
      </c>
      <c r="N6" s="102">
        <f>N20/$B$33</f>
        <v>0.38006952491309381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0.64426729084588641</v>
      </c>
      <c r="C7" s="107">
        <f>B7-B$6</f>
        <v>-1.8536880648899134E-2</v>
      </c>
      <c r="D7" s="108">
        <f>B7/B$6*100</f>
        <v>97.203264335664343</v>
      </c>
      <c r="E7" s="102">
        <f t="shared" ref="E7:E10" si="0">E21*$B$36/100/$B$33</f>
        <v>0.69928988180764784</v>
      </c>
      <c r="F7" s="107">
        <f>E7-E$6</f>
        <v>-1.4499225955967421E-2</v>
      </c>
      <c r="G7" s="108">
        <f>E7/E$6*100</f>
        <v>97.968696103896121</v>
      </c>
      <c r="H7" s="102">
        <f t="shared" ref="H7:H10" si="1">H21*$B$36/100/$B$33</f>
        <v>0.77930888528389342</v>
      </c>
      <c r="I7" s="107">
        <f t="shared" ref="I7:I15" si="2">H7-H$6</f>
        <v>1.4534841251448549E-2</v>
      </c>
      <c r="J7" s="108">
        <f t="shared" ref="J7:J15" si="3">H7/H$6*100</f>
        <v>101.90054060606062</v>
      </c>
      <c r="K7" s="102">
        <f t="shared" ref="K7:K10" si="4">K21*$B$36/100/$B$33</f>
        <v>0.71056875086906135</v>
      </c>
      <c r="L7" s="107">
        <f t="shared" ref="L7:L15" si="5">K7-K$6</f>
        <v>-3.2203568945539107E-3</v>
      </c>
      <c r="M7" s="108">
        <f t="shared" ref="M7:M15" si="6">K7/K$6*100</f>
        <v>99.548836363636354</v>
      </c>
      <c r="N7" s="102">
        <f t="shared" ref="N7:N10" si="7">N21*$B$36/100/$B$33</f>
        <v>0.37814694785631514</v>
      </c>
      <c r="O7" s="107">
        <f t="shared" ref="O7:O15" si="8">N7-N$6</f>
        <v>-1.9225770567786737E-3</v>
      </c>
      <c r="P7" s="108">
        <f t="shared" ref="P7:P15" si="9">N7/N$6*100</f>
        <v>99.49415121951219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0.62536756431054463</v>
      </c>
      <c r="C8" s="107">
        <f t="shared" ref="C8:C12" si="11">B8-B$6</f>
        <v>-3.7436607184240911E-2</v>
      </c>
      <c r="D8" s="108">
        <f t="shared" ref="D8:D12" si="12">B8/B$6*100</f>
        <v>94.351784615384631</v>
      </c>
      <c r="E8" s="102">
        <f t="shared" si="0"/>
        <v>0.67185479490150635</v>
      </c>
      <c r="F8" s="107">
        <f t="shared" ref="F8:F15" si="13">E8-E$6</f>
        <v>-4.1934312862108913E-2</v>
      </c>
      <c r="G8" s="108">
        <f t="shared" ref="G8:G15" si="14">E8/E$6*100</f>
        <v>94.125111688311691</v>
      </c>
      <c r="H8" s="102">
        <f t="shared" si="1"/>
        <v>0.74531986095017377</v>
      </c>
      <c r="I8" s="107">
        <f t="shared" si="2"/>
        <v>-1.9454183082271093E-2</v>
      </c>
      <c r="J8" s="108">
        <f t="shared" si="3"/>
        <v>97.456218181818187</v>
      </c>
      <c r="K8" s="102">
        <f t="shared" si="4"/>
        <v>0.72184761993047519</v>
      </c>
      <c r="L8" s="107">
        <f t="shared" si="5"/>
        <v>8.0585121668599324E-3</v>
      </c>
      <c r="M8" s="108">
        <f t="shared" si="6"/>
        <v>101.12897662337666</v>
      </c>
      <c r="N8" s="102">
        <f t="shared" si="7"/>
        <v>0.38973065121668593</v>
      </c>
      <c r="O8" s="107">
        <f t="shared" si="8"/>
        <v>9.6611263035921158E-3</v>
      </c>
      <c r="P8" s="108">
        <f t="shared" si="9"/>
        <v>102.54193658536586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0.63176908458864445</v>
      </c>
      <c r="C9" s="107">
        <f t="shared" si="11"/>
        <v>-3.1035086906141096E-2</v>
      </c>
      <c r="D9" s="108">
        <f t="shared" si="12"/>
        <v>95.317608391608431</v>
      </c>
      <c r="E9" s="102">
        <f t="shared" si="0"/>
        <v>0.68099982387022007</v>
      </c>
      <c r="F9" s="107">
        <f t="shared" si="13"/>
        <v>-3.2789283893395194E-2</v>
      </c>
      <c r="G9" s="108">
        <f t="shared" si="14"/>
        <v>95.406306493506492</v>
      </c>
      <c r="H9" s="102">
        <f t="shared" si="1"/>
        <v>0.73891834067207407</v>
      </c>
      <c r="I9" s="107">
        <f t="shared" si="2"/>
        <v>-2.5855703360370796E-2</v>
      </c>
      <c r="J9" s="108">
        <f t="shared" si="3"/>
        <v>96.619170909090911</v>
      </c>
      <c r="K9" s="102">
        <f t="shared" si="4"/>
        <v>0.70813007647740434</v>
      </c>
      <c r="L9" s="107">
        <f t="shared" si="5"/>
        <v>-5.6590312862109249E-3</v>
      </c>
      <c r="M9" s="108">
        <f t="shared" si="6"/>
        <v>99.207184415584422</v>
      </c>
      <c r="N9" s="102">
        <f t="shared" si="7"/>
        <v>0.40847796060254926</v>
      </c>
      <c r="O9" s="107">
        <f t="shared" si="8"/>
        <v>2.8408435689455447E-2</v>
      </c>
      <c r="P9" s="108">
        <f t="shared" si="9"/>
        <v>107.47453658536588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0.63634159907300114</v>
      </c>
      <c r="C10" s="107">
        <f t="shared" si="11"/>
        <v>-2.6462572421784403E-2</v>
      </c>
      <c r="D10" s="108">
        <f t="shared" si="12"/>
        <v>96.007482517482529</v>
      </c>
      <c r="E10" s="102">
        <f t="shared" si="0"/>
        <v>0.67978048667439162</v>
      </c>
      <c r="F10" s="107">
        <f t="shared" si="13"/>
        <v>-3.4008621089223645E-2</v>
      </c>
      <c r="G10" s="108">
        <f t="shared" si="14"/>
        <v>95.235480519480518</v>
      </c>
      <c r="H10" s="102">
        <f t="shared" si="1"/>
        <v>0.78129030822711476</v>
      </c>
      <c r="I10" s="107">
        <f t="shared" si="2"/>
        <v>1.6516264194669894E-2</v>
      </c>
      <c r="J10" s="108">
        <f t="shared" si="3"/>
        <v>102.1596266666667</v>
      </c>
      <c r="K10" s="102">
        <f t="shared" si="4"/>
        <v>0.71712268829663961</v>
      </c>
      <c r="L10" s="107">
        <f t="shared" si="5"/>
        <v>3.3335805330243495E-3</v>
      </c>
      <c r="M10" s="108">
        <f t="shared" si="6"/>
        <v>100.46702597402597</v>
      </c>
      <c r="N10" s="102">
        <f t="shared" si="7"/>
        <v>0.3825670451911935</v>
      </c>
      <c r="O10" s="107">
        <f t="shared" si="8"/>
        <v>2.4975202780996852E-3</v>
      </c>
      <c r="P10" s="108">
        <f t="shared" si="9"/>
        <v>100.65712195121952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0.63443638470451913</v>
      </c>
      <c r="C11" s="236">
        <f t="shared" si="11"/>
        <v>-2.8367786790266414E-2</v>
      </c>
      <c r="D11" s="237">
        <f t="shared" si="12"/>
        <v>95.720034965034984</v>
      </c>
      <c r="E11" s="235">
        <f>AVERAGE(E7:E10)</f>
        <v>0.68298124681344141</v>
      </c>
      <c r="F11" s="236">
        <f t="shared" si="13"/>
        <v>-3.0807860950173849E-2</v>
      </c>
      <c r="G11" s="237">
        <f t="shared" si="14"/>
        <v>95.683898701298702</v>
      </c>
      <c r="H11" s="235">
        <f>AVERAGE(H7:H10)</f>
        <v>0.76120934878331403</v>
      </c>
      <c r="I11" s="236">
        <f t="shared" si="2"/>
        <v>-3.5646952491308337E-3</v>
      </c>
      <c r="J11" s="237">
        <f t="shared" si="3"/>
        <v>99.533889090909099</v>
      </c>
      <c r="K11" s="235">
        <f>AVERAGE(K7:K10)</f>
        <v>0.71441728389339509</v>
      </c>
      <c r="L11" s="236">
        <f t="shared" si="5"/>
        <v>6.2817612977983384E-4</v>
      </c>
      <c r="M11" s="237">
        <f t="shared" si="6"/>
        <v>100.08800584415584</v>
      </c>
      <c r="N11" s="235">
        <f>AVERAGE(N7:N10)</f>
        <v>0.38973065121668599</v>
      </c>
      <c r="O11" s="236">
        <f t="shared" si="8"/>
        <v>9.6611263035921713E-3</v>
      </c>
      <c r="P11" s="237">
        <f t="shared" si="9"/>
        <v>102.54193658536587</v>
      </c>
      <c r="Q11" s="109"/>
    </row>
    <row r="12" spans="1:19" s="96" customFormat="1" ht="15.75" x14ac:dyDescent="0.25">
      <c r="A12" s="110" t="s">
        <v>24</v>
      </c>
      <c r="B12" s="102">
        <f>B25*$B$32/100/$B$33</f>
        <v>1.024964746234067</v>
      </c>
      <c r="C12" s="107">
        <f t="shared" si="11"/>
        <v>0.36216057473928143</v>
      </c>
      <c r="D12" s="108">
        <f t="shared" si="12"/>
        <v>154.64066013986013</v>
      </c>
      <c r="E12" s="102">
        <f>E25*$B$32/100/$B$33</f>
        <v>1.0848511425260718</v>
      </c>
      <c r="F12" s="107">
        <f t="shared" si="13"/>
        <v>0.37106203476245658</v>
      </c>
      <c r="G12" s="108">
        <f t="shared" si="14"/>
        <v>151.98482727272727</v>
      </c>
      <c r="H12" s="102">
        <f>H25*$B$32/100/$B$33</f>
        <v>1.1755881066048666</v>
      </c>
      <c r="I12" s="107">
        <f t="shared" si="2"/>
        <v>0.4108140625724217</v>
      </c>
      <c r="J12" s="108">
        <f t="shared" si="3"/>
        <v>153.71705090909091</v>
      </c>
      <c r="K12" s="102">
        <f>K25*$B$32/100/$B$33</f>
        <v>0.97415204634994179</v>
      </c>
      <c r="L12" s="107">
        <f t="shared" si="5"/>
        <v>0.26036293858632653</v>
      </c>
      <c r="M12" s="108">
        <f t="shared" si="6"/>
        <v>136.4761714285714</v>
      </c>
      <c r="N12" s="102">
        <f>N25*$B$32/100/$B$33</f>
        <v>0.39670200695249125</v>
      </c>
      <c r="O12" s="107">
        <f t="shared" si="8"/>
        <v>1.6632482039397434E-2</v>
      </c>
      <c r="P12" s="108">
        <f t="shared" si="9"/>
        <v>104.37616829268292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1.3443184241019697</v>
      </c>
      <c r="F13" s="107">
        <f t="shared" si="13"/>
        <v>0.63052931633835441</v>
      </c>
      <c r="G13" s="108">
        <f t="shared" si="14"/>
        <v>188.33551948051945</v>
      </c>
      <c r="H13" s="102">
        <f t="shared" ref="H13:H14" si="15">H26*$B$34/$B$33</f>
        <v>1.4072975666280416</v>
      </c>
      <c r="I13" s="107">
        <f t="shared" si="2"/>
        <v>0.64252352259559675</v>
      </c>
      <c r="J13" s="108">
        <f t="shared" si="3"/>
        <v>184.01481818181819</v>
      </c>
      <c r="K13" s="102">
        <f t="shared" ref="K13:K14" si="16">K26*$B$34/$B$33</f>
        <v>1.3443184241019697</v>
      </c>
      <c r="L13" s="107">
        <f t="shared" si="5"/>
        <v>0.63052931633835441</v>
      </c>
      <c r="M13" s="108">
        <f t="shared" si="6"/>
        <v>188.33551948051945</v>
      </c>
      <c r="N13" s="102">
        <f t="shared" ref="N13:N14" si="17">N26*$B$34/$B$33</f>
        <v>0.66986906141367308</v>
      </c>
      <c r="O13" s="107">
        <f t="shared" si="8"/>
        <v>0.28979953650057927</v>
      </c>
      <c r="P13" s="108">
        <f t="shared" si="9"/>
        <v>176.24908536585363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1.2366813441483198</v>
      </c>
      <c r="F14" s="107">
        <f t="shared" si="13"/>
        <v>0.5228922363847045</v>
      </c>
      <c r="G14" s="108">
        <f t="shared" si="14"/>
        <v>173.25584415584416</v>
      </c>
      <c r="H14" s="102">
        <f t="shared" si="15"/>
        <v>1.3156915411355734</v>
      </c>
      <c r="I14" s="107">
        <f t="shared" si="2"/>
        <v>0.55091749710312854</v>
      </c>
      <c r="J14" s="108">
        <f t="shared" si="3"/>
        <v>172.03663636363635</v>
      </c>
      <c r="K14" s="102">
        <f t="shared" si="16"/>
        <v>1.218360139049826</v>
      </c>
      <c r="L14" s="107">
        <f t="shared" si="5"/>
        <v>0.50457103128621072</v>
      </c>
      <c r="M14" s="108">
        <f t="shared" si="6"/>
        <v>170.68909090909088</v>
      </c>
      <c r="N14" s="102">
        <f t="shared" si="17"/>
        <v>0.56452213209733482</v>
      </c>
      <c r="O14" s="107">
        <f t="shared" si="8"/>
        <v>0.184452607184241</v>
      </c>
      <c r="P14" s="108">
        <f t="shared" si="9"/>
        <v>148.53128048780488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1.2726268366164541</v>
      </c>
      <c r="F15" s="119">
        <f t="shared" si="13"/>
        <v>0.55883772885283889</v>
      </c>
      <c r="G15" s="120">
        <f t="shared" si="14"/>
        <v>178.29171428571428</v>
      </c>
      <c r="H15" s="118">
        <f>H28*$B$35/10/$B$33</f>
        <v>1.3504879721900347</v>
      </c>
      <c r="I15" s="119">
        <f t="shared" si="2"/>
        <v>0.58571392815758982</v>
      </c>
      <c r="J15" s="120">
        <f t="shared" si="3"/>
        <v>176.58653333333334</v>
      </c>
      <c r="K15" s="118">
        <f>K28*$B$35/10/$B$33</f>
        <v>1.3478031054461181</v>
      </c>
      <c r="L15" s="119">
        <f t="shared" si="5"/>
        <v>0.63401399768250288</v>
      </c>
      <c r="M15" s="120">
        <f t="shared" si="6"/>
        <v>188.82371428571429</v>
      </c>
      <c r="N15" s="118">
        <f>N28*$B$35/10/$B$33</f>
        <v>0.58261608342989557</v>
      </c>
      <c r="O15" s="119">
        <f t="shared" si="8"/>
        <v>0.20254655851680176</v>
      </c>
      <c r="P15" s="120">
        <f t="shared" si="9"/>
        <v>153.29197560975607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5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53" t="s">
        <v>214</v>
      </c>
      <c r="X19" s="253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42.27</v>
      </c>
      <c r="C21" s="144" t="s">
        <v>172</v>
      </c>
      <c r="D21" s="145" t="s">
        <v>172</v>
      </c>
      <c r="E21" s="143">
        <v>45.88</v>
      </c>
      <c r="F21" s="144" t="s">
        <v>172</v>
      </c>
      <c r="G21" s="145" t="s">
        <v>172</v>
      </c>
      <c r="H21" s="143">
        <v>51.13</v>
      </c>
      <c r="I21" s="144" t="s">
        <v>172</v>
      </c>
      <c r="J21" s="145" t="s">
        <v>172</v>
      </c>
      <c r="K21" s="143">
        <v>46.62</v>
      </c>
      <c r="L21" s="144" t="s">
        <v>172</v>
      </c>
      <c r="M21" s="145" t="s">
        <v>172</v>
      </c>
      <c r="N21" s="143">
        <v>24.81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41.03</v>
      </c>
      <c r="C22" s="144" t="s">
        <v>172</v>
      </c>
      <c r="D22" s="145" t="s">
        <v>172</v>
      </c>
      <c r="E22" s="143">
        <v>44.08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47.36</v>
      </c>
      <c r="L22" s="144" t="s">
        <v>172</v>
      </c>
      <c r="M22" s="145" t="s">
        <v>172</v>
      </c>
      <c r="N22" s="143">
        <v>25.57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41.45</v>
      </c>
      <c r="C23" s="144" t="s">
        <v>172</v>
      </c>
      <c r="D23" s="145" t="s">
        <v>172</v>
      </c>
      <c r="E23" s="143">
        <v>44.68</v>
      </c>
      <c r="F23" s="144" t="s">
        <v>172</v>
      </c>
      <c r="G23" s="145" t="s">
        <v>172</v>
      </c>
      <c r="H23" s="143">
        <v>48.48</v>
      </c>
      <c r="I23" s="144" t="s">
        <v>172</v>
      </c>
      <c r="J23" s="145" t="s">
        <v>172</v>
      </c>
      <c r="K23" s="143">
        <v>46.46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41.75</v>
      </c>
      <c r="C24" s="144" t="s">
        <v>172</v>
      </c>
      <c r="D24" s="145" t="s">
        <v>172</v>
      </c>
      <c r="E24" s="143">
        <v>44.6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47.05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28.24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10.93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1.08</v>
      </c>
      <c r="F27" s="144" t="s">
        <v>172</v>
      </c>
      <c r="G27" s="145" t="s">
        <v>172</v>
      </c>
      <c r="H27" s="153">
        <v>1.149</v>
      </c>
      <c r="I27" s="144" t="s">
        <v>172</v>
      </c>
      <c r="J27" s="145" t="s">
        <v>172</v>
      </c>
      <c r="K27" s="153">
        <v>1.0640000000000001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4.74</v>
      </c>
      <c r="F28" s="158" t="s">
        <v>172</v>
      </c>
      <c r="G28" s="159" t="s">
        <v>172</v>
      </c>
      <c r="H28" s="234">
        <v>5.03</v>
      </c>
      <c r="I28" s="158" t="s">
        <v>172</v>
      </c>
      <c r="J28" s="159" t="s">
        <v>172</v>
      </c>
      <c r="K28" s="234">
        <v>5.0199999999999996</v>
      </c>
      <c r="L28" s="158" t="s">
        <v>172</v>
      </c>
      <c r="M28" s="159" t="s">
        <v>172</v>
      </c>
      <c r="N28" s="234">
        <v>2.17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5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7.8305999999999996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2.1575000000000002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2.4704999999999999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5.7926000000000002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3.2884000000000002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2" r:id="rId25"/>
    <hyperlink ref="Q23" r:id="rId26"/>
    <hyperlink ref="S27" r:id="rId27" location=".WOOTMl7SnSs" display="http://autotraveler.ru/latvia/#.WOOTMl7SnSs"/>
    <hyperlink ref="O23" r:id="rId28" display="www.benzin-price.ru/price.php?region_id=32"/>
    <hyperlink ref="P12" r:id="rId29" display="www.nbrb.by"/>
    <hyperlink ref="R23" r:id="rId30"/>
    <hyperlink ref="R22" r:id="rId31" display="http://natrakte.ru/"/>
    <hyperlink ref="S28" r:id="rId32" location=".Vs2LGH2LRkg" display="http://autotraveler.ru/lithuania/#.Vs2LGH2LRkg"/>
    <hyperlink ref="Q27" r:id="rId33" display="http://www.fuel-prices-europe.info/"/>
    <hyperlink ref="O29" r:id="rId34" display="www.e-petrol.ru/rynek-krajowy/ceny-stacje-paliw"/>
    <hyperlink ref="B78" r:id="rId35" display="http://www.lukoil.lt/ru/avtozapravochnye_stancii_azs_/karta_azs?filterID=65"/>
    <hyperlink ref="B74" r:id="rId36" display="http://www.lukoil.lt/ru/avtozapravochnye_stancii_azs_/karta_azs?filterID=86,87,111"/>
    <hyperlink ref="B71" r:id="rId37" display="http://www.lukoil.lt/ru/avtozapravochnye_stancii_azs_/karta_azs?filterID=67"/>
    <hyperlink ref="B67" r:id="rId38" display="http://www.lukoil.lt/ru/avtozapravochnye_stancii_azs_/karta_azs?filterID=22,77,104,110,117,118,119"/>
    <hyperlink ref="B63" r:id="rId39" display="http://www.lukoil.lt/ru/avtozapravochnye_stancii_azs_/karta_azs?filterID=32,87"/>
    <hyperlink ref="B60" r:id="rId40" display="http://www.lukoil.lt/ru/avtozapravochnye_stancii_azs_/karta_azs?filterID=33"/>
    <hyperlink ref="B57" r:id="rId41" display="http://www.lukoil.lt/ru/avtozapravochnye_stancii_azs_/karta_azs?filterID=54"/>
    <hyperlink ref="B54" r:id="rId42" display="http://www.lukoil.lt/ru/avtozapravochnye_stancii_azs_/karta_azs?filterID=67"/>
    <hyperlink ref="B51" r:id="rId43" display="http://www.lukoil.lt/ru/avtozapravochnye_stancii_azs_/karta_azs?filterID=65"/>
    <hyperlink ref="O28" r:id="rId44" display="www.lukoil.lt/ru/osnovnaja_stranica"/>
    <hyperlink ref="O27" r:id="rId45" display="www.lukoil.lv/lv/galvena_lapa"/>
    <hyperlink ref="O26" r:id="rId46" display="www.vseazs.com/"/>
    <hyperlink ref="M43" r:id="rId47" display="http://www.benzin-price.ru/price.php?region_id=60&amp;sort=11&amp;brand_id=0&amp;price_mode="/>
    <hyperlink ref="L43" r:id="rId48" display="http://www.benzin-price.ru/price.php?region_id=60&amp;sort=10&amp;brand_id=0&amp;price_mode="/>
    <hyperlink ref="K43" r:id="rId49" display="http://www.benzin-price.ru/price.php?region_id=60&amp;sort=9&amp;brand_id=0&amp;price_mode="/>
    <hyperlink ref="J43" r:id="rId50" display="http://www.benzin-price.ru/price.php?region_id=60&amp;sort=8&amp;brand_id=0&amp;price_mode="/>
    <hyperlink ref="I43" r:id="rId51" display="http://www.benzin-price.ru/price.php?region_id=60&amp;sort=7&amp;brand_id=0&amp;price_mode="/>
    <hyperlink ref="H43" r:id="rId52" display="http://www.benzin-price.ru/price.php?region_id=60&amp;sort=6&amp;brand_id=0&amp;price_mode="/>
    <hyperlink ref="G43" r:id="rId53" display="http://www.benzin-price.ru/price.php?region_id=60&amp;sort=5&amp;brand_id=0&amp;price_mode="/>
    <hyperlink ref="E43" r:id="rId54" display="http://www.benzin-price.ru/price.php?region_id=60&amp;sort=3&amp;brand_id=0&amp;price_mode="/>
    <hyperlink ref="D43" r:id="rId55" display="http://www.benzin-price.ru/price.php?region_id=60&amp;sort=2&amp;brand_id=0&amp;price_mode="/>
    <hyperlink ref="C43" r:id="rId56" display="http://www.benzin-price.ru/price.php?region_id=60&amp;sort=1&amp;brand_id=0&amp;price_mode="/>
    <hyperlink ref="O25" r:id="rId57" display="www.benzin-price.ru/price.php?region_id=60"/>
    <hyperlink ref="O24" r:id="rId58" display="www.benzin-price.ru/price.php?region_id=67"/>
    <hyperlink ref="O22" r:id="rId59" display="www.benzin-price.ru/price.php?region_id=77"/>
    <hyperlink ref="O21" r:id="rId60" display="www.belorusneft.by/sitebeloil/ru/center/azs/"/>
    <hyperlink ref="Q29" r:id="rId61" location=".VyhQfdKLTcs" display="http://autotraveler.ru/poland/#.VyhQfdKLTcs"/>
    <hyperlink ref="S23" r:id="rId62"/>
    <hyperlink ref="T23" r:id="rId63"/>
    <hyperlink ref="R21" r:id="rId64"/>
    <hyperlink ref="T25" r:id="rId65"/>
    <hyperlink ref="X26" r:id="rId66"/>
    <hyperlink ref="X27" r:id="rId67"/>
    <hyperlink ref="X28" r:id="rId68"/>
    <hyperlink ref="Q25" r:id="rId69"/>
    <hyperlink ref="Q21" r:id="rId70"/>
  </hyperlinks>
  <pageMargins left="0.7" right="0.7" top="0.75" bottom="0.75" header="0.3" footer="0.3"/>
  <pageSetup paperSize="9" orientation="portrait" r:id="rId7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43507</v>
      </c>
      <c r="E2" s="493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0.66008124076809449</v>
      </c>
      <c r="C6" s="103" t="s">
        <v>172</v>
      </c>
      <c r="D6" s="104" t="s">
        <v>172</v>
      </c>
      <c r="E6" s="102">
        <f>E20/$B$33</f>
        <v>0.71085672082717877</v>
      </c>
      <c r="F6" s="103" t="s">
        <v>172</v>
      </c>
      <c r="G6" s="104" t="s">
        <v>172</v>
      </c>
      <c r="H6" s="102">
        <f>H20/$B$33</f>
        <v>0.76163220088626293</v>
      </c>
      <c r="I6" s="103" t="s">
        <v>172</v>
      </c>
      <c r="J6" s="104" t="s">
        <v>172</v>
      </c>
      <c r="K6" s="102">
        <f>K20/$B$33</f>
        <v>0.71085672082717877</v>
      </c>
      <c r="L6" s="103" t="s">
        <v>172</v>
      </c>
      <c r="M6" s="104" t="s">
        <v>172</v>
      </c>
      <c r="N6" s="102">
        <f>N20/$B$33</f>
        <v>0.37850812407680945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0.6406161973781388</v>
      </c>
      <c r="C7" s="107">
        <f>B7-B$6</f>
        <v>-1.9465043389955694E-2</v>
      </c>
      <c r="D7" s="108">
        <f>B7/B$6*100</f>
        <v>97.051113986013988</v>
      </c>
      <c r="E7" s="102">
        <f t="shared" ref="E7:E10" si="0">E21*$B$36/100/$B$33</f>
        <v>0.69560406203840475</v>
      </c>
      <c r="F7" s="107">
        <f>E7-E$6</f>
        <v>-1.5252658788774021E-2</v>
      </c>
      <c r="G7" s="108">
        <f>E7/E$6*100</f>
        <v>97.854327272727275</v>
      </c>
      <c r="H7" s="102">
        <f t="shared" ref="H7:H10" si="1">H21*$B$36/100/$B$33</f>
        <v>0.77452603858936486</v>
      </c>
      <c r="I7" s="107">
        <f t="shared" ref="I7:I15" si="2">H7-H$6</f>
        <v>1.2893837703101929E-2</v>
      </c>
      <c r="J7" s="108">
        <f t="shared" ref="J7:J15" si="3">H7/H$6*100</f>
        <v>101.69292181818182</v>
      </c>
      <c r="K7" s="102">
        <f t="shared" ref="K7:K10" si="4">K21*$B$36/100/$B$33</f>
        <v>0.70651074593796159</v>
      </c>
      <c r="L7" s="107">
        <f t="shared" ref="L7:L15" si="5">K7-K$6</f>
        <v>-4.3459748892171746E-3</v>
      </c>
      <c r="M7" s="108">
        <f t="shared" ref="M7:M15" si="6">K7/K$6*100</f>
        <v>99.388628571428555</v>
      </c>
      <c r="N7" s="102">
        <f t="shared" ref="N7:N10" si="7">N21*$B$36/100/$B$33</f>
        <v>0.37249355151403252</v>
      </c>
      <c r="O7" s="107">
        <f t="shared" ref="O7:O15" si="8">N7-N$6</f>
        <v>-6.014572562776932E-3</v>
      </c>
      <c r="P7" s="108">
        <f t="shared" ref="P7:P15" si="9">N7/N$6*100</f>
        <v>98.410979268292692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0.61834838441654361</v>
      </c>
      <c r="C8" s="107">
        <f t="shared" ref="C8:C12" si="11">B8-B$6</f>
        <v>-4.1732856351550884E-2</v>
      </c>
      <c r="D8" s="108">
        <f t="shared" ref="D8:D12" si="12">B8/B$6*100</f>
        <v>93.67761818181819</v>
      </c>
      <c r="E8" s="102">
        <f t="shared" si="0"/>
        <v>0.66485327271048733</v>
      </c>
      <c r="F8" s="107">
        <f t="shared" ref="F8:F15" si="13">E8-E$6</f>
        <v>-4.6003448116691437E-2</v>
      </c>
      <c r="G8" s="108">
        <f t="shared" ref="G8:G15" si="14">E8/E$6*100</f>
        <v>93.528449999999978</v>
      </c>
      <c r="H8" s="102">
        <f t="shared" si="1"/>
        <v>0.74074561484490398</v>
      </c>
      <c r="I8" s="107">
        <f t="shared" si="2"/>
        <v>-2.0886586041358957E-2</v>
      </c>
      <c r="J8" s="108">
        <f t="shared" si="3"/>
        <v>97.257654545454542</v>
      </c>
      <c r="K8" s="102">
        <f t="shared" si="4"/>
        <v>0.71787187499999994</v>
      </c>
      <c r="L8" s="107">
        <f t="shared" si="5"/>
        <v>7.0151541728211697E-3</v>
      </c>
      <c r="M8" s="108">
        <f t="shared" si="6"/>
        <v>100.98685909090908</v>
      </c>
      <c r="N8" s="102">
        <f t="shared" si="7"/>
        <v>0.387338760155096</v>
      </c>
      <c r="O8" s="107">
        <f t="shared" si="8"/>
        <v>8.8306360782865467E-3</v>
      </c>
      <c r="P8" s="108">
        <f t="shared" si="9"/>
        <v>102.33301097560977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0.62819469627031022</v>
      </c>
      <c r="C9" s="107">
        <f t="shared" si="11"/>
        <v>-3.1886544497784275E-2</v>
      </c>
      <c r="D9" s="108">
        <f t="shared" si="12"/>
        <v>95.169300000000007</v>
      </c>
      <c r="E9" s="102">
        <f t="shared" si="0"/>
        <v>0.69015072008862632</v>
      </c>
      <c r="F9" s="107">
        <f t="shared" si="13"/>
        <v>-2.0706000738552444E-2</v>
      </c>
      <c r="G9" s="108">
        <f t="shared" si="14"/>
        <v>97.087176623376621</v>
      </c>
      <c r="H9" s="102">
        <f t="shared" si="1"/>
        <v>0.73317152880354497</v>
      </c>
      <c r="I9" s="107">
        <f t="shared" si="2"/>
        <v>-2.8460672082717964E-2</v>
      </c>
      <c r="J9" s="108">
        <f t="shared" si="3"/>
        <v>96.263199999999998</v>
      </c>
      <c r="K9" s="102">
        <f t="shared" si="4"/>
        <v>0.70499592872968975</v>
      </c>
      <c r="L9" s="107">
        <f t="shared" si="5"/>
        <v>-5.8607920974890204E-3</v>
      </c>
      <c r="M9" s="108">
        <f t="shared" si="6"/>
        <v>99.175531168831156</v>
      </c>
      <c r="N9" s="102">
        <f t="shared" si="7"/>
        <v>0.40597101181683898</v>
      </c>
      <c r="O9" s="107">
        <f t="shared" si="8"/>
        <v>2.7462887740029529E-2</v>
      </c>
      <c r="P9" s="108">
        <f t="shared" si="9"/>
        <v>107.25556097560975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0.63243618445347127</v>
      </c>
      <c r="C10" s="107">
        <f t="shared" si="11"/>
        <v>-2.7645056314623218E-2</v>
      </c>
      <c r="D10" s="108">
        <f t="shared" si="12"/>
        <v>95.811870629370645</v>
      </c>
      <c r="E10" s="102">
        <f t="shared" si="0"/>
        <v>0.67560847488921727</v>
      </c>
      <c r="F10" s="107">
        <f t="shared" si="13"/>
        <v>-3.5248245937961498E-2</v>
      </c>
      <c r="G10" s="108">
        <f t="shared" si="14"/>
        <v>95.041441558441576</v>
      </c>
      <c r="H10" s="102">
        <f t="shared" si="1"/>
        <v>0.7764953009601181</v>
      </c>
      <c r="I10" s="107">
        <f t="shared" si="2"/>
        <v>1.4863100073855162E-2</v>
      </c>
      <c r="J10" s="108">
        <f t="shared" si="3"/>
        <v>101.95147999999999</v>
      </c>
      <c r="K10" s="102">
        <f t="shared" si="4"/>
        <v>0.71272149649187588</v>
      </c>
      <c r="L10" s="107">
        <f t="shared" si="5"/>
        <v>1.8647756646971159E-3</v>
      </c>
      <c r="M10" s="108">
        <f t="shared" si="6"/>
        <v>100.26232792207792</v>
      </c>
      <c r="N10" s="102">
        <f t="shared" si="7"/>
        <v>0.38021911927621865</v>
      </c>
      <c r="O10" s="107">
        <f t="shared" si="8"/>
        <v>1.7109951994092043E-3</v>
      </c>
      <c r="P10" s="108">
        <f t="shared" si="9"/>
        <v>100.45203658536586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0.62989886562961594</v>
      </c>
      <c r="C11" s="236">
        <f t="shared" si="11"/>
        <v>-3.0182375138478545E-2</v>
      </c>
      <c r="D11" s="237">
        <f t="shared" si="12"/>
        <v>95.4274756993007</v>
      </c>
      <c r="E11" s="235">
        <f>AVERAGE(E7:E10)</f>
        <v>0.68155413243168383</v>
      </c>
      <c r="F11" s="236">
        <f t="shared" si="13"/>
        <v>-2.9302588395494933E-2</v>
      </c>
      <c r="G11" s="237">
        <f t="shared" si="14"/>
        <v>95.877848863636345</v>
      </c>
      <c r="H11" s="235">
        <f>AVERAGE(H7:H10)</f>
        <v>0.756234620799483</v>
      </c>
      <c r="I11" s="236">
        <f t="shared" si="2"/>
        <v>-5.3975800867799295E-3</v>
      </c>
      <c r="J11" s="237">
        <f t="shared" si="3"/>
        <v>99.291314090909083</v>
      </c>
      <c r="K11" s="235">
        <f>AVERAGE(K7:K10)</f>
        <v>0.71052501153988179</v>
      </c>
      <c r="L11" s="236">
        <f t="shared" si="5"/>
        <v>-3.3170928729697735E-4</v>
      </c>
      <c r="M11" s="237">
        <f t="shared" si="6"/>
        <v>99.95333668831168</v>
      </c>
      <c r="N11" s="235">
        <f>AVERAGE(N7:N10)</f>
        <v>0.38650561069054656</v>
      </c>
      <c r="O11" s="236">
        <f t="shared" si="8"/>
        <v>7.9974866137371148E-3</v>
      </c>
      <c r="P11" s="237">
        <f t="shared" si="9"/>
        <v>102.11289695121953</v>
      </c>
      <c r="Q11" s="109"/>
    </row>
    <row r="12" spans="1:19" s="96" customFormat="1" ht="15.75" x14ac:dyDescent="0.25">
      <c r="A12" s="110" t="s">
        <v>24</v>
      </c>
      <c r="B12" s="102">
        <f>B25*$B$32/100/$B$33</f>
        <v>1.0479980797636632</v>
      </c>
      <c r="C12" s="107">
        <f t="shared" si="11"/>
        <v>0.38791683899556872</v>
      </c>
      <c r="D12" s="108">
        <f t="shared" si="12"/>
        <v>158.76804475524477</v>
      </c>
      <c r="E12" s="102">
        <f>E25*$B$32/100/$B$33</f>
        <v>1.1092302621861154</v>
      </c>
      <c r="F12" s="107">
        <f t="shared" si="13"/>
        <v>0.39837354135893666</v>
      </c>
      <c r="G12" s="108">
        <f t="shared" si="14"/>
        <v>156.0413272727273</v>
      </c>
      <c r="H12" s="102">
        <f>H25*$B$32/100/$B$33</f>
        <v>1.2020062961595275</v>
      </c>
      <c r="I12" s="107">
        <f t="shared" si="2"/>
        <v>0.44037409527326454</v>
      </c>
      <c r="J12" s="108">
        <f t="shared" si="3"/>
        <v>157.81978424242428</v>
      </c>
      <c r="K12" s="102">
        <f>K25*$B$32/100/$B$33</f>
        <v>0.99604350073855252</v>
      </c>
      <c r="L12" s="107">
        <f t="shared" si="5"/>
        <v>0.28518677991137376</v>
      </c>
      <c r="M12" s="108">
        <f t="shared" si="6"/>
        <v>140.11874285714285</v>
      </c>
      <c r="N12" s="102">
        <f>N25*$B$32/100/$B$33</f>
        <v>0.39819473781388481</v>
      </c>
      <c r="O12" s="107">
        <f t="shared" si="8"/>
        <v>1.9686613737075365E-2</v>
      </c>
      <c r="P12" s="108">
        <f t="shared" si="9"/>
        <v>105.20110731707317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1.3303418574593795</v>
      </c>
      <c r="F13" s="107">
        <f t="shared" si="13"/>
        <v>0.61948513663220073</v>
      </c>
      <c r="G13" s="108">
        <f t="shared" si="14"/>
        <v>187.1462727272727</v>
      </c>
      <c r="H13" s="102">
        <f t="shared" ref="H13:H14" si="15">H26*$B$34/$B$33</f>
        <v>1.3926662204579026</v>
      </c>
      <c r="I13" s="107">
        <f t="shared" si="2"/>
        <v>0.63103401957163963</v>
      </c>
      <c r="J13" s="108">
        <f t="shared" si="3"/>
        <v>182.85285454545453</v>
      </c>
      <c r="K13" s="102">
        <f t="shared" ref="K13:K14" si="16">K26*$B$34/$B$33</f>
        <v>1.3303418574593795</v>
      </c>
      <c r="L13" s="107">
        <f t="shared" si="5"/>
        <v>0.61948513663220073</v>
      </c>
      <c r="M13" s="108">
        <f t="shared" si="6"/>
        <v>187.1462727272727</v>
      </c>
      <c r="N13" s="102">
        <f t="shared" ref="N13:N14" si="17">N26*$B$34/$B$33</f>
        <v>0.66290458825701615</v>
      </c>
      <c r="O13" s="107">
        <f t="shared" si="8"/>
        <v>0.2843964641802067</v>
      </c>
      <c r="P13" s="108">
        <f t="shared" si="9"/>
        <v>175.13615853658536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1.1898287481536189</v>
      </c>
      <c r="F14" s="107">
        <f t="shared" si="13"/>
        <v>0.47897202732644018</v>
      </c>
      <c r="G14" s="108">
        <f t="shared" si="14"/>
        <v>167.37954545454545</v>
      </c>
      <c r="H14" s="102">
        <f t="shared" si="15"/>
        <v>1.2974799206056131</v>
      </c>
      <c r="I14" s="107">
        <f t="shared" si="2"/>
        <v>0.53584771971935019</v>
      </c>
      <c r="J14" s="108">
        <f t="shared" si="3"/>
        <v>170.35518181818185</v>
      </c>
      <c r="K14" s="102">
        <f t="shared" si="16"/>
        <v>1.1886955779172819</v>
      </c>
      <c r="L14" s="107">
        <f t="shared" si="5"/>
        <v>0.4778388570901031</v>
      </c>
      <c r="M14" s="108">
        <f t="shared" si="6"/>
        <v>167.2201363636363</v>
      </c>
      <c r="N14" s="102">
        <f t="shared" si="17"/>
        <v>0.55865292651403242</v>
      </c>
      <c r="O14" s="107">
        <f t="shared" si="8"/>
        <v>0.18014480243722297</v>
      </c>
      <c r="P14" s="108">
        <f t="shared" si="9"/>
        <v>147.59337804878047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1.2496157219350073</v>
      </c>
      <c r="F15" s="119">
        <f t="shared" si="13"/>
        <v>0.53875900110782848</v>
      </c>
      <c r="G15" s="120">
        <f t="shared" si="14"/>
        <v>175.79009740259735</v>
      </c>
      <c r="H15" s="118">
        <f>H28*$B$35/10/$B$33</f>
        <v>1.3232772802806501</v>
      </c>
      <c r="I15" s="119">
        <f t="shared" si="2"/>
        <v>0.56164507939438713</v>
      </c>
      <c r="J15" s="120">
        <f t="shared" si="3"/>
        <v>173.74229696969698</v>
      </c>
      <c r="K15" s="118">
        <f>K28*$B$35/10/$B$33</f>
        <v>1.3180157403988184</v>
      </c>
      <c r="L15" s="119">
        <f t="shared" si="5"/>
        <v>0.60715901957163965</v>
      </c>
      <c r="M15" s="120">
        <f t="shared" si="6"/>
        <v>185.41229220779221</v>
      </c>
      <c r="N15" s="118">
        <f>N28*$B$35/10/$B$33</f>
        <v>0.56561553729689806</v>
      </c>
      <c r="O15" s="119">
        <f t="shared" si="8"/>
        <v>0.18710741322008861</v>
      </c>
      <c r="P15" s="120">
        <f t="shared" si="9"/>
        <v>149.43286585365854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5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55" t="s">
        <v>214</v>
      </c>
      <c r="X19" s="255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42.29</v>
      </c>
      <c r="C21" s="144" t="s">
        <v>172</v>
      </c>
      <c r="D21" s="145" t="s">
        <v>172</v>
      </c>
      <c r="E21" s="143">
        <v>45.92</v>
      </c>
      <c r="F21" s="144" t="s">
        <v>172</v>
      </c>
      <c r="G21" s="145" t="s">
        <v>172</v>
      </c>
      <c r="H21" s="143">
        <v>51.13</v>
      </c>
      <c r="I21" s="144" t="s">
        <v>172</v>
      </c>
      <c r="J21" s="145" t="s">
        <v>172</v>
      </c>
      <c r="K21" s="143">
        <v>46.64</v>
      </c>
      <c r="L21" s="144" t="s">
        <v>172</v>
      </c>
      <c r="M21" s="145" t="s">
        <v>172</v>
      </c>
      <c r="N21" s="143">
        <v>24.59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40.82</v>
      </c>
      <c r="C22" s="144" t="s">
        <v>172</v>
      </c>
      <c r="D22" s="145" t="s">
        <v>172</v>
      </c>
      <c r="E22" s="143">
        <v>43.89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47.39</v>
      </c>
      <c r="L22" s="144" t="s">
        <v>172</v>
      </c>
      <c r="M22" s="145" t="s">
        <v>172</v>
      </c>
      <c r="N22" s="143">
        <v>25.57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41.47</v>
      </c>
      <c r="C23" s="144" t="s">
        <v>172</v>
      </c>
      <c r="D23" s="145" t="s">
        <v>172</v>
      </c>
      <c r="E23" s="143">
        <v>45.56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46.54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41.75</v>
      </c>
      <c r="C24" s="144" t="s">
        <v>172</v>
      </c>
      <c r="D24" s="145" t="s">
        <v>172</v>
      </c>
      <c r="E24" s="143">
        <v>44.6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47.05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28.24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10.73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</v>
      </c>
      <c r="F27" s="144" t="s">
        <v>172</v>
      </c>
      <c r="G27" s="145" t="s">
        <v>172</v>
      </c>
      <c r="H27" s="153">
        <v>1.145</v>
      </c>
      <c r="I27" s="144" t="s">
        <v>172</v>
      </c>
      <c r="J27" s="145" t="s">
        <v>172</v>
      </c>
      <c r="K27" s="153">
        <v>1.0489999999999999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4.75</v>
      </c>
      <c r="F28" s="158" t="s">
        <v>172</v>
      </c>
      <c r="G28" s="159" t="s">
        <v>172</v>
      </c>
      <c r="H28" s="234">
        <v>5.03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2.15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5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8.0396000000000001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2.1663999999999999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2.4548999999999999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5.6993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3.2816999999999998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B1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43514</v>
      </c>
      <c r="E2" s="493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0.66651130272663706</v>
      </c>
      <c r="C6" s="103" t="s">
        <v>172</v>
      </c>
      <c r="D6" s="104" t="s">
        <v>172</v>
      </c>
      <c r="E6" s="102">
        <f>E20/$B$33</f>
        <v>0.71778140293637838</v>
      </c>
      <c r="F6" s="103" t="s">
        <v>172</v>
      </c>
      <c r="G6" s="104" t="s">
        <v>172</v>
      </c>
      <c r="H6" s="102">
        <f>H20/$B$33</f>
        <v>0.7690515031461197</v>
      </c>
      <c r="I6" s="103" t="s">
        <v>172</v>
      </c>
      <c r="J6" s="104" t="s">
        <v>172</v>
      </c>
      <c r="K6" s="102">
        <f>K20/$B$33</f>
        <v>0.71778140293637838</v>
      </c>
      <c r="L6" s="103" t="s">
        <v>172</v>
      </c>
      <c r="M6" s="104" t="s">
        <v>172</v>
      </c>
      <c r="N6" s="102">
        <f>N20/$B$33</f>
        <v>0.38219529247261708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0.64080055931018409</v>
      </c>
      <c r="C7" s="107">
        <f>B7-B$6</f>
        <v>-2.5710743416452964E-2</v>
      </c>
      <c r="D7" s="108">
        <f>B7/B$6*100</f>
        <v>96.142489510489526</v>
      </c>
      <c r="E7" s="102">
        <f t="shared" ref="E7:E10" si="0">E21*$B$36/100/$B$33</f>
        <v>0.69658182241901645</v>
      </c>
      <c r="F7" s="107">
        <f>E7-E$6</f>
        <v>-2.1199580517361927E-2</v>
      </c>
      <c r="G7" s="108">
        <f>E7/E$6*100</f>
        <v>97.046512987012989</v>
      </c>
      <c r="H7" s="102">
        <f t="shared" ref="H7:H10" si="1">H21*$B$36/100/$B$33</f>
        <v>0.77713786996038214</v>
      </c>
      <c r="I7" s="107">
        <f t="shared" ref="I7:I15" si="2">H7-H$6</f>
        <v>8.0863668142624467E-3</v>
      </c>
      <c r="J7" s="108">
        <f t="shared" ref="J7:J15" si="3">H7/H$6*100</f>
        <v>101.05147272727272</v>
      </c>
      <c r="K7" s="102">
        <f t="shared" ref="K7:K10" si="4">K21*$B$36/100/$B$33</f>
        <v>0.70874122582148691</v>
      </c>
      <c r="L7" s="107">
        <f t="shared" ref="L7:L15" si="5">K7-K$6</f>
        <v>-9.0401771148914678E-3</v>
      </c>
      <c r="M7" s="108">
        <f t="shared" ref="M7:M15" si="6">K7/K$6*100</f>
        <v>98.740538961038979</v>
      </c>
      <c r="N7" s="102">
        <f t="shared" ref="N7:N10" si="7">N21*$B$36/100/$B$33</f>
        <v>0.36645402004194821</v>
      </c>
      <c r="O7" s="107">
        <f t="shared" ref="O7:O15" si="8">N7-N$6</f>
        <v>-1.5741272430668862E-2</v>
      </c>
      <c r="P7" s="108">
        <f t="shared" ref="P7:P15" si="9">N7/N$6*100</f>
        <v>95.881353658536582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0.62453735725938009</v>
      </c>
      <c r="C8" s="107">
        <f t="shared" ref="C8:C12" si="11">B8-B$6</f>
        <v>-4.1973945467256968E-2</v>
      </c>
      <c r="D8" s="108">
        <f t="shared" ref="D8:D12" si="12">B8/B$6*100</f>
        <v>93.702440559440575</v>
      </c>
      <c r="E8" s="102">
        <f t="shared" si="0"/>
        <v>0.67119906781635963</v>
      </c>
      <c r="F8" s="107">
        <f t="shared" ref="F8:F15" si="13">E8-E$6</f>
        <v>-4.6582335120018747E-2</v>
      </c>
      <c r="G8" s="108">
        <f t="shared" ref="G8:G15" si="14">E8/E$6*100</f>
        <v>93.510233766233753</v>
      </c>
      <c r="H8" s="102">
        <f t="shared" si="1"/>
        <v>0.7432435329759961</v>
      </c>
      <c r="I8" s="107">
        <f t="shared" si="2"/>
        <v>-2.5807970170123595E-2</v>
      </c>
      <c r="J8" s="108">
        <f t="shared" si="3"/>
        <v>96.644181818181806</v>
      </c>
      <c r="K8" s="102">
        <f t="shared" si="4"/>
        <v>0.70372547191796775</v>
      </c>
      <c r="L8" s="107">
        <f t="shared" si="5"/>
        <v>-1.4055931018410628E-2</v>
      </c>
      <c r="M8" s="108">
        <f t="shared" si="6"/>
        <v>98.041753246753245</v>
      </c>
      <c r="N8" s="102">
        <f t="shared" si="7"/>
        <v>0.38545308785830806</v>
      </c>
      <c r="O8" s="107">
        <f t="shared" si="8"/>
        <v>3.2577953856909869E-3</v>
      </c>
      <c r="P8" s="108">
        <f t="shared" si="9"/>
        <v>100.85239024390245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0.62955311116289914</v>
      </c>
      <c r="C9" s="107">
        <f t="shared" si="11"/>
        <v>-3.6958191563737919E-2</v>
      </c>
      <c r="D9" s="108">
        <f t="shared" si="12"/>
        <v>94.454979020979053</v>
      </c>
      <c r="E9" s="102">
        <f t="shared" si="0"/>
        <v>0.67864670240037284</v>
      </c>
      <c r="F9" s="107">
        <f t="shared" si="13"/>
        <v>-3.913470053600554E-2</v>
      </c>
      <c r="G9" s="108">
        <f t="shared" si="14"/>
        <v>94.547824675324676</v>
      </c>
      <c r="H9" s="102">
        <f t="shared" si="1"/>
        <v>0.73564390584945227</v>
      </c>
      <c r="I9" s="107">
        <f t="shared" si="2"/>
        <v>-3.3407597296667424E-2</v>
      </c>
      <c r="J9" s="108">
        <f t="shared" si="3"/>
        <v>95.655999999999992</v>
      </c>
      <c r="K9" s="102">
        <f t="shared" si="4"/>
        <v>0.70448543463062219</v>
      </c>
      <c r="L9" s="107">
        <f t="shared" si="5"/>
        <v>-1.3295968305756189E-2</v>
      </c>
      <c r="M9" s="108">
        <f t="shared" si="6"/>
        <v>98.147629870129876</v>
      </c>
      <c r="N9" s="102">
        <f t="shared" si="7"/>
        <v>0.4073400139827546</v>
      </c>
      <c r="O9" s="107">
        <f t="shared" si="8"/>
        <v>2.5144721510137524E-2</v>
      </c>
      <c r="P9" s="108">
        <f t="shared" si="9"/>
        <v>106.57902439024392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0.6284891633651829</v>
      </c>
      <c r="C10" s="107">
        <f t="shared" si="11"/>
        <v>-3.8022139361454155E-2</v>
      </c>
      <c r="D10" s="108">
        <f t="shared" si="12"/>
        <v>94.295349650349664</v>
      </c>
      <c r="E10" s="102">
        <f t="shared" si="0"/>
        <v>0.67028711256117457</v>
      </c>
      <c r="F10" s="107">
        <f t="shared" si="13"/>
        <v>-4.7494290375203807E-2</v>
      </c>
      <c r="G10" s="108">
        <f t="shared" si="14"/>
        <v>93.383181818181839</v>
      </c>
      <c r="H10" s="102">
        <f t="shared" si="1"/>
        <v>0.77911377301328355</v>
      </c>
      <c r="I10" s="107">
        <f t="shared" si="2"/>
        <v>1.0062269867163853E-2</v>
      </c>
      <c r="J10" s="108">
        <f t="shared" si="3"/>
        <v>101.30840000000001</v>
      </c>
      <c r="K10" s="102">
        <f t="shared" si="4"/>
        <v>0.70843724073642511</v>
      </c>
      <c r="L10" s="107">
        <f t="shared" si="5"/>
        <v>-9.3441621999532654E-3</v>
      </c>
      <c r="M10" s="108">
        <f t="shared" si="6"/>
        <v>98.698188311688327</v>
      </c>
      <c r="N10" s="102">
        <f t="shared" si="7"/>
        <v>0.38150128175250519</v>
      </c>
      <c r="O10" s="107">
        <f t="shared" si="8"/>
        <v>-6.940107201118817E-4</v>
      </c>
      <c r="P10" s="108">
        <f t="shared" si="9"/>
        <v>99.818414634146336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0.63084504777441153</v>
      </c>
      <c r="C11" s="236">
        <f t="shared" si="11"/>
        <v>-3.5666254952225529E-2</v>
      </c>
      <c r="D11" s="237">
        <f t="shared" si="12"/>
        <v>94.648814685314704</v>
      </c>
      <c r="E11" s="235">
        <f>AVERAGE(E7:E10)</f>
        <v>0.6791786762992309</v>
      </c>
      <c r="F11" s="236">
        <f t="shared" si="13"/>
        <v>-3.8602726637147478E-2</v>
      </c>
      <c r="G11" s="237">
        <f t="shared" si="14"/>
        <v>94.621938311688311</v>
      </c>
      <c r="H11" s="235">
        <f>AVERAGE(H7:H10)</f>
        <v>0.75878477044977855</v>
      </c>
      <c r="I11" s="236">
        <f t="shared" si="2"/>
        <v>-1.0266732696341152E-2</v>
      </c>
      <c r="J11" s="237">
        <f t="shared" si="3"/>
        <v>98.665013636363639</v>
      </c>
      <c r="K11" s="235">
        <f>AVERAGE(K7:K10)</f>
        <v>0.70634734327662552</v>
      </c>
      <c r="L11" s="236">
        <f t="shared" si="5"/>
        <v>-1.143405965975286E-2</v>
      </c>
      <c r="M11" s="237">
        <f t="shared" si="6"/>
        <v>98.407027597402603</v>
      </c>
      <c r="N11" s="235">
        <f>AVERAGE(N7:N10)</f>
        <v>0.38518710090887903</v>
      </c>
      <c r="O11" s="236">
        <f t="shared" si="8"/>
        <v>2.9918084362619557E-3</v>
      </c>
      <c r="P11" s="237">
        <f t="shared" si="9"/>
        <v>100.78279573170732</v>
      </c>
      <c r="Q11" s="109"/>
    </row>
    <row r="12" spans="1:19" s="96" customFormat="1" ht="15.75" x14ac:dyDescent="0.25">
      <c r="A12" s="110" t="s">
        <v>24</v>
      </c>
      <c r="B12" s="102">
        <f>B25*$B$32/100/$B$33</f>
        <v>1.0338492332789557</v>
      </c>
      <c r="C12" s="107">
        <f t="shared" si="11"/>
        <v>0.36733793055231867</v>
      </c>
      <c r="D12" s="108">
        <f t="shared" si="12"/>
        <v>155.11353356643355</v>
      </c>
      <c r="E12" s="102">
        <f>E25*$B$32/100/$B$33</f>
        <v>1.104028352365416</v>
      </c>
      <c r="F12" s="107">
        <f t="shared" si="13"/>
        <v>0.38624694942903759</v>
      </c>
      <c r="G12" s="108">
        <f t="shared" si="14"/>
        <v>153.81122272727274</v>
      </c>
      <c r="H12" s="102">
        <f>H25*$B$32/100/$B$33</f>
        <v>1.1963692985318106</v>
      </c>
      <c r="I12" s="107">
        <f t="shared" si="2"/>
        <v>0.42731779538569092</v>
      </c>
      <c r="J12" s="108">
        <f t="shared" si="3"/>
        <v>155.56426242424243</v>
      </c>
      <c r="K12" s="102">
        <f>K25*$B$32/100/$B$33</f>
        <v>0.99137239804241439</v>
      </c>
      <c r="L12" s="107">
        <f t="shared" si="5"/>
        <v>0.27359099510603602</v>
      </c>
      <c r="M12" s="108">
        <f t="shared" si="6"/>
        <v>138.11620000000002</v>
      </c>
      <c r="N12" s="102">
        <f>N25*$B$32/100/$B$33</f>
        <v>0.37490424143556278</v>
      </c>
      <c r="O12" s="107">
        <f t="shared" si="8"/>
        <v>-7.2910510370542969E-3</v>
      </c>
      <c r="P12" s="108">
        <f t="shared" si="9"/>
        <v>98.092323170731703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1.3437061757166158</v>
      </c>
      <c r="F13" s="107">
        <f t="shared" si="13"/>
        <v>0.62592477278023739</v>
      </c>
      <c r="G13" s="108">
        <f t="shared" si="14"/>
        <v>187.20270129870127</v>
      </c>
      <c r="H13" s="102">
        <f t="shared" ref="H13:H14" si="15">H26*$B$34/$B$33</f>
        <v>1.4061249592169658</v>
      </c>
      <c r="I13" s="107">
        <f t="shared" si="2"/>
        <v>0.63707345607084609</v>
      </c>
      <c r="J13" s="108">
        <f t="shared" si="3"/>
        <v>182.83885454545455</v>
      </c>
      <c r="K13" s="102">
        <f t="shared" ref="K13:K14" si="16">K26*$B$34/$B$33</f>
        <v>1.3437061757166158</v>
      </c>
      <c r="L13" s="107">
        <f t="shared" si="5"/>
        <v>0.62592477278023739</v>
      </c>
      <c r="M13" s="108">
        <f t="shared" si="6"/>
        <v>187.20270129870127</v>
      </c>
      <c r="N13" s="102">
        <f t="shared" ref="N13:N14" si="17">N26*$B$34/$B$33</f>
        <v>0.66390887904917251</v>
      </c>
      <c r="O13" s="107">
        <f t="shared" si="8"/>
        <v>0.28171358657655543</v>
      </c>
      <c r="P13" s="108">
        <f t="shared" si="9"/>
        <v>173.70932926829266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1.2392965742251223</v>
      </c>
      <c r="F14" s="107">
        <f t="shared" si="13"/>
        <v>0.52151517128874392</v>
      </c>
      <c r="G14" s="108">
        <f t="shared" si="14"/>
        <v>172.65654545454547</v>
      </c>
      <c r="H14" s="102">
        <f t="shared" si="15"/>
        <v>1.3210084362619434</v>
      </c>
      <c r="I14" s="107">
        <f t="shared" si="2"/>
        <v>0.55195693311582372</v>
      </c>
      <c r="J14" s="108">
        <f t="shared" si="3"/>
        <v>171.77112727272728</v>
      </c>
      <c r="K14" s="102">
        <f t="shared" si="16"/>
        <v>1.2392965742251223</v>
      </c>
      <c r="L14" s="107">
        <f t="shared" si="5"/>
        <v>0.52151517128874392</v>
      </c>
      <c r="M14" s="108">
        <f t="shared" si="6"/>
        <v>172.65654545454547</v>
      </c>
      <c r="N14" s="102">
        <f t="shared" si="17"/>
        <v>0.5776574691214168</v>
      </c>
      <c r="O14" s="107">
        <f t="shared" si="8"/>
        <v>0.19546217664879972</v>
      </c>
      <c r="P14" s="108">
        <f t="shared" si="9"/>
        <v>151.14196341463412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1.2297110230715451</v>
      </c>
      <c r="F15" s="119">
        <f t="shared" si="13"/>
        <v>0.51192962013516674</v>
      </c>
      <c r="G15" s="120">
        <f t="shared" si="14"/>
        <v>171.32110389610392</v>
      </c>
      <c r="H15" s="118">
        <f>H28*$B$35/10/$B$33</f>
        <v>1.2977375903052901</v>
      </c>
      <c r="I15" s="119">
        <f t="shared" si="2"/>
        <v>0.52868608715917043</v>
      </c>
      <c r="J15" s="120">
        <f t="shared" si="3"/>
        <v>168.74521212121215</v>
      </c>
      <c r="K15" s="118">
        <f>K28*$B$35/10/$B$33</f>
        <v>1.3029704031694243</v>
      </c>
      <c r="L15" s="119">
        <f t="shared" si="5"/>
        <v>0.58518900023304588</v>
      </c>
      <c r="M15" s="120">
        <f t="shared" si="6"/>
        <v>181.52746753246754</v>
      </c>
      <c r="N15" s="118">
        <f>N28*$B$35/10/$B$33</f>
        <v>0.55206175716616157</v>
      </c>
      <c r="O15" s="119">
        <f t="shared" si="8"/>
        <v>0.16986646469354449</v>
      </c>
      <c r="P15" s="120">
        <f t="shared" si="9"/>
        <v>144.44493902439021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5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59" t="s">
        <v>214</v>
      </c>
      <c r="X19" s="259" t="s">
        <v>214</v>
      </c>
    </row>
    <row r="20" spans="1:24" s="141" customFormat="1" ht="15.75" x14ac:dyDescent="0.25">
      <c r="A20" s="133" t="s">
        <v>185</v>
      </c>
      <c r="B20" s="134">
        <v>1.43</v>
      </c>
      <c r="C20" s="135" t="s">
        <v>172</v>
      </c>
      <c r="D20" s="136" t="s">
        <v>172</v>
      </c>
      <c r="E20" s="134">
        <v>1.54</v>
      </c>
      <c r="F20" s="135" t="s">
        <v>172</v>
      </c>
      <c r="G20" s="136" t="s">
        <v>172</v>
      </c>
      <c r="H20" s="134">
        <v>1.65</v>
      </c>
      <c r="I20" s="135" t="s">
        <v>172</v>
      </c>
      <c r="J20" s="136" t="s">
        <v>172</v>
      </c>
      <c r="K20" s="134">
        <v>1.54</v>
      </c>
      <c r="L20" s="135" t="s">
        <v>172</v>
      </c>
      <c r="M20" s="136" t="s">
        <v>172</v>
      </c>
      <c r="N20" s="134">
        <v>0.82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42.16</v>
      </c>
      <c r="C21" s="144" t="s">
        <v>172</v>
      </c>
      <c r="D21" s="145" t="s">
        <v>172</v>
      </c>
      <c r="E21" s="143">
        <v>45.83</v>
      </c>
      <c r="F21" s="144" t="s">
        <v>172</v>
      </c>
      <c r="G21" s="145" t="s">
        <v>172</v>
      </c>
      <c r="H21" s="143">
        <v>51.13</v>
      </c>
      <c r="I21" s="144" t="s">
        <v>172</v>
      </c>
      <c r="J21" s="145" t="s">
        <v>172</v>
      </c>
      <c r="K21" s="143">
        <v>46.63</v>
      </c>
      <c r="L21" s="144" t="s">
        <v>172</v>
      </c>
      <c r="M21" s="145" t="s">
        <v>172</v>
      </c>
      <c r="N21" s="143">
        <v>24.11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41.09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46.3</v>
      </c>
      <c r="L22" s="144" t="s">
        <v>172</v>
      </c>
      <c r="M22" s="145" t="s">
        <v>172</v>
      </c>
      <c r="N22" s="143">
        <v>25.36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41.42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46.35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41.35</v>
      </c>
      <c r="C24" s="144" t="s">
        <v>172</v>
      </c>
      <c r="D24" s="145" t="s">
        <v>172</v>
      </c>
      <c r="E24" s="143">
        <v>44.1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46.61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10.15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1.1839999999999999</v>
      </c>
      <c r="F26" s="144" t="s">
        <v>172</v>
      </c>
      <c r="G26" s="145" t="s">
        <v>172</v>
      </c>
      <c r="H26" s="153">
        <v>1.2390000000000001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1.0920000000000001</v>
      </c>
      <c r="F27" s="144" t="s">
        <v>172</v>
      </c>
      <c r="G27" s="145" t="s">
        <v>172</v>
      </c>
      <c r="H27" s="153">
        <v>1.1639999999999999</v>
      </c>
      <c r="I27" s="144" t="s">
        <v>172</v>
      </c>
      <c r="J27" s="145" t="s">
        <v>172</v>
      </c>
      <c r="K27" s="153">
        <v>1.0920000000000001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</v>
      </c>
      <c r="F28" s="158" t="s">
        <v>172</v>
      </c>
      <c r="G28" s="159" t="s">
        <v>172</v>
      </c>
      <c r="H28" s="234">
        <v>4.96</v>
      </c>
      <c r="I28" s="158" t="s">
        <v>172</v>
      </c>
      <c r="J28" s="159" t="s">
        <v>172</v>
      </c>
      <c r="K28" s="234">
        <v>4.9800000000000004</v>
      </c>
      <c r="L28" s="158" t="s">
        <v>172</v>
      </c>
      <c r="M28" s="159" t="s">
        <v>172</v>
      </c>
      <c r="N28" s="234">
        <v>2.11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5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7.9246999999999996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2.1455000000000002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2.4348999999999998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5.6135000000000002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3.2610000000000001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43521</v>
      </c>
      <c r="E2" s="493"/>
      <c r="F2" s="262"/>
      <c r="G2" s="262"/>
      <c r="H2" s="262"/>
      <c r="I2" s="262"/>
      <c r="J2" s="262"/>
      <c r="K2" s="262"/>
      <c r="L2" s="262"/>
      <c r="M2" s="262"/>
      <c r="N2" s="262"/>
      <c r="O2" s="262"/>
      <c r="P2" s="262"/>
      <c r="Q2" s="262"/>
      <c r="R2" s="262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0.67283431455004195</v>
      </c>
      <c r="C6" s="103" t="s">
        <v>172</v>
      </c>
      <c r="D6" s="104" t="s">
        <v>172</v>
      </c>
      <c r="E6" s="102">
        <f>E20/$B$33</f>
        <v>0.72423138024483691</v>
      </c>
      <c r="F6" s="103" t="s">
        <v>172</v>
      </c>
      <c r="G6" s="104" t="s">
        <v>172</v>
      </c>
      <c r="H6" s="102">
        <f>H20/$B$33</f>
        <v>0.77562844593963176</v>
      </c>
      <c r="I6" s="103" t="s">
        <v>172</v>
      </c>
      <c r="J6" s="104" t="s">
        <v>172</v>
      </c>
      <c r="K6" s="102">
        <f>K20/$B$33</f>
        <v>0.72423138024483691</v>
      </c>
      <c r="L6" s="103" t="s">
        <v>172</v>
      </c>
      <c r="M6" s="104" t="s">
        <v>172</v>
      </c>
      <c r="N6" s="102">
        <f>N20/$B$33</f>
        <v>0.38781422296981588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0.64341673675357436</v>
      </c>
      <c r="C7" s="107">
        <f>B7-B$6</f>
        <v>-2.9417577796467587E-2</v>
      </c>
      <c r="D7" s="108">
        <f>B7/B$6*100</f>
        <v>95.627812500000005</v>
      </c>
      <c r="E7" s="102">
        <f t="shared" ref="E7:E10" si="0">E21*$B$36/100/$B$33</f>
        <v>0.69928637510513036</v>
      </c>
      <c r="F7" s="107">
        <f>E7-E$6</f>
        <v>-2.4945005139706544E-2</v>
      </c>
      <c r="G7" s="108">
        <f>E7/E$6*100</f>
        <v>96.555658064516138</v>
      </c>
      <c r="H7" s="102">
        <f t="shared" ref="H7:H10" si="1">H21*$B$36/100/$B$33</f>
        <v>0.78248023549201007</v>
      </c>
      <c r="I7" s="107">
        <f t="shared" ref="I7:I15" si="2">H7-H$6</f>
        <v>6.8517895523783068E-3</v>
      </c>
      <c r="J7" s="108">
        <f t="shared" ref="J7:J15" si="3">H7/H$6*100</f>
        <v>100.88338554216867</v>
      </c>
      <c r="K7" s="102">
        <f t="shared" ref="K7:K10" si="4">K21*$B$36/100/$B$33</f>
        <v>0.71165096719932708</v>
      </c>
      <c r="L7" s="107">
        <f t="shared" ref="L7:L15" si="5">K7-K$6</f>
        <v>-1.2580413045509831E-2</v>
      </c>
      <c r="M7" s="108">
        <f t="shared" ref="M7:M15" si="6">K7/K$6*100</f>
        <v>98.262929032258057</v>
      </c>
      <c r="N7" s="102">
        <f t="shared" ref="N7:N10" si="7">N21*$B$36/100/$B$33</f>
        <v>0.3617788057190916</v>
      </c>
      <c r="O7" s="107">
        <f t="shared" ref="O7:O15" si="8">N7-N$6</f>
        <v>-2.603541725072428E-2</v>
      </c>
      <c r="P7" s="108">
        <f t="shared" ref="P7:P15" si="9">N7/N$6*100</f>
        <v>93.286626506024078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0.62738856181665259</v>
      </c>
      <c r="C8" s="107">
        <f t="shared" ref="C8:C12" si="11">B8-B$6</f>
        <v>-4.5445752733389355E-2</v>
      </c>
      <c r="D8" s="108">
        <f t="shared" ref="D8:D12" si="12">B8/B$6*100</f>
        <v>93.245625000000004</v>
      </c>
      <c r="E8" s="102">
        <f t="shared" si="0"/>
        <v>0.67409924306139601</v>
      </c>
      <c r="F8" s="107">
        <f t="shared" ref="F8:F15" si="13">E8-E$6</f>
        <v>-5.0132137183440895E-2</v>
      </c>
      <c r="G8" s="108">
        <f t="shared" ref="G8:G15" si="14">E8/E$6*100</f>
        <v>93.077883870967725</v>
      </c>
      <c r="H8" s="102">
        <f t="shared" si="1"/>
        <v>0.74645500420521438</v>
      </c>
      <c r="I8" s="107">
        <f t="shared" si="2"/>
        <v>-2.9173441734417382E-2</v>
      </c>
      <c r="J8" s="108">
        <f t="shared" si="3"/>
        <v>96.238734939759027</v>
      </c>
      <c r="K8" s="102">
        <f t="shared" si="4"/>
        <v>0.70844533221194272</v>
      </c>
      <c r="L8" s="107">
        <f t="shared" si="5"/>
        <v>-1.5786048032894184E-2</v>
      </c>
      <c r="M8" s="108">
        <f t="shared" si="6"/>
        <v>97.820303225806441</v>
      </c>
      <c r="N8" s="102">
        <f t="shared" si="7"/>
        <v>0.38711858704793939</v>
      </c>
      <c r="O8" s="107">
        <f t="shared" si="8"/>
        <v>-6.9563592187649181E-4</v>
      </c>
      <c r="P8" s="108">
        <f t="shared" si="9"/>
        <v>99.820626506024084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0.63227333894028592</v>
      </c>
      <c r="C9" s="107">
        <f t="shared" si="11"/>
        <v>-4.0560975609756023E-2</v>
      </c>
      <c r="D9" s="108">
        <f t="shared" si="12"/>
        <v>93.971625000000017</v>
      </c>
      <c r="E9" s="102">
        <f t="shared" si="0"/>
        <v>0.68142640874684601</v>
      </c>
      <c r="F9" s="107">
        <f t="shared" si="13"/>
        <v>-4.2804971497990896E-2</v>
      </c>
      <c r="G9" s="108">
        <f t="shared" si="14"/>
        <v>94.08959999999999</v>
      </c>
      <c r="H9" s="102">
        <f t="shared" si="1"/>
        <v>0.73882253994953728</v>
      </c>
      <c r="I9" s="107">
        <f t="shared" si="2"/>
        <v>-3.6805905990094478E-2</v>
      </c>
      <c r="J9" s="108">
        <f t="shared" si="3"/>
        <v>95.254698795180715</v>
      </c>
      <c r="K9" s="102">
        <f t="shared" si="4"/>
        <v>0.70966652649285111</v>
      </c>
      <c r="L9" s="107">
        <f t="shared" si="5"/>
        <v>-1.4564853751985796E-2</v>
      </c>
      <c r="M9" s="108">
        <f t="shared" si="6"/>
        <v>97.988922580645166</v>
      </c>
      <c r="N9" s="102">
        <f t="shared" si="7"/>
        <v>0.40910008410428927</v>
      </c>
      <c r="O9" s="107">
        <f t="shared" si="8"/>
        <v>2.1285861134473394E-2</v>
      </c>
      <c r="P9" s="108">
        <f t="shared" si="9"/>
        <v>105.48867469879517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0.62784650967199329</v>
      </c>
      <c r="C10" s="107">
        <f t="shared" si="11"/>
        <v>-4.4987804878048654E-2</v>
      </c>
      <c r="D10" s="108">
        <f t="shared" si="12"/>
        <v>93.313687500000015</v>
      </c>
      <c r="E10" s="102">
        <f t="shared" si="0"/>
        <v>0.68447939444911676</v>
      </c>
      <c r="F10" s="107">
        <f t="shared" si="13"/>
        <v>-3.9751985795720146E-2</v>
      </c>
      <c r="G10" s="108">
        <f t="shared" si="14"/>
        <v>94.511148387096753</v>
      </c>
      <c r="H10" s="102">
        <f t="shared" si="1"/>
        <v>0.78248023549201007</v>
      </c>
      <c r="I10" s="107">
        <f t="shared" si="2"/>
        <v>6.8517895523783068E-3</v>
      </c>
      <c r="J10" s="108">
        <f t="shared" si="3"/>
        <v>100.88338554216867</v>
      </c>
      <c r="K10" s="102">
        <f t="shared" si="4"/>
        <v>0.70890328006728331</v>
      </c>
      <c r="L10" s="107">
        <f t="shared" si="5"/>
        <v>-1.5328100177553594E-2</v>
      </c>
      <c r="M10" s="108">
        <f t="shared" si="6"/>
        <v>97.883535483870958</v>
      </c>
      <c r="N10" s="102">
        <f t="shared" si="7"/>
        <v>0.38314970563498735</v>
      </c>
      <c r="O10" s="107">
        <f t="shared" si="8"/>
        <v>-4.6645173348285329E-3</v>
      </c>
      <c r="P10" s="108">
        <f t="shared" si="9"/>
        <v>98.797228915662643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0.63273128679562651</v>
      </c>
      <c r="C11" s="236">
        <f t="shared" si="11"/>
        <v>-4.0103027754415432E-2</v>
      </c>
      <c r="D11" s="237">
        <f t="shared" si="12"/>
        <v>94.039687499999999</v>
      </c>
      <c r="E11" s="235">
        <f>AVERAGE(E7:E10)</f>
        <v>0.68482285534062215</v>
      </c>
      <c r="F11" s="236">
        <f t="shared" si="13"/>
        <v>-3.9408524904214759E-2</v>
      </c>
      <c r="G11" s="237">
        <f t="shared" si="14"/>
        <v>94.558572580645134</v>
      </c>
      <c r="H11" s="235">
        <f>AVERAGE(H7:H10)</f>
        <v>0.76255950378469295</v>
      </c>
      <c r="I11" s="236">
        <f t="shared" si="2"/>
        <v>-1.3068942154938812E-2</v>
      </c>
      <c r="J11" s="237">
        <f t="shared" si="3"/>
        <v>98.31505120481927</v>
      </c>
      <c r="K11" s="235">
        <f>AVERAGE(K7:K10)</f>
        <v>0.70966652649285111</v>
      </c>
      <c r="L11" s="236">
        <f t="shared" si="5"/>
        <v>-1.4564853751985796E-2</v>
      </c>
      <c r="M11" s="237">
        <f t="shared" si="6"/>
        <v>97.988922580645166</v>
      </c>
      <c r="N11" s="235">
        <f>AVERAGE(N7:N10)</f>
        <v>0.38528679562657692</v>
      </c>
      <c r="O11" s="236">
        <f t="shared" si="8"/>
        <v>-2.5274273432389638E-3</v>
      </c>
      <c r="P11" s="237">
        <f t="shared" si="9"/>
        <v>99.348289156626507</v>
      </c>
      <c r="Q11" s="109"/>
    </row>
    <row r="12" spans="1:19" s="96" customFormat="1" ht="15.75" x14ac:dyDescent="0.25">
      <c r="A12" s="110" t="s">
        <v>24</v>
      </c>
      <c r="B12" s="102">
        <f>B25*$B$32/100/$B$33</f>
        <v>1.0362002102607231</v>
      </c>
      <c r="C12" s="107">
        <f t="shared" si="11"/>
        <v>0.36336589571068112</v>
      </c>
      <c r="D12" s="108">
        <f t="shared" si="12"/>
        <v>154.00525625</v>
      </c>
      <c r="E12" s="102">
        <f>E25*$B$32/100/$B$33</f>
        <v>1.1065389169236519</v>
      </c>
      <c r="F12" s="107">
        <f t="shared" si="13"/>
        <v>0.38230753667881501</v>
      </c>
      <c r="G12" s="108">
        <f t="shared" si="14"/>
        <v>152.78803806451612</v>
      </c>
      <c r="H12" s="102">
        <f>H25*$B$32/100/$B$33</f>
        <v>1.1990898467432951</v>
      </c>
      <c r="I12" s="107">
        <f t="shared" si="2"/>
        <v>0.42346140080366335</v>
      </c>
      <c r="J12" s="108">
        <f t="shared" si="3"/>
        <v>154.5959090361446</v>
      </c>
      <c r="K12" s="102">
        <f>K25*$B$32/100/$B$33</f>
        <v>0.9936267825436873</v>
      </c>
      <c r="L12" s="107">
        <f t="shared" si="5"/>
        <v>0.26939540229885039</v>
      </c>
      <c r="M12" s="108">
        <f t="shared" si="6"/>
        <v>137.19742193548385</v>
      </c>
      <c r="N12" s="102">
        <f>N25*$B$32/100/$B$33</f>
        <v>0.37575677506775068</v>
      </c>
      <c r="O12" s="107">
        <f t="shared" si="8"/>
        <v>-1.2057447902065199E-2</v>
      </c>
      <c r="P12" s="108">
        <f t="shared" si="9"/>
        <v>96.890921686747006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1.3549517802074571</v>
      </c>
      <c r="F13" s="107">
        <f t="shared" si="13"/>
        <v>0.63072039996262019</v>
      </c>
      <c r="G13" s="108">
        <f t="shared" si="14"/>
        <v>187.0882451612903</v>
      </c>
      <c r="H13" s="102">
        <f t="shared" ref="H13:H14" si="15">H26*$B$34/$B$33</f>
        <v>1.4173658069339317</v>
      </c>
      <c r="I13" s="107">
        <f t="shared" si="2"/>
        <v>0.6417373609942999</v>
      </c>
      <c r="J13" s="108">
        <f t="shared" si="3"/>
        <v>182.7377289156627</v>
      </c>
      <c r="K13" s="102">
        <f t="shared" ref="K13:K14" si="16">K26*$B$34/$B$33</f>
        <v>1.3549517802074571</v>
      </c>
      <c r="L13" s="107">
        <f t="shared" si="5"/>
        <v>0.63072039996262019</v>
      </c>
      <c r="M13" s="108">
        <f t="shared" si="6"/>
        <v>187.0882451612903</v>
      </c>
      <c r="N13" s="102">
        <f t="shared" ref="N13:N14" si="17">N26*$B$34/$B$33</f>
        <v>0.66385828427249782</v>
      </c>
      <c r="O13" s="107">
        <f t="shared" si="8"/>
        <v>0.27604406130268194</v>
      </c>
      <c r="P13" s="108">
        <f t="shared" si="9"/>
        <v>171.17945783132529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1.21877572189515</v>
      </c>
      <c r="F14" s="107">
        <f t="shared" si="13"/>
        <v>0.49454434165031314</v>
      </c>
      <c r="G14" s="108">
        <f t="shared" si="14"/>
        <v>168.28540645161291</v>
      </c>
      <c r="H14" s="102">
        <f t="shared" si="15"/>
        <v>1.3163685636856366</v>
      </c>
      <c r="I14" s="107">
        <f t="shared" si="2"/>
        <v>0.54074011774600483</v>
      </c>
      <c r="J14" s="108">
        <f t="shared" si="3"/>
        <v>169.71638554216867</v>
      </c>
      <c r="K14" s="102">
        <f t="shared" si="16"/>
        <v>1.21877572189515</v>
      </c>
      <c r="L14" s="107">
        <f t="shared" si="5"/>
        <v>0.49454434165031314</v>
      </c>
      <c r="M14" s="108">
        <f t="shared" si="6"/>
        <v>168.28540645161291</v>
      </c>
      <c r="N14" s="102">
        <f t="shared" si="17"/>
        <v>0.55378263713671616</v>
      </c>
      <c r="O14" s="107">
        <f t="shared" si="8"/>
        <v>0.16596841416690028</v>
      </c>
      <c r="P14" s="108">
        <f t="shared" si="9"/>
        <v>142.79585542168675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1.2258821138211382</v>
      </c>
      <c r="F15" s="119">
        <f t="shared" si="13"/>
        <v>0.5016507335763013</v>
      </c>
      <c r="G15" s="120">
        <f t="shared" si="14"/>
        <v>169.26663870967741</v>
      </c>
      <c r="H15" s="118">
        <f>H28*$B$35/10/$B$33</f>
        <v>1.2886138211382112</v>
      </c>
      <c r="I15" s="119">
        <f t="shared" si="2"/>
        <v>0.51298537519857945</v>
      </c>
      <c r="J15" s="120">
        <f t="shared" si="3"/>
        <v>166.13803012048191</v>
      </c>
      <c r="K15" s="118">
        <f>K28*$B$35/10/$B$33</f>
        <v>1.3016829268292682</v>
      </c>
      <c r="L15" s="119">
        <f t="shared" si="5"/>
        <v>0.57745154658443132</v>
      </c>
      <c r="M15" s="120">
        <f t="shared" si="6"/>
        <v>179.73301935483869</v>
      </c>
      <c r="N15" s="118">
        <f>N28*$B$35/10/$B$33</f>
        <v>0.54628861788617888</v>
      </c>
      <c r="O15" s="119">
        <f t="shared" si="8"/>
        <v>0.158474394916363</v>
      </c>
      <c r="P15" s="120">
        <f t="shared" si="9"/>
        <v>140.86348192771086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6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61" t="s">
        <v>214</v>
      </c>
      <c r="X19" s="261" t="s">
        <v>214</v>
      </c>
    </row>
    <row r="20" spans="1:24" s="141" customFormat="1" ht="15.75" x14ac:dyDescent="0.25">
      <c r="A20" s="133" t="s">
        <v>185</v>
      </c>
      <c r="B20" s="134">
        <v>1.44</v>
      </c>
      <c r="C20" s="135" t="s">
        <v>172</v>
      </c>
      <c r="D20" s="136" t="s">
        <v>172</v>
      </c>
      <c r="E20" s="134">
        <v>1.55</v>
      </c>
      <c r="F20" s="135" t="s">
        <v>172</v>
      </c>
      <c r="G20" s="136" t="s">
        <v>172</v>
      </c>
      <c r="H20" s="134">
        <v>1.66</v>
      </c>
      <c r="I20" s="135" t="s">
        <v>172</v>
      </c>
      <c r="J20" s="136" t="s">
        <v>172</v>
      </c>
      <c r="K20" s="134">
        <v>1.55</v>
      </c>
      <c r="L20" s="135" t="s">
        <v>172</v>
      </c>
      <c r="M20" s="136" t="s">
        <v>172</v>
      </c>
      <c r="N20" s="134">
        <v>0.83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42.15</v>
      </c>
      <c r="C21" s="144" t="s">
        <v>172</v>
      </c>
      <c r="D21" s="145" t="s">
        <v>172</v>
      </c>
      <c r="E21" s="143">
        <v>45.81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46.62</v>
      </c>
      <c r="L21" s="144" t="s">
        <v>172</v>
      </c>
      <c r="M21" s="145" t="s">
        <v>172</v>
      </c>
      <c r="N21" s="143">
        <v>23.7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41.1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46.41</v>
      </c>
      <c r="L22" s="144" t="s">
        <v>172</v>
      </c>
      <c r="M22" s="145" t="s">
        <v>172</v>
      </c>
      <c r="N22" s="143">
        <v>25.36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41.42</v>
      </c>
      <c r="C23" s="144" t="s">
        <v>172</v>
      </c>
      <c r="D23" s="145" t="s">
        <v>172</v>
      </c>
      <c r="E23" s="143">
        <v>44.64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46.49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41.13</v>
      </c>
      <c r="C24" s="144" t="s">
        <v>172</v>
      </c>
      <c r="D24" s="145" t="s">
        <v>172</v>
      </c>
      <c r="E24" s="143">
        <v>44.84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46.44</v>
      </c>
      <c r="L24" s="144" t="s">
        <v>172</v>
      </c>
      <c r="M24" s="145" t="s">
        <v>172</v>
      </c>
      <c r="N24" s="143">
        <v>25.1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10.15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1.194</v>
      </c>
      <c r="F26" s="144" t="s">
        <v>172</v>
      </c>
      <c r="G26" s="145" t="s">
        <v>172</v>
      </c>
      <c r="H26" s="153">
        <v>1.2490000000000001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1.0740000000000001</v>
      </c>
      <c r="F27" s="144" t="s">
        <v>172</v>
      </c>
      <c r="G27" s="145" t="s">
        <v>172</v>
      </c>
      <c r="H27" s="153">
        <v>1.1599999999999999</v>
      </c>
      <c r="I27" s="144" t="s">
        <v>172</v>
      </c>
      <c r="J27" s="145" t="s">
        <v>172</v>
      </c>
      <c r="K27" s="153">
        <v>1.0740000000000001</v>
      </c>
      <c r="L27" s="144" t="s">
        <v>172</v>
      </c>
      <c r="M27" s="145" t="s">
        <v>172</v>
      </c>
      <c r="N27" s="153">
        <v>0.48799999999999999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4.6900000000000004</v>
      </c>
      <c r="F28" s="158" t="s">
        <v>172</v>
      </c>
      <c r="G28" s="159" t="s">
        <v>172</v>
      </c>
      <c r="H28" s="234">
        <v>4.93</v>
      </c>
      <c r="I28" s="158" t="s">
        <v>172</v>
      </c>
      <c r="J28" s="159" t="s">
        <v>172</v>
      </c>
      <c r="K28" s="234">
        <v>4.9800000000000004</v>
      </c>
      <c r="L28" s="158" t="s">
        <v>172</v>
      </c>
      <c r="M28" s="159" t="s">
        <v>172</v>
      </c>
      <c r="N28" s="234">
        <v>2.09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6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7.9230999999999998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2.1402000000000001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2.4287000000000001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5.5941000000000001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3.2669999999999999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43528</v>
      </c>
      <c r="E2" s="493"/>
      <c r="F2" s="263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0.67788686302010293</v>
      </c>
      <c r="C6" s="103" t="s">
        <v>172</v>
      </c>
      <c r="D6" s="104" t="s">
        <v>172</v>
      </c>
      <c r="E6" s="102">
        <f>E20/$B$33</f>
        <v>0.72931276297335212</v>
      </c>
      <c r="F6" s="103" t="s">
        <v>172</v>
      </c>
      <c r="G6" s="104" t="s">
        <v>172</v>
      </c>
      <c r="H6" s="102">
        <f>H20/$B$33</f>
        <v>0.78073866292660121</v>
      </c>
      <c r="I6" s="103" t="s">
        <v>172</v>
      </c>
      <c r="J6" s="104" t="s">
        <v>172</v>
      </c>
      <c r="K6" s="102">
        <f>K20/$B$33</f>
        <v>0.72931276297335212</v>
      </c>
      <c r="L6" s="103" t="s">
        <v>172</v>
      </c>
      <c r="M6" s="104" t="s">
        <v>172</v>
      </c>
      <c r="N6" s="102">
        <f>N20/$B$33</f>
        <v>0.38803179055633474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0.63862413744740543</v>
      </c>
      <c r="C7" s="107">
        <f>B7-B$6</f>
        <v>-3.9262725572697499E-2</v>
      </c>
      <c r="D7" s="108">
        <f>B7/B$6*100</f>
        <v>94.208071034482771</v>
      </c>
      <c r="E7" s="102">
        <f t="shared" ref="E7:E10" si="0">E21*$B$36/100/$B$33</f>
        <v>0.69636317438055184</v>
      </c>
      <c r="F7" s="107">
        <f>E7-E$6</f>
        <v>-3.2949588592800283E-2</v>
      </c>
      <c r="G7" s="108">
        <f>E7/E$6*100</f>
        <v>95.482104487179498</v>
      </c>
      <c r="H7" s="102">
        <f t="shared" ref="H7:H10" si="1">H21*$B$36/100/$B$33</f>
        <v>0.77886921926133723</v>
      </c>
      <c r="I7" s="107">
        <f t="shared" ref="I7:I15" si="2">H7-H$6</f>
        <v>-1.8694436652639812E-3</v>
      </c>
      <c r="J7" s="108">
        <f t="shared" ref="J7:J15" si="3">H7/H$6*100</f>
        <v>99.760554491017984</v>
      </c>
      <c r="K7" s="102">
        <f t="shared" ref="K7:K10" si="4">K21*$B$36/100/$B$33</f>
        <v>0.70912654043945778</v>
      </c>
      <c r="L7" s="107">
        <f t="shared" ref="L7:L15" si="5">K7-K$6</f>
        <v>-2.0186222533894349E-2</v>
      </c>
      <c r="M7" s="108">
        <f t="shared" ref="M7:M15" si="6">K7/K$6*100</f>
        <v>97.232158333333331</v>
      </c>
      <c r="N7" s="102">
        <f t="shared" ref="N7:N10" si="7">N21*$B$36/100/$B$33</f>
        <v>0.35904564282374946</v>
      </c>
      <c r="O7" s="107">
        <f t="shared" ref="O7:O15" si="8">N7-N$6</f>
        <v>-2.8986147732585288E-2</v>
      </c>
      <c r="P7" s="108">
        <f t="shared" ref="P7:P15" si="9">N7/N$6*100</f>
        <v>92.529955421686765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0.62449326788218806</v>
      </c>
      <c r="C8" s="107">
        <f t="shared" ref="C8:C12" si="11">B8-B$6</f>
        <v>-5.3393595137914862E-2</v>
      </c>
      <c r="D8" s="108">
        <f t="shared" ref="D8:D12" si="12">B8/B$6*100</f>
        <v>92.123524137931042</v>
      </c>
      <c r="E8" s="102">
        <f t="shared" si="0"/>
        <v>0.67098838709677433</v>
      </c>
      <c r="F8" s="107">
        <f t="shared" ref="F8:F15" si="13">E8-E$6</f>
        <v>-5.8324375876577794E-2</v>
      </c>
      <c r="G8" s="108">
        <f t="shared" ref="G8:G15" si="14">E8/E$6*100</f>
        <v>92.002830769230783</v>
      </c>
      <c r="H8" s="102">
        <f t="shared" si="1"/>
        <v>0.74301023842917258</v>
      </c>
      <c r="I8" s="107">
        <f t="shared" si="2"/>
        <v>-3.7728424497428636E-2</v>
      </c>
      <c r="J8" s="108">
        <f t="shared" si="3"/>
        <v>95.167598802395219</v>
      </c>
      <c r="K8" s="102">
        <f t="shared" si="4"/>
        <v>0.7059356989247314</v>
      </c>
      <c r="L8" s="107">
        <f t="shared" si="5"/>
        <v>-2.3377064048620722E-2</v>
      </c>
      <c r="M8" s="108">
        <f t="shared" si="6"/>
        <v>96.794644871794887</v>
      </c>
      <c r="N8" s="102">
        <f t="shared" si="7"/>
        <v>0.37895041608228153</v>
      </c>
      <c r="O8" s="107">
        <f t="shared" si="8"/>
        <v>-9.0813744740532165E-3</v>
      </c>
      <c r="P8" s="108">
        <f t="shared" si="9"/>
        <v>97.65963132530122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0.62753216456287997</v>
      </c>
      <c r="C9" s="107">
        <f t="shared" si="11"/>
        <v>-5.0354698457222957E-2</v>
      </c>
      <c r="D9" s="108">
        <f t="shared" si="12"/>
        <v>92.571813793103459</v>
      </c>
      <c r="E9" s="102">
        <f t="shared" si="0"/>
        <v>0.67661034595605429</v>
      </c>
      <c r="F9" s="107">
        <f t="shared" si="13"/>
        <v>-5.2702417017297831E-2</v>
      </c>
      <c r="G9" s="108">
        <f t="shared" si="14"/>
        <v>92.773687820512819</v>
      </c>
      <c r="H9" s="102">
        <f t="shared" si="1"/>
        <v>0.73541299672744287</v>
      </c>
      <c r="I9" s="107">
        <f t="shared" si="2"/>
        <v>-4.5325666199158343E-2</v>
      </c>
      <c r="J9" s="108">
        <f t="shared" si="3"/>
        <v>94.194514970059899</v>
      </c>
      <c r="K9" s="102">
        <f t="shared" si="4"/>
        <v>0.70396041608228144</v>
      </c>
      <c r="L9" s="107">
        <f t="shared" si="5"/>
        <v>-2.5352346891070687E-2</v>
      </c>
      <c r="M9" s="108">
        <f t="shared" si="6"/>
        <v>96.523803205128189</v>
      </c>
      <c r="N9" s="102">
        <f t="shared" si="7"/>
        <v>0.40721215521271631</v>
      </c>
      <c r="O9" s="107">
        <f t="shared" si="8"/>
        <v>1.9180364656381566E-2</v>
      </c>
      <c r="P9" s="108">
        <f t="shared" si="9"/>
        <v>104.94298795180725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0.63239439925198693</v>
      </c>
      <c r="C10" s="107">
        <f t="shared" si="11"/>
        <v>-4.5492463768115998E-2</v>
      </c>
      <c r="D10" s="108">
        <f t="shared" si="12"/>
        <v>93.289077241379303</v>
      </c>
      <c r="E10" s="102">
        <f t="shared" si="0"/>
        <v>0.68375175315568026</v>
      </c>
      <c r="F10" s="107">
        <f t="shared" si="13"/>
        <v>-4.556100981767186E-2</v>
      </c>
      <c r="G10" s="108">
        <f t="shared" si="14"/>
        <v>93.752884615384616</v>
      </c>
      <c r="H10" s="102">
        <f t="shared" si="1"/>
        <v>0.77886921926133723</v>
      </c>
      <c r="I10" s="107">
        <f t="shared" si="2"/>
        <v>-1.8694436652639812E-3</v>
      </c>
      <c r="J10" s="108">
        <f t="shared" si="3"/>
        <v>99.760554491017984</v>
      </c>
      <c r="K10" s="102">
        <f t="shared" si="4"/>
        <v>0.71626794763908386</v>
      </c>
      <c r="L10" s="107">
        <f t="shared" si="5"/>
        <v>-1.3044815334268267E-2</v>
      </c>
      <c r="M10" s="108">
        <f t="shared" si="6"/>
        <v>98.211355128205142</v>
      </c>
      <c r="N10" s="102">
        <f t="shared" si="7"/>
        <v>0.35175229079008891</v>
      </c>
      <c r="O10" s="107">
        <f t="shared" si="8"/>
        <v>-3.6279499766245837E-2</v>
      </c>
      <c r="P10" s="108">
        <f t="shared" si="9"/>
        <v>90.650379518072313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0.63076099228611504</v>
      </c>
      <c r="C11" s="236">
        <f t="shared" si="11"/>
        <v>-4.7125870733987885E-2</v>
      </c>
      <c r="D11" s="237">
        <f t="shared" si="12"/>
        <v>93.048121551724122</v>
      </c>
      <c r="E11" s="235">
        <f>AVERAGE(E7:E10)</f>
        <v>0.6819284151472651</v>
      </c>
      <c r="F11" s="236">
        <f t="shared" si="13"/>
        <v>-4.7384347826087025E-2</v>
      </c>
      <c r="G11" s="237">
        <f t="shared" si="14"/>
        <v>93.502876923076911</v>
      </c>
      <c r="H11" s="235">
        <f>AVERAGE(H7:H10)</f>
        <v>0.7590404184198225</v>
      </c>
      <c r="I11" s="236">
        <f t="shared" si="2"/>
        <v>-2.1698244506778708E-2</v>
      </c>
      <c r="J11" s="237">
        <f t="shared" si="3"/>
        <v>97.220805688622775</v>
      </c>
      <c r="K11" s="235">
        <f>AVERAGE(K7:K10)</f>
        <v>0.70882265077138862</v>
      </c>
      <c r="L11" s="236">
        <f t="shared" si="5"/>
        <v>-2.0490112201963506E-2</v>
      </c>
      <c r="M11" s="237">
        <f t="shared" si="6"/>
        <v>97.190490384615387</v>
      </c>
      <c r="N11" s="235">
        <f>AVERAGE(N7:N10)</f>
        <v>0.37424012622720909</v>
      </c>
      <c r="O11" s="236">
        <f t="shared" si="8"/>
        <v>-1.3791664329125652E-2</v>
      </c>
      <c r="P11" s="237">
        <f t="shared" si="9"/>
        <v>96.445738554216902</v>
      </c>
      <c r="Q11" s="109"/>
    </row>
    <row r="12" spans="1:19" s="96" customFormat="1" ht="15.75" x14ac:dyDescent="0.25">
      <c r="A12" s="110" t="s">
        <v>24</v>
      </c>
      <c r="B12" s="102">
        <f>B25*$B$32/100/$B$33</f>
        <v>1.04174095371669</v>
      </c>
      <c r="C12" s="107">
        <f t="shared" si="11"/>
        <v>0.36385409069658703</v>
      </c>
      <c r="D12" s="108">
        <f t="shared" si="12"/>
        <v>153.67475172413791</v>
      </c>
      <c r="E12" s="102">
        <f>E25*$B$32/100/$B$33</f>
        <v>1.1124557737260403</v>
      </c>
      <c r="F12" s="107">
        <f t="shared" si="13"/>
        <v>0.3831430107526882</v>
      </c>
      <c r="G12" s="108">
        <f t="shared" si="14"/>
        <v>152.53480128205129</v>
      </c>
      <c r="H12" s="102">
        <f>H25*$B$32/100/$B$33</f>
        <v>1.2055015895278167</v>
      </c>
      <c r="I12" s="107">
        <f t="shared" si="2"/>
        <v>0.42476292660121551</v>
      </c>
      <c r="J12" s="108">
        <f t="shared" si="3"/>
        <v>154.40526347305391</v>
      </c>
      <c r="K12" s="102">
        <f>K25*$B$32/100/$B$33</f>
        <v>0.99893987844787302</v>
      </c>
      <c r="L12" s="107">
        <f t="shared" si="5"/>
        <v>0.2696271154745209</v>
      </c>
      <c r="M12" s="108">
        <f t="shared" si="6"/>
        <v>136.97002564102564</v>
      </c>
      <c r="N12" s="102">
        <f>N25*$B$32/100/$B$33</f>
        <v>0.38148784478728387</v>
      </c>
      <c r="O12" s="107">
        <f t="shared" si="8"/>
        <v>-6.543945769050874E-3</v>
      </c>
      <c r="P12" s="108">
        <f t="shared" si="9"/>
        <v>98.313554216867487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1.3339911173445536</v>
      </c>
      <c r="F13" s="107">
        <f t="shared" si="13"/>
        <v>0.60467835437120143</v>
      </c>
      <c r="G13" s="108">
        <f t="shared" si="14"/>
        <v>182.91070512820511</v>
      </c>
      <c r="H13" s="102">
        <f t="shared" ref="H13:H14" si="15">H26*$B$34/$B$33</f>
        <v>1.3964864422627397</v>
      </c>
      <c r="I13" s="107">
        <f t="shared" si="2"/>
        <v>0.61574777933613845</v>
      </c>
      <c r="J13" s="108">
        <f t="shared" si="3"/>
        <v>178.8673353293413</v>
      </c>
      <c r="K13" s="102">
        <f t="shared" ref="K13:K14" si="16">K26*$B$34/$B$33</f>
        <v>1.3339911173445536</v>
      </c>
      <c r="L13" s="107">
        <f t="shared" si="5"/>
        <v>0.60467835437120143</v>
      </c>
      <c r="M13" s="108">
        <f t="shared" si="6"/>
        <v>182.91070512820511</v>
      </c>
      <c r="N13" s="102">
        <f t="shared" ref="N13:N14" si="17">N26*$B$34/$B$33</f>
        <v>0.6647230014025246</v>
      </c>
      <c r="O13" s="107">
        <f t="shared" si="8"/>
        <v>0.27669121084618986</v>
      </c>
      <c r="P13" s="108">
        <f t="shared" si="9"/>
        <v>171.30632530120482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1.2158181393174381</v>
      </c>
      <c r="F14" s="107">
        <f t="shared" si="13"/>
        <v>0.48650537634408597</v>
      </c>
      <c r="G14" s="108">
        <f t="shared" si="14"/>
        <v>166.70737179487179</v>
      </c>
      <c r="H14" s="102">
        <f t="shared" si="15"/>
        <v>1.3135381019167836</v>
      </c>
      <c r="I14" s="107">
        <f t="shared" si="2"/>
        <v>0.53279943899018234</v>
      </c>
      <c r="J14" s="108">
        <f t="shared" si="3"/>
        <v>168.24299401197604</v>
      </c>
      <c r="K14" s="102">
        <f t="shared" si="16"/>
        <v>1.2158181393174381</v>
      </c>
      <c r="L14" s="107">
        <f t="shared" si="5"/>
        <v>0.48650537634408597</v>
      </c>
      <c r="M14" s="108">
        <f t="shared" si="6"/>
        <v>166.70737179487179</v>
      </c>
      <c r="N14" s="102">
        <f t="shared" si="17"/>
        <v>0.61245418419822351</v>
      </c>
      <c r="O14" s="107">
        <f t="shared" si="8"/>
        <v>0.22442239364188876</v>
      </c>
      <c r="P14" s="108">
        <f t="shared" si="9"/>
        <v>157.8360843373494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1.2369189808321648</v>
      </c>
      <c r="F15" s="119">
        <f t="shared" si="13"/>
        <v>0.50760621785881266</v>
      </c>
      <c r="G15" s="120">
        <f t="shared" si="14"/>
        <v>169.60062179487181</v>
      </c>
      <c r="H15" s="118">
        <f>H28*$B$35/10/$B$33</f>
        <v>1.2949407667134176</v>
      </c>
      <c r="I15" s="119">
        <f t="shared" si="2"/>
        <v>0.51420210378681641</v>
      </c>
      <c r="J15" s="120">
        <f t="shared" si="3"/>
        <v>165.86097604790422</v>
      </c>
      <c r="K15" s="118">
        <f>K28*$B$35/10/$B$33</f>
        <v>1.3213143057503509</v>
      </c>
      <c r="L15" s="119">
        <f t="shared" si="5"/>
        <v>0.59200154277699879</v>
      </c>
      <c r="M15" s="120">
        <f t="shared" si="6"/>
        <v>181.17251923076924</v>
      </c>
      <c r="N15" s="118">
        <f>N28*$B$35/10/$B$33</f>
        <v>0.54856961196820953</v>
      </c>
      <c r="O15" s="119">
        <f t="shared" si="8"/>
        <v>0.16053782141187478</v>
      </c>
      <c r="P15" s="120">
        <f t="shared" si="9"/>
        <v>141.37233734939761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6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65" t="s">
        <v>214</v>
      </c>
      <c r="X19" s="265" t="s">
        <v>214</v>
      </c>
    </row>
    <row r="20" spans="1:24" s="141" customFormat="1" ht="15.75" x14ac:dyDescent="0.25">
      <c r="A20" s="133" t="s">
        <v>185</v>
      </c>
      <c r="B20" s="134">
        <v>1.45</v>
      </c>
      <c r="C20" s="135" t="s">
        <v>172</v>
      </c>
      <c r="D20" s="136" t="s">
        <v>172</v>
      </c>
      <c r="E20" s="134">
        <v>1.56</v>
      </c>
      <c r="F20" s="135" t="s">
        <v>172</v>
      </c>
      <c r="G20" s="136" t="s">
        <v>172</v>
      </c>
      <c r="H20" s="134">
        <v>1.67</v>
      </c>
      <c r="I20" s="135" t="s">
        <v>172</v>
      </c>
      <c r="J20" s="136" t="s">
        <v>172</v>
      </c>
      <c r="K20" s="134">
        <v>1.56</v>
      </c>
      <c r="L20" s="135" t="s">
        <v>172</v>
      </c>
      <c r="M20" s="136" t="s">
        <v>172</v>
      </c>
      <c r="N20" s="134">
        <v>0.83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42.03</v>
      </c>
      <c r="C21" s="144" t="s">
        <v>172</v>
      </c>
      <c r="D21" s="145" t="s">
        <v>172</v>
      </c>
      <c r="E21" s="143">
        <v>45.83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46.67</v>
      </c>
      <c r="L21" s="144" t="s">
        <v>172</v>
      </c>
      <c r="M21" s="145" t="s">
        <v>172</v>
      </c>
      <c r="N21" s="143">
        <v>23.63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41.1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46.46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41.3</v>
      </c>
      <c r="C23" s="144" t="s">
        <v>172</v>
      </c>
      <c r="D23" s="145" t="s">
        <v>172</v>
      </c>
      <c r="E23" s="143">
        <v>44.53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46.33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41.62</v>
      </c>
      <c r="C24" s="144" t="s">
        <v>172</v>
      </c>
      <c r="D24" s="145" t="s">
        <v>172</v>
      </c>
      <c r="E24" s="143">
        <v>45</v>
      </c>
      <c r="F24" s="144" t="s">
        <v>172</v>
      </c>
      <c r="G24" s="145" t="s">
        <v>172</v>
      </c>
      <c r="H24" s="143">
        <v>51.26</v>
      </c>
      <c r="I24" s="144" t="s">
        <v>172</v>
      </c>
      <c r="J24" s="145" t="s">
        <v>172</v>
      </c>
      <c r="K24" s="143">
        <v>47.14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10.25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1.07</v>
      </c>
      <c r="F27" s="144" t="s">
        <v>172</v>
      </c>
      <c r="G27" s="145" t="s">
        <v>172</v>
      </c>
      <c r="H27" s="153">
        <v>1.1559999999999999</v>
      </c>
      <c r="I27" s="144" t="s">
        <v>172</v>
      </c>
      <c r="J27" s="145" t="s">
        <v>172</v>
      </c>
      <c r="K27" s="153">
        <v>1.07</v>
      </c>
      <c r="L27" s="144" t="s">
        <v>172</v>
      </c>
      <c r="M27" s="145" t="s">
        <v>172</v>
      </c>
      <c r="N27" s="153">
        <v>0.53900000000000003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4.6900000000000004</v>
      </c>
      <c r="F28" s="158" t="s">
        <v>172</v>
      </c>
      <c r="G28" s="159" t="s">
        <v>172</v>
      </c>
      <c r="H28" s="234">
        <v>4.91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2.08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6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7.9610000000000003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2.1389999999999998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2.4304999999999999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5.6413000000000002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3.2501000000000002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B7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43535</v>
      </c>
      <c r="E2" s="493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0.68288119738072972</v>
      </c>
      <c r="C6" s="103" t="s">
        <v>172</v>
      </c>
      <c r="D6" s="104" t="s">
        <v>172</v>
      </c>
      <c r="E6" s="102">
        <f>E20/$B$33</f>
        <v>0.73433115060804499</v>
      </c>
      <c r="F6" s="103" t="s">
        <v>172</v>
      </c>
      <c r="G6" s="104" t="s">
        <v>172</v>
      </c>
      <c r="H6" s="102">
        <f>H20/$B$33</f>
        <v>0.78578110383536015</v>
      </c>
      <c r="I6" s="103" t="s">
        <v>172</v>
      </c>
      <c r="J6" s="104" t="s">
        <v>172</v>
      </c>
      <c r="K6" s="102">
        <f>K20/$B$33</f>
        <v>0.73433115060804499</v>
      </c>
      <c r="L6" s="103" t="s">
        <v>172</v>
      </c>
      <c r="M6" s="104" t="s">
        <v>172</v>
      </c>
      <c r="N6" s="102">
        <f>N20/$B$33</f>
        <v>0.39289055191768008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0.63735574368568759</v>
      </c>
      <c r="C7" s="107">
        <f>B7-B$6</f>
        <v>-4.5525453695042128E-2</v>
      </c>
      <c r="D7" s="108">
        <f>B7/B$6*100</f>
        <v>93.333327397260263</v>
      </c>
      <c r="E7" s="102">
        <f t="shared" ref="E7:E10" si="0">E21*$B$36/100/$B$33</f>
        <v>0.69499381665107585</v>
      </c>
      <c r="F7" s="107">
        <f>E7-E$6</f>
        <v>-3.9337333956969145E-2</v>
      </c>
      <c r="G7" s="108">
        <f>E7/E$6*100</f>
        <v>94.643107006369419</v>
      </c>
      <c r="H7" s="102">
        <f t="shared" ref="H7:H10" si="1">H21*$B$36/100/$B$33</f>
        <v>0.77750726847521057</v>
      </c>
      <c r="I7" s="107">
        <f t="shared" ref="I7:I15" si="2">H7-H$6</f>
        <v>-8.273835360149584E-3</v>
      </c>
      <c r="J7" s="108">
        <f t="shared" ref="J7:J15" si="3">H7/H$6*100</f>
        <v>98.947055952380964</v>
      </c>
      <c r="K7" s="102">
        <f t="shared" ref="K7:K10" si="4">K21*$B$36/100/$B$33</f>
        <v>0.70803822263797944</v>
      </c>
      <c r="L7" s="107">
        <f t="shared" ref="L7:L15" si="5">K7-K$6</f>
        <v>-2.6292927970065549E-2</v>
      </c>
      <c r="M7" s="108">
        <f t="shared" ref="M7:M15" si="6">K7/K$6*100</f>
        <v>96.419472611464968</v>
      </c>
      <c r="N7" s="102">
        <f t="shared" ref="N7:N10" si="7">N21*$B$36/100/$B$33</f>
        <v>0.35644597754911139</v>
      </c>
      <c r="O7" s="107">
        <f t="shared" ref="O7:O15" si="8">N7-N$6</f>
        <v>-3.6444574368568683E-2</v>
      </c>
      <c r="P7" s="108">
        <f t="shared" ref="P7:P15" si="9">N7/N$6*100</f>
        <v>90.723988095238113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0.62340126286248843</v>
      </c>
      <c r="C8" s="107">
        <f t="shared" ref="C8:C12" si="11">B8-B$6</f>
        <v>-5.9479934518241295E-2</v>
      </c>
      <c r="D8" s="108">
        <f t="shared" ref="D8:D12" si="12">B8/B$6*100</f>
        <v>91.289856164383565</v>
      </c>
      <c r="E8" s="102">
        <f t="shared" si="0"/>
        <v>0.669815079513564</v>
      </c>
      <c r="F8" s="107">
        <f t="shared" ref="F8:F15" si="13">E8-E$6</f>
        <v>-6.4516071094480987E-2</v>
      </c>
      <c r="G8" s="108">
        <f t="shared" ref="G8:G15" si="14">E8/E$6*100</f>
        <v>91.214308280254755</v>
      </c>
      <c r="H8" s="102">
        <f t="shared" si="1"/>
        <v>0.7417109915809168</v>
      </c>
      <c r="I8" s="107">
        <f t="shared" si="2"/>
        <v>-4.407011225444335E-2</v>
      </c>
      <c r="J8" s="108">
        <f t="shared" si="3"/>
        <v>94.391553571428574</v>
      </c>
      <c r="K8" s="102">
        <f t="shared" si="4"/>
        <v>0.7047012815715622</v>
      </c>
      <c r="L8" s="107">
        <f t="shared" si="5"/>
        <v>-2.9629869036482792E-2</v>
      </c>
      <c r="M8" s="108">
        <f t="shared" si="6"/>
        <v>95.965053503184706</v>
      </c>
      <c r="N8" s="102">
        <f t="shared" si="7"/>
        <v>0.37828777362020582</v>
      </c>
      <c r="O8" s="107">
        <f t="shared" si="8"/>
        <v>-1.460277829747425E-2</v>
      </c>
      <c r="P8" s="108">
        <f t="shared" si="9"/>
        <v>96.283245238095247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0.62825499532273166</v>
      </c>
      <c r="C9" s="107">
        <f t="shared" si="11"/>
        <v>-5.4626202057998063E-2</v>
      </c>
      <c r="D9" s="108">
        <f t="shared" si="12"/>
        <v>92.000628767123288</v>
      </c>
      <c r="E9" s="102">
        <f t="shared" si="0"/>
        <v>0.67709567820392902</v>
      </c>
      <c r="F9" s="107">
        <f t="shared" si="13"/>
        <v>-5.7235472404115972E-2</v>
      </c>
      <c r="G9" s="108">
        <f t="shared" si="14"/>
        <v>92.205768152866241</v>
      </c>
      <c r="H9" s="102">
        <f t="shared" si="1"/>
        <v>0.73412703461178674</v>
      </c>
      <c r="I9" s="107">
        <f t="shared" si="2"/>
        <v>-5.1654069223573407E-2</v>
      </c>
      <c r="J9" s="108">
        <f t="shared" si="3"/>
        <v>93.426404761904763</v>
      </c>
      <c r="K9" s="102">
        <f t="shared" si="4"/>
        <v>0.70545967726847536</v>
      </c>
      <c r="L9" s="107">
        <f t="shared" si="5"/>
        <v>-2.8871473339569631E-2</v>
      </c>
      <c r="M9" s="108">
        <f t="shared" si="6"/>
        <v>96.068330573248417</v>
      </c>
      <c r="N9" s="102">
        <f t="shared" si="7"/>
        <v>0.40650009354536959</v>
      </c>
      <c r="O9" s="107">
        <f t="shared" si="8"/>
        <v>1.3609541627689514E-2</v>
      </c>
      <c r="P9" s="108">
        <f t="shared" si="9"/>
        <v>103.46395238095241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0.63310872778297489</v>
      </c>
      <c r="C10" s="107">
        <f t="shared" si="11"/>
        <v>-4.9772469597754831E-2</v>
      </c>
      <c r="D10" s="108">
        <f t="shared" si="12"/>
        <v>92.711401369863026</v>
      </c>
      <c r="E10" s="102">
        <f t="shared" si="0"/>
        <v>0.67633728250701608</v>
      </c>
      <c r="F10" s="107">
        <f t="shared" si="13"/>
        <v>-5.7993868101028911E-2</v>
      </c>
      <c r="G10" s="108">
        <f t="shared" si="14"/>
        <v>92.102491082802558</v>
      </c>
      <c r="H10" s="102">
        <f t="shared" si="1"/>
        <v>0.78008581384471476</v>
      </c>
      <c r="I10" s="107">
        <f t="shared" si="2"/>
        <v>-5.6952899906453913E-3</v>
      </c>
      <c r="J10" s="108">
        <f t="shared" si="3"/>
        <v>99.27520654761905</v>
      </c>
      <c r="K10" s="102">
        <f t="shared" si="4"/>
        <v>0.71516714218896171</v>
      </c>
      <c r="L10" s="107">
        <f t="shared" si="5"/>
        <v>-1.9164008419083278E-2</v>
      </c>
      <c r="M10" s="108">
        <f t="shared" si="6"/>
        <v>97.390277070063689</v>
      </c>
      <c r="N10" s="102">
        <f t="shared" si="7"/>
        <v>0.35113720767072026</v>
      </c>
      <c r="O10" s="107">
        <f t="shared" si="8"/>
        <v>-4.1753344246959812E-2</v>
      </c>
      <c r="P10" s="108">
        <f t="shared" si="9"/>
        <v>89.372779761904752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0.6305301824134707</v>
      </c>
      <c r="C11" s="236">
        <f t="shared" si="11"/>
        <v>-5.2351014967259024E-2</v>
      </c>
      <c r="D11" s="237">
        <f t="shared" si="12"/>
        <v>92.333803424657546</v>
      </c>
      <c r="E11" s="235">
        <f>AVERAGE(E7:E10)</f>
        <v>0.67956046421889627</v>
      </c>
      <c r="F11" s="236">
        <f t="shared" si="13"/>
        <v>-5.4770686389148726E-2</v>
      </c>
      <c r="G11" s="237">
        <f t="shared" si="14"/>
        <v>92.541418630573247</v>
      </c>
      <c r="H11" s="235">
        <f>AVERAGE(H7:H10)</f>
        <v>0.75835777712815722</v>
      </c>
      <c r="I11" s="236">
        <f t="shared" si="2"/>
        <v>-2.7423326707202933E-2</v>
      </c>
      <c r="J11" s="237">
        <f t="shared" si="3"/>
        <v>96.510055208333341</v>
      </c>
      <c r="K11" s="235">
        <f>AVERAGE(K7:K10)</f>
        <v>0.70834158091674471</v>
      </c>
      <c r="L11" s="236">
        <f t="shared" si="5"/>
        <v>-2.5989569691300285E-2</v>
      </c>
      <c r="M11" s="237">
        <f t="shared" si="6"/>
        <v>96.460783439490456</v>
      </c>
      <c r="N11" s="235">
        <f>AVERAGE(N7:N10)</f>
        <v>0.37309276309635175</v>
      </c>
      <c r="O11" s="236">
        <f t="shared" si="8"/>
        <v>-1.9797788821328322E-2</v>
      </c>
      <c r="P11" s="237">
        <f t="shared" si="9"/>
        <v>94.960991369047619</v>
      </c>
      <c r="Q11" s="109"/>
    </row>
    <row r="12" spans="1:19" s="96" customFormat="1" ht="15.75" x14ac:dyDescent="0.25">
      <c r="A12" s="110" t="s">
        <v>24</v>
      </c>
      <c r="B12" s="102">
        <f>B25*$B$32/100/$B$33</f>
        <v>1.0611325818521984</v>
      </c>
      <c r="C12" s="107">
        <f t="shared" si="11"/>
        <v>0.37825138447146867</v>
      </c>
      <c r="D12" s="108">
        <f t="shared" si="12"/>
        <v>155.39051095890412</v>
      </c>
      <c r="E12" s="102">
        <f>E25*$B$32/100/$B$33</f>
        <v>1.1274770626753976</v>
      </c>
      <c r="F12" s="107">
        <f t="shared" si="13"/>
        <v>0.39314591206735261</v>
      </c>
      <c r="G12" s="108">
        <f t="shared" si="14"/>
        <v>153.53795923566878</v>
      </c>
      <c r="H12" s="102">
        <f>H25*$B$32/100/$B$33</f>
        <v>1.2279415622076708</v>
      </c>
      <c r="I12" s="107">
        <f t="shared" si="2"/>
        <v>0.44216045837231066</v>
      </c>
      <c r="J12" s="108">
        <f t="shared" si="3"/>
        <v>156.27018214285715</v>
      </c>
      <c r="K12" s="102">
        <f>K25*$B$32/100/$B$33</f>
        <v>1.0175347801683816</v>
      </c>
      <c r="L12" s="107">
        <f t="shared" si="5"/>
        <v>0.28320362956033662</v>
      </c>
      <c r="M12" s="108">
        <f t="shared" si="6"/>
        <v>138.56620127388533</v>
      </c>
      <c r="N12" s="102">
        <f>N25*$B$32/100/$B$33</f>
        <v>0.40109977549111314</v>
      </c>
      <c r="O12" s="107">
        <f t="shared" si="8"/>
        <v>8.2092235734330665E-3</v>
      </c>
      <c r="P12" s="108">
        <f t="shared" si="9"/>
        <v>102.08944285714286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1.3435290926099157</v>
      </c>
      <c r="F13" s="107">
        <f t="shared" si="13"/>
        <v>0.60919794200187072</v>
      </c>
      <c r="G13" s="108">
        <f t="shared" si="14"/>
        <v>182.95956687898084</v>
      </c>
      <c r="H13" s="102">
        <f t="shared" ref="H13:H14" si="15">H26*$B$34/$B$33</f>
        <v>1.4170386810102897</v>
      </c>
      <c r="I13" s="107">
        <f t="shared" si="2"/>
        <v>0.63125757717492958</v>
      </c>
      <c r="J13" s="108">
        <f t="shared" si="3"/>
        <v>180.33504166666663</v>
      </c>
      <c r="K13" s="102">
        <f t="shared" ref="K13:K14" si="16">K26*$B$34/$B$33</f>
        <v>1.3435290926099157</v>
      </c>
      <c r="L13" s="107">
        <f t="shared" si="5"/>
        <v>0.60919794200187072</v>
      </c>
      <c r="M13" s="108">
        <f t="shared" si="6"/>
        <v>182.95956687898084</v>
      </c>
      <c r="N13" s="102">
        <f t="shared" ref="N13:N14" si="17">N26*$B$34/$B$33</f>
        <v>0.65593171188026189</v>
      </c>
      <c r="O13" s="107">
        <f t="shared" si="8"/>
        <v>0.26304115996258182</v>
      </c>
      <c r="P13" s="108">
        <f t="shared" si="9"/>
        <v>166.95023809523809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1.2304374181478019</v>
      </c>
      <c r="F14" s="107">
        <f t="shared" si="13"/>
        <v>0.49610626753975695</v>
      </c>
      <c r="G14" s="108">
        <f t="shared" si="14"/>
        <v>167.55892993630573</v>
      </c>
      <c r="H14" s="102">
        <f t="shared" si="15"/>
        <v>1.3276962581852196</v>
      </c>
      <c r="I14" s="107">
        <f t="shared" si="2"/>
        <v>0.54191515434985948</v>
      </c>
      <c r="J14" s="108">
        <f t="shared" si="3"/>
        <v>168.96515476190476</v>
      </c>
      <c r="K14" s="102">
        <f t="shared" si="16"/>
        <v>1.2078190832553788</v>
      </c>
      <c r="L14" s="107">
        <f t="shared" si="5"/>
        <v>0.4734879326473338</v>
      </c>
      <c r="M14" s="108">
        <f t="shared" si="6"/>
        <v>164.47880254777067</v>
      </c>
      <c r="N14" s="102">
        <f t="shared" si="17"/>
        <v>0.5756366230121609</v>
      </c>
      <c r="O14" s="107">
        <f t="shared" si="8"/>
        <v>0.18274607109448082</v>
      </c>
      <c r="P14" s="108">
        <f t="shared" si="9"/>
        <v>146.51322619047619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1.2461455565949486</v>
      </c>
      <c r="F15" s="119">
        <f t="shared" si="13"/>
        <v>0.51181440598690364</v>
      </c>
      <c r="G15" s="120">
        <f t="shared" si="14"/>
        <v>169.69803821656052</v>
      </c>
      <c r="H15" s="118">
        <f>H28*$B$35/10/$B$33</f>
        <v>1.3250155285313379</v>
      </c>
      <c r="I15" s="119">
        <f t="shared" si="2"/>
        <v>0.53923442469597771</v>
      </c>
      <c r="J15" s="120">
        <f t="shared" si="3"/>
        <v>168.62400000000002</v>
      </c>
      <c r="K15" s="118">
        <f>K28*$B$35/10/$B$33</f>
        <v>1.3355315247895232</v>
      </c>
      <c r="L15" s="119">
        <f t="shared" si="5"/>
        <v>0.6012003741814782</v>
      </c>
      <c r="M15" s="120">
        <f t="shared" si="6"/>
        <v>181.87047133757963</v>
      </c>
      <c r="N15" s="118">
        <f>N28*$B$35/10/$B$33</f>
        <v>0.53894480823199253</v>
      </c>
      <c r="O15" s="119">
        <f t="shared" si="8"/>
        <v>0.14605425631431246</v>
      </c>
      <c r="P15" s="120">
        <f t="shared" si="9"/>
        <v>137.1742857142857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6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67" t="s">
        <v>214</v>
      </c>
      <c r="X19" s="267" t="s">
        <v>214</v>
      </c>
    </row>
    <row r="20" spans="1:24" s="141" customFormat="1" ht="15.75" x14ac:dyDescent="0.25">
      <c r="A20" s="133" t="s">
        <v>185</v>
      </c>
      <c r="B20" s="134">
        <v>1.46</v>
      </c>
      <c r="C20" s="135" t="s">
        <v>172</v>
      </c>
      <c r="D20" s="136" t="s">
        <v>172</v>
      </c>
      <c r="E20" s="134">
        <v>1.57</v>
      </c>
      <c r="F20" s="135" t="s">
        <v>172</v>
      </c>
      <c r="G20" s="136" t="s">
        <v>172</v>
      </c>
      <c r="H20" s="134">
        <v>1.68</v>
      </c>
      <c r="I20" s="135" t="s">
        <v>172</v>
      </c>
      <c r="J20" s="136" t="s">
        <v>172</v>
      </c>
      <c r="K20" s="134">
        <v>1.57</v>
      </c>
      <c r="L20" s="135" t="s">
        <v>172</v>
      </c>
      <c r="M20" s="136" t="s">
        <v>172</v>
      </c>
      <c r="N20" s="134">
        <v>0.84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42.02</v>
      </c>
      <c r="C21" s="144" t="s">
        <v>172</v>
      </c>
      <c r="D21" s="145" t="s">
        <v>172</v>
      </c>
      <c r="E21" s="143">
        <v>45.82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46.68</v>
      </c>
      <c r="L21" s="144" t="s">
        <v>172</v>
      </c>
      <c r="M21" s="145" t="s">
        <v>172</v>
      </c>
      <c r="N21" s="143">
        <v>23.5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41.1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46.46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41.42</v>
      </c>
      <c r="C23" s="144" t="s">
        <v>172</v>
      </c>
      <c r="D23" s="145" t="s">
        <v>172</v>
      </c>
      <c r="E23" s="143">
        <v>44.64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46.51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41.74</v>
      </c>
      <c r="C24" s="144" t="s">
        <v>172</v>
      </c>
      <c r="D24" s="145" t="s">
        <v>172</v>
      </c>
      <c r="E24" s="143">
        <v>44.59</v>
      </c>
      <c r="F24" s="144" t="s">
        <v>172</v>
      </c>
      <c r="G24" s="145" t="s">
        <v>172</v>
      </c>
      <c r="H24" s="143">
        <v>51.43</v>
      </c>
      <c r="I24" s="144" t="s">
        <v>172</v>
      </c>
      <c r="J24" s="145" t="s">
        <v>172</v>
      </c>
      <c r="K24" s="143">
        <v>47.15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29.74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10.58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1.1879999999999999</v>
      </c>
      <c r="F26" s="144" t="s">
        <v>172</v>
      </c>
      <c r="G26" s="145" t="s">
        <v>172</v>
      </c>
      <c r="H26" s="153">
        <v>1.2529999999999999</v>
      </c>
      <c r="I26" s="144" t="s">
        <v>172</v>
      </c>
      <c r="J26" s="145" t="s">
        <v>172</v>
      </c>
      <c r="K26" s="153">
        <v>1.1879999999999999</v>
      </c>
      <c r="L26" s="144" t="s">
        <v>172</v>
      </c>
      <c r="M26" s="145" t="s">
        <v>172</v>
      </c>
      <c r="N26" s="153">
        <v>0.57999999999999996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1.0880000000000001</v>
      </c>
      <c r="F27" s="144" t="s">
        <v>172</v>
      </c>
      <c r="G27" s="145" t="s">
        <v>172</v>
      </c>
      <c r="H27" s="153">
        <v>1.1739999999999999</v>
      </c>
      <c r="I27" s="144" t="s">
        <v>172</v>
      </c>
      <c r="J27" s="145" t="s">
        <v>172</v>
      </c>
      <c r="K27" s="153">
        <v>1.0680000000000001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4.74</v>
      </c>
      <c r="F28" s="158" t="s">
        <v>172</v>
      </c>
      <c r="G28" s="159" t="s">
        <v>172</v>
      </c>
      <c r="H28" s="234">
        <v>5.04</v>
      </c>
      <c r="I28" s="158" t="s">
        <v>172</v>
      </c>
      <c r="J28" s="159" t="s">
        <v>172</v>
      </c>
      <c r="K28" s="234">
        <v>5.08</v>
      </c>
      <c r="L28" s="158" t="s">
        <v>172</v>
      </c>
      <c r="M28" s="159" t="s">
        <v>172</v>
      </c>
      <c r="N28" s="234">
        <v>2.0499999999999998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6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8.1053999999999995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2.1379999999999999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2.4178999999999999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5.6208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3.2429000000000001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43542</v>
      </c>
      <c r="E2" s="493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0.6954300312233892</v>
      </c>
      <c r="C6" s="103" t="s">
        <v>172</v>
      </c>
      <c r="D6" s="104" t="s">
        <v>172</v>
      </c>
      <c r="E6" s="102">
        <f>E20/$B$33</f>
        <v>0.74746901315167003</v>
      </c>
      <c r="F6" s="103" t="s">
        <v>172</v>
      </c>
      <c r="G6" s="104" t="s">
        <v>172</v>
      </c>
      <c r="H6" s="102">
        <f>H20/$B$33</f>
        <v>0.79950799507995085</v>
      </c>
      <c r="I6" s="103" t="s">
        <v>172</v>
      </c>
      <c r="J6" s="104" t="s">
        <v>172</v>
      </c>
      <c r="K6" s="102">
        <f>K20/$B$33</f>
        <v>0.74746901315167003</v>
      </c>
      <c r="L6" s="103" t="s">
        <v>172</v>
      </c>
      <c r="M6" s="104" t="s">
        <v>172</v>
      </c>
      <c r="N6" s="102">
        <f>N20/$B$33</f>
        <v>0.39738858927050807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0.65029385466931611</v>
      </c>
      <c r="C7" s="107">
        <f>B7-B$6</f>
        <v>-4.5136176554073093E-2</v>
      </c>
      <c r="D7" s="108">
        <f>B7/B$6*100</f>
        <v>93.509602040816347</v>
      </c>
      <c r="E7" s="102">
        <f t="shared" ref="E7:E10" si="0">E21*$B$36/100/$B$33</f>
        <v>0.70877852682372988</v>
      </c>
      <c r="F7" s="107">
        <f>E7-E$6</f>
        <v>-3.8690486327940143E-2</v>
      </c>
      <c r="G7" s="108">
        <f>E7/E$6*100</f>
        <v>94.8238006329114</v>
      </c>
      <c r="H7" s="102">
        <f t="shared" ref="H7:H10" si="1">H21*$B$36/100/$B$33</f>
        <v>0.79310166524742176</v>
      </c>
      <c r="I7" s="107">
        <f t="shared" ref="I7:I15" si="2">H7-H$6</f>
        <v>-6.4063298325290896E-3</v>
      </c>
      <c r="J7" s="108">
        <f t="shared" ref="J7:J15" si="3">H7/H$6*100</f>
        <v>99.198715976331357</v>
      </c>
      <c r="K7" s="102">
        <f t="shared" ref="K7:K10" si="4">K21*$B$36/100/$B$33</f>
        <v>0.72192984199072763</v>
      </c>
      <c r="L7" s="107">
        <f t="shared" ref="L7:L15" si="5">K7-K$6</f>
        <v>-2.5539171160942398E-2</v>
      </c>
      <c r="M7" s="108">
        <f t="shared" ref="M7:M15" si="6">K7/K$6*100</f>
        <v>96.583246835443035</v>
      </c>
      <c r="N7" s="102">
        <f t="shared" ref="N7:N10" si="7">N21*$B$36/100/$B$33</f>
        <v>0.36096492099536381</v>
      </c>
      <c r="O7" s="107">
        <f t="shared" ref="O7:O15" si="8">N7-N$6</f>
        <v>-3.6423668275144261E-2</v>
      </c>
      <c r="P7" s="108">
        <f t="shared" ref="P7:P15" si="9">N7/N$6*100</f>
        <v>90.834244047619052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0.63575004730816542</v>
      </c>
      <c r="C8" s="107">
        <f t="shared" ref="C8:C12" si="11">B8-B$6</f>
        <v>-5.9679983915223778E-2</v>
      </c>
      <c r="D8" s="108">
        <f t="shared" ref="D8:D12" si="12">B8/B$6*100</f>
        <v>91.418261904761906</v>
      </c>
      <c r="E8" s="102">
        <f t="shared" si="0"/>
        <v>0.68324950326426337</v>
      </c>
      <c r="F8" s="107">
        <f t="shared" ref="F8:F15" si="13">E8-E$6</f>
        <v>-6.4219509887406656E-2</v>
      </c>
      <c r="G8" s="108">
        <f t="shared" ref="G8:G15" si="14">E8/E$6*100</f>
        <v>91.408405063291127</v>
      </c>
      <c r="H8" s="102">
        <f t="shared" si="1"/>
        <v>0.75658742548963953</v>
      </c>
      <c r="I8" s="107">
        <f t="shared" si="2"/>
        <v>-4.2920569590311319E-2</v>
      </c>
      <c r="J8" s="108">
        <f t="shared" si="3"/>
        <v>94.631627218934909</v>
      </c>
      <c r="K8" s="102">
        <f t="shared" si="4"/>
        <v>0.71991846437695151</v>
      </c>
      <c r="L8" s="107">
        <f t="shared" si="5"/>
        <v>-2.755054877471852E-2</v>
      </c>
      <c r="M8" s="108">
        <f t="shared" si="6"/>
        <v>96.314155063291139</v>
      </c>
      <c r="N8" s="102">
        <f t="shared" si="7"/>
        <v>0.38587505913520681</v>
      </c>
      <c r="O8" s="107">
        <f t="shared" si="8"/>
        <v>-1.1513530135301264E-2</v>
      </c>
      <c r="P8" s="108">
        <f t="shared" si="9"/>
        <v>97.102702380952394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0.64085585202005868</v>
      </c>
      <c r="C9" s="107">
        <f t="shared" si="11"/>
        <v>-5.457417920333052E-2</v>
      </c>
      <c r="D9" s="108">
        <f t="shared" si="12"/>
        <v>92.152455782312927</v>
      </c>
      <c r="E9" s="102">
        <f t="shared" si="0"/>
        <v>0.69083084965465047</v>
      </c>
      <c r="F9" s="107">
        <f t="shared" si="13"/>
        <v>-5.6638163497019556E-2</v>
      </c>
      <c r="G9" s="108">
        <f t="shared" si="14"/>
        <v>92.422674050632907</v>
      </c>
      <c r="H9" s="102">
        <f t="shared" si="1"/>
        <v>0.74885135774434675</v>
      </c>
      <c r="I9" s="107">
        <f t="shared" si="2"/>
        <v>-5.0656637335604104E-2</v>
      </c>
      <c r="J9" s="108">
        <f t="shared" si="3"/>
        <v>93.664023668639047</v>
      </c>
      <c r="K9" s="102">
        <f t="shared" si="4"/>
        <v>0.71775236540826959</v>
      </c>
      <c r="L9" s="107">
        <f t="shared" si="5"/>
        <v>-2.9716647743400437E-2</v>
      </c>
      <c r="M9" s="108">
        <f t="shared" si="6"/>
        <v>96.024363924050633</v>
      </c>
      <c r="N9" s="102">
        <f t="shared" si="7"/>
        <v>0.41465323114769614</v>
      </c>
      <c r="O9" s="107">
        <f t="shared" si="8"/>
        <v>1.7264641877188069E-2</v>
      </c>
      <c r="P9" s="108">
        <f t="shared" si="9"/>
        <v>104.34452380952384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0.63528588324344781</v>
      </c>
      <c r="C10" s="107">
        <f t="shared" si="11"/>
        <v>-6.0144147979941387E-2</v>
      </c>
      <c r="D10" s="108">
        <f t="shared" si="12"/>
        <v>91.351517006802723</v>
      </c>
      <c r="E10" s="102">
        <f t="shared" si="0"/>
        <v>0.67798897719746432</v>
      </c>
      <c r="F10" s="107">
        <f t="shared" si="13"/>
        <v>-6.948003595420571E-2</v>
      </c>
      <c r="G10" s="108">
        <f t="shared" si="14"/>
        <v>90.704626582278479</v>
      </c>
      <c r="H10" s="102">
        <f t="shared" si="1"/>
        <v>0.7957319282808214</v>
      </c>
      <c r="I10" s="107">
        <f t="shared" si="2"/>
        <v>-3.7760667991294516E-3</v>
      </c>
      <c r="J10" s="108">
        <f t="shared" si="3"/>
        <v>99.527701183431958</v>
      </c>
      <c r="K10" s="102">
        <f t="shared" si="4"/>
        <v>0.72038262844166912</v>
      </c>
      <c r="L10" s="107">
        <f t="shared" si="5"/>
        <v>-2.708638471000091E-2</v>
      </c>
      <c r="M10" s="108">
        <f t="shared" si="6"/>
        <v>96.376253164556971</v>
      </c>
      <c r="N10" s="102">
        <f t="shared" si="7"/>
        <v>0.35817993660705838</v>
      </c>
      <c r="O10" s="107">
        <f t="shared" si="8"/>
        <v>-3.9208652663449695E-2</v>
      </c>
      <c r="P10" s="108">
        <f t="shared" si="9"/>
        <v>90.133422619047622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0.64054640931024698</v>
      </c>
      <c r="C11" s="236">
        <f t="shared" si="11"/>
        <v>-5.4883621913142222E-2</v>
      </c>
      <c r="D11" s="237">
        <f t="shared" si="12"/>
        <v>92.107959183673472</v>
      </c>
      <c r="E11" s="235">
        <f>AVERAGE(E7:E10)</f>
        <v>0.69021196423502706</v>
      </c>
      <c r="F11" s="236">
        <f t="shared" si="13"/>
        <v>-5.7257048916642961E-2</v>
      </c>
      <c r="G11" s="237">
        <f t="shared" si="14"/>
        <v>92.339876582278492</v>
      </c>
      <c r="H11" s="235">
        <f>AVERAGE(H7:H10)</f>
        <v>0.77356809419055739</v>
      </c>
      <c r="I11" s="236">
        <f t="shared" si="2"/>
        <v>-2.5939900889393464E-2</v>
      </c>
      <c r="J11" s="237">
        <f t="shared" si="3"/>
        <v>96.755517011834328</v>
      </c>
      <c r="K11" s="235">
        <f>AVERAGE(K7:K10)</f>
        <v>0.71999582505440451</v>
      </c>
      <c r="L11" s="236">
        <f t="shared" si="5"/>
        <v>-2.7473188097265511E-2</v>
      </c>
      <c r="M11" s="237">
        <f t="shared" si="6"/>
        <v>96.324504746835444</v>
      </c>
      <c r="N11" s="235">
        <f>AVERAGE(N7:N10)</f>
        <v>0.37991828697133129</v>
      </c>
      <c r="O11" s="236">
        <f t="shared" si="8"/>
        <v>-1.7470302299176788E-2</v>
      </c>
      <c r="P11" s="237">
        <f t="shared" si="9"/>
        <v>95.603723214285736</v>
      </c>
      <c r="Q11" s="109"/>
    </row>
    <row r="12" spans="1:19" s="96" customFormat="1" ht="15.75" x14ac:dyDescent="0.25">
      <c r="A12" s="110" t="s">
        <v>24</v>
      </c>
      <c r="B12" s="102">
        <f>B25*$B$32/100/$B$33</f>
        <v>1.0312523417541868</v>
      </c>
      <c r="C12" s="107">
        <f t="shared" si="11"/>
        <v>0.33582231053079759</v>
      </c>
      <c r="D12" s="108">
        <f t="shared" si="12"/>
        <v>148.28987755102042</v>
      </c>
      <c r="E12" s="102">
        <f>E25*$B$32/100/$B$33</f>
        <v>1.0957286403633266</v>
      </c>
      <c r="F12" s="107">
        <f t="shared" si="13"/>
        <v>0.3482596272116566</v>
      </c>
      <c r="G12" s="108">
        <f t="shared" si="14"/>
        <v>146.59184810126581</v>
      </c>
      <c r="H12" s="102">
        <f>H25*$B$32/100/$B$33</f>
        <v>1.1933641782571671</v>
      </c>
      <c r="I12" s="107">
        <f t="shared" si="2"/>
        <v>0.39385618317721627</v>
      </c>
      <c r="J12" s="108">
        <f t="shared" si="3"/>
        <v>149.26231952662721</v>
      </c>
      <c r="K12" s="102">
        <f>K25*$B$32/100/$B$33</f>
        <v>0.98888220266818061</v>
      </c>
      <c r="L12" s="107">
        <f t="shared" si="5"/>
        <v>0.24141318951651058</v>
      </c>
      <c r="M12" s="108">
        <f t="shared" si="6"/>
        <v>132.297417721519</v>
      </c>
      <c r="N12" s="102">
        <f>N25*$B$32/100/$B$33</f>
        <v>0.40159523133692876</v>
      </c>
      <c r="O12" s="107">
        <f t="shared" si="8"/>
        <v>4.2066420664206849E-3</v>
      </c>
      <c r="P12" s="108">
        <f t="shared" si="9"/>
        <v>101.05857142857144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1.3094280442804427</v>
      </c>
      <c r="F13" s="107">
        <f t="shared" si="13"/>
        <v>0.56195903112877266</v>
      </c>
      <c r="G13" s="108">
        <f t="shared" si="14"/>
        <v>175.18158227848099</v>
      </c>
      <c r="H13" s="102">
        <f t="shared" ref="H13:H14" si="15">H26*$B$34/$B$33</f>
        <v>1.3718357933579335</v>
      </c>
      <c r="I13" s="107">
        <f t="shared" si="2"/>
        <v>0.57232779827798264</v>
      </c>
      <c r="J13" s="108">
        <f t="shared" si="3"/>
        <v>171.58499999999998</v>
      </c>
      <c r="K13" s="102">
        <f t="shared" ref="K13:K14" si="16">K26*$B$34/$B$33</f>
        <v>1.3094280442804427</v>
      </c>
      <c r="L13" s="107">
        <f t="shared" si="5"/>
        <v>0.56195903112877266</v>
      </c>
      <c r="M13" s="108">
        <f t="shared" si="6"/>
        <v>175.18158227848099</v>
      </c>
      <c r="N13" s="102">
        <f t="shared" ref="N13:N14" si="17">N26*$B$34/$B$33</f>
        <v>0.66379151291512906</v>
      </c>
      <c r="O13" s="107">
        <f t="shared" si="8"/>
        <v>0.26640292364462098</v>
      </c>
      <c r="P13" s="108">
        <f t="shared" si="9"/>
        <v>167.03839285714284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1.2651752767527675</v>
      </c>
      <c r="F14" s="107">
        <f t="shared" si="13"/>
        <v>0.5177062636010975</v>
      </c>
      <c r="G14" s="108">
        <f t="shared" si="14"/>
        <v>169.26123417721516</v>
      </c>
      <c r="H14" s="102">
        <f t="shared" si="15"/>
        <v>1.3434686346863467</v>
      </c>
      <c r="I14" s="107">
        <f t="shared" si="2"/>
        <v>0.54396063960639585</v>
      </c>
      <c r="J14" s="108">
        <f t="shared" si="3"/>
        <v>168.03692307692305</v>
      </c>
      <c r="K14" s="102">
        <f t="shared" si="16"/>
        <v>1.2311346863468635</v>
      </c>
      <c r="L14" s="107">
        <f t="shared" si="5"/>
        <v>0.48366567319519349</v>
      </c>
      <c r="M14" s="108">
        <f t="shared" si="6"/>
        <v>164.70712025316456</v>
      </c>
      <c r="N14" s="102">
        <f t="shared" si="17"/>
        <v>0.57755535055350549</v>
      </c>
      <c r="O14" s="107">
        <f t="shared" si="8"/>
        <v>0.18016676128299741</v>
      </c>
      <c r="P14" s="108">
        <f t="shared" si="9"/>
        <v>145.33767857142857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1.2540377519159807</v>
      </c>
      <c r="F15" s="119">
        <f t="shared" si="13"/>
        <v>0.50656873876431063</v>
      </c>
      <c r="G15" s="120">
        <f t="shared" si="14"/>
        <v>167.77120253164554</v>
      </c>
      <c r="H15" s="118">
        <f>H28*$B$35/10/$B$33</f>
        <v>1.3015591825149018</v>
      </c>
      <c r="I15" s="119">
        <f t="shared" si="2"/>
        <v>0.50205118743495092</v>
      </c>
      <c r="J15" s="120">
        <f t="shared" si="3"/>
        <v>162.79501775147924</v>
      </c>
      <c r="K15" s="118">
        <f>K28*$B$35/10/$B$33</f>
        <v>1.3464405336361056</v>
      </c>
      <c r="L15" s="119">
        <f t="shared" si="5"/>
        <v>0.59897152048443558</v>
      </c>
      <c r="M15" s="120">
        <f t="shared" si="6"/>
        <v>180.1332911392405</v>
      </c>
      <c r="N15" s="118">
        <f>N28*$B$35/10/$B$33</f>
        <v>0.55969684927618502</v>
      </c>
      <c r="O15" s="119">
        <f t="shared" si="8"/>
        <v>0.16230826000567694</v>
      </c>
      <c r="P15" s="120">
        <f t="shared" si="9"/>
        <v>140.84371428571427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1" t="s">
        <v>214</v>
      </c>
      <c r="X19" s="271" t="s">
        <v>214</v>
      </c>
    </row>
    <row r="20" spans="1:24" s="141" customFormat="1" ht="15.75" x14ac:dyDescent="0.25">
      <c r="A20" s="133" t="s">
        <v>185</v>
      </c>
      <c r="B20" s="134">
        <v>1.47</v>
      </c>
      <c r="C20" s="135" t="s">
        <v>172</v>
      </c>
      <c r="D20" s="136" t="s">
        <v>172</v>
      </c>
      <c r="E20" s="134">
        <v>1.58</v>
      </c>
      <c r="F20" s="135" t="s">
        <v>172</v>
      </c>
      <c r="G20" s="136" t="s">
        <v>172</v>
      </c>
      <c r="H20" s="134">
        <v>1.69</v>
      </c>
      <c r="I20" s="135" t="s">
        <v>172</v>
      </c>
      <c r="J20" s="136" t="s">
        <v>172</v>
      </c>
      <c r="K20" s="134">
        <v>1.58</v>
      </c>
      <c r="L20" s="135" t="s">
        <v>172</v>
      </c>
      <c r="M20" s="136" t="s">
        <v>172</v>
      </c>
      <c r="N20" s="134">
        <v>0.84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42.03</v>
      </c>
      <c r="C21" s="144" t="s">
        <v>172</v>
      </c>
      <c r="D21" s="145" t="s">
        <v>172</v>
      </c>
      <c r="E21" s="143">
        <v>45.81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46.66</v>
      </c>
      <c r="L21" s="144" t="s">
        <v>172</v>
      </c>
      <c r="M21" s="145" t="s">
        <v>172</v>
      </c>
      <c r="N21" s="143">
        <v>23.33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41.09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46.53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41.42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46.39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41.06</v>
      </c>
      <c r="C24" s="144" t="s">
        <v>172</v>
      </c>
      <c r="D24" s="145" t="s">
        <v>172</v>
      </c>
      <c r="E24" s="143">
        <v>43.82</v>
      </c>
      <c r="F24" s="144" t="s">
        <v>172</v>
      </c>
      <c r="G24" s="145" t="s">
        <v>172</v>
      </c>
      <c r="H24" s="143">
        <v>51.43</v>
      </c>
      <c r="I24" s="144" t="s">
        <v>172</v>
      </c>
      <c r="J24" s="145" t="s">
        <v>172</v>
      </c>
      <c r="K24" s="143">
        <v>46.56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29.74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1.1539999999999999</v>
      </c>
      <c r="F26" s="144" t="s">
        <v>172</v>
      </c>
      <c r="G26" s="145" t="s">
        <v>172</v>
      </c>
      <c r="H26" s="153">
        <v>1.2090000000000001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1.115</v>
      </c>
      <c r="F27" s="144" t="s">
        <v>172</v>
      </c>
      <c r="G27" s="145" t="s">
        <v>172</v>
      </c>
      <c r="H27" s="153">
        <v>1.1839999999999999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4.75</v>
      </c>
      <c r="F28" s="158" t="s">
        <v>172</v>
      </c>
      <c r="G28" s="159" t="s">
        <v>172</v>
      </c>
      <c r="H28" s="234">
        <v>4.93</v>
      </c>
      <c r="I28" s="158" t="s">
        <v>172</v>
      </c>
      <c r="J28" s="159" t="s">
        <v>172</v>
      </c>
      <c r="K28" s="234">
        <v>5.0999999999999996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7.7880000000000003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2.1137999999999999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2.3984999999999999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5.5805999999999996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3.2705000000000002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43549</v>
      </c>
      <c r="E2" s="493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0.70402435543716113</v>
      </c>
      <c r="C6" s="103" t="s">
        <v>172</v>
      </c>
      <c r="D6" s="104" t="s">
        <v>172</v>
      </c>
      <c r="E6" s="102">
        <f>E20/$B$33</f>
        <v>0.75635048996289611</v>
      </c>
      <c r="F6" s="103" t="s">
        <v>172</v>
      </c>
      <c r="G6" s="104" t="s">
        <v>172</v>
      </c>
      <c r="H6" s="102">
        <f>H20/$B$33</f>
        <v>0.80867662448863098</v>
      </c>
      <c r="I6" s="103" t="s">
        <v>172</v>
      </c>
      <c r="J6" s="104" t="s">
        <v>172</v>
      </c>
      <c r="K6" s="102">
        <f>K20/$B$33</f>
        <v>0.75635048996289611</v>
      </c>
      <c r="L6" s="103" t="s">
        <v>172</v>
      </c>
      <c r="M6" s="104" t="s">
        <v>172</v>
      </c>
      <c r="N6" s="102">
        <f>N20/$B$33</f>
        <v>0.40433831224431549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0.65738795547521633</v>
      </c>
      <c r="C7" s="107">
        <f>B7-B$6</f>
        <v>-4.6636399961944797E-2</v>
      </c>
      <c r="D7" s="108">
        <f>B7/B$6*100</f>
        <v>93.375740540540519</v>
      </c>
      <c r="E7" s="102">
        <f t="shared" ref="E7:E10" si="0">E21*$B$36/100/$B$33</f>
        <v>0.71700823898772725</v>
      </c>
      <c r="F7" s="107">
        <f>E7-E$6</f>
        <v>-3.9342250975168858E-2</v>
      </c>
      <c r="G7" s="108">
        <f>E7/E$6*100</f>
        <v>94.798410062893083</v>
      </c>
      <c r="H7" s="102">
        <f t="shared" ref="H7:H10" si="1">H21*$B$36/100/$B$33</f>
        <v>0.80213536295309684</v>
      </c>
      <c r="I7" s="107">
        <f t="shared" ref="I7:I15" si="2">H7-H$6</f>
        <v>-6.5412615355341375E-3</v>
      </c>
      <c r="J7" s="108">
        <f t="shared" ref="J7:J15" si="3">H7/H$6*100</f>
        <v>99.191115294117665</v>
      </c>
      <c r="K7" s="102">
        <f t="shared" ref="K7:K10" si="4">K21*$B$36/100/$B$33</f>
        <v>0.72999638473979644</v>
      </c>
      <c r="L7" s="107">
        <f t="shared" ref="L7:L15" si="5">K7-K$6</f>
        <v>-2.6354105223099666E-2</v>
      </c>
      <c r="M7" s="108">
        <f t="shared" ref="M7:M15" si="6">K7/K$6*100</f>
        <v>96.515622641509424</v>
      </c>
      <c r="N7" s="102">
        <f t="shared" ref="N7:N10" si="7">N21*$B$36/100/$B$33</f>
        <v>0.36742368946817622</v>
      </c>
      <c r="O7" s="107">
        <f t="shared" ref="O7:O15" si="8">N7-N$6</f>
        <v>-3.6914622776139272E-2</v>
      </c>
      <c r="P7" s="108">
        <f t="shared" ref="P7:P15" si="9">N7/N$6*100</f>
        <v>90.870362352941186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0.64299145656930845</v>
      </c>
      <c r="C8" s="107">
        <f t="shared" ref="C8:C12" si="11">B8-B$6</f>
        <v>-6.1032898867852681E-2</v>
      </c>
      <c r="D8" s="108">
        <f t="shared" ref="D8:D12" si="12">B8/B$6*100</f>
        <v>91.330854054054058</v>
      </c>
      <c r="E8" s="102">
        <f t="shared" si="0"/>
        <v>0.69103194748358865</v>
      </c>
      <c r="F8" s="107">
        <f t="shared" ref="F8:F15" si="13">E8-E$6</f>
        <v>-6.5318542479307462E-2</v>
      </c>
      <c r="G8" s="108">
        <f t="shared" ref="G8:G15" si="14">E8/E$6*100</f>
        <v>91.363984905660374</v>
      </c>
      <c r="H8" s="102">
        <f t="shared" si="1"/>
        <v>0.76520521358576721</v>
      </c>
      <c r="I8" s="107">
        <f t="shared" si="2"/>
        <v>-4.3471410902863772E-2</v>
      </c>
      <c r="J8" s="108">
        <f t="shared" si="3"/>
        <v>94.624376470588217</v>
      </c>
      <c r="K8" s="102">
        <f t="shared" si="4"/>
        <v>0.72608429264579966</v>
      </c>
      <c r="L8" s="107">
        <f t="shared" si="5"/>
        <v>-3.0266197317096455E-2</v>
      </c>
      <c r="M8" s="108">
        <f t="shared" si="6"/>
        <v>95.998389937106907</v>
      </c>
      <c r="N8" s="102">
        <f t="shared" si="7"/>
        <v>0.39027030729711737</v>
      </c>
      <c r="O8" s="107">
        <f t="shared" si="8"/>
        <v>-1.4068004947198121E-2</v>
      </c>
      <c r="P8" s="108">
        <f t="shared" si="9"/>
        <v>96.520734117647066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0.6479989344496242</v>
      </c>
      <c r="C9" s="107">
        <f t="shared" si="11"/>
        <v>-5.6025420987536934E-2</v>
      </c>
      <c r="D9" s="108">
        <f t="shared" si="12"/>
        <v>92.042118918918916</v>
      </c>
      <c r="E9" s="102">
        <f t="shared" si="0"/>
        <v>0.69869964798782236</v>
      </c>
      <c r="F9" s="107">
        <f t="shared" si="13"/>
        <v>-5.7650841975073752E-2</v>
      </c>
      <c r="G9" s="108">
        <f t="shared" si="14"/>
        <v>92.377761006289305</v>
      </c>
      <c r="H9" s="102">
        <f t="shared" si="1"/>
        <v>0.75738102939777396</v>
      </c>
      <c r="I9" s="107">
        <f t="shared" si="2"/>
        <v>-5.1295595090857016E-2</v>
      </c>
      <c r="J9" s="108">
        <f t="shared" si="3"/>
        <v>93.656847058823558</v>
      </c>
      <c r="K9" s="102">
        <f t="shared" si="4"/>
        <v>0.72420648844068136</v>
      </c>
      <c r="L9" s="107">
        <f t="shared" si="5"/>
        <v>-3.2144001522214749E-2</v>
      </c>
      <c r="M9" s="108">
        <f t="shared" si="6"/>
        <v>95.750118238993721</v>
      </c>
      <c r="N9" s="102">
        <f t="shared" si="7"/>
        <v>0.41937627247645332</v>
      </c>
      <c r="O9" s="107">
        <f t="shared" si="8"/>
        <v>1.5037960232137826E-2</v>
      </c>
      <c r="P9" s="108">
        <f t="shared" si="9"/>
        <v>103.71915294117649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0.64346090762058805</v>
      </c>
      <c r="C10" s="107">
        <f t="shared" si="11"/>
        <v>-6.0563447816573079E-2</v>
      </c>
      <c r="D10" s="108">
        <f t="shared" si="12"/>
        <v>91.397535135135143</v>
      </c>
      <c r="E10" s="102">
        <f t="shared" si="0"/>
        <v>0.68586798591951292</v>
      </c>
      <c r="F10" s="107">
        <f t="shared" si="13"/>
        <v>-7.0482504043383187E-2</v>
      </c>
      <c r="G10" s="108">
        <f t="shared" si="14"/>
        <v>90.681237735849052</v>
      </c>
      <c r="H10" s="102">
        <f t="shared" si="1"/>
        <v>0.80526503662829418</v>
      </c>
      <c r="I10" s="107">
        <f t="shared" si="2"/>
        <v>-3.4115878603367955E-3</v>
      </c>
      <c r="J10" s="108">
        <f t="shared" si="3"/>
        <v>99.578127058823526</v>
      </c>
      <c r="K10" s="102">
        <f t="shared" si="4"/>
        <v>0.72905748263723735</v>
      </c>
      <c r="L10" s="107">
        <f t="shared" si="5"/>
        <v>-2.7293007325658758E-2</v>
      </c>
      <c r="M10" s="108">
        <f t="shared" si="6"/>
        <v>96.391486792452838</v>
      </c>
      <c r="N10" s="102">
        <f t="shared" si="7"/>
        <v>0.37978590048520605</v>
      </c>
      <c r="O10" s="107">
        <f t="shared" si="8"/>
        <v>-2.4552411759109438E-2</v>
      </c>
      <c r="P10" s="108">
        <f t="shared" si="9"/>
        <v>93.927755294117659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0.64795981352868426</v>
      </c>
      <c r="C11" s="236">
        <f t="shared" si="11"/>
        <v>-5.6064541908476873E-2</v>
      </c>
      <c r="D11" s="237">
        <f t="shared" si="12"/>
        <v>92.036562162162156</v>
      </c>
      <c r="E11" s="235">
        <f>AVERAGE(E7:E10)</f>
        <v>0.69815195509466288</v>
      </c>
      <c r="F11" s="236">
        <f t="shared" si="13"/>
        <v>-5.8198534868233232E-2</v>
      </c>
      <c r="G11" s="237">
        <f t="shared" si="14"/>
        <v>92.305348427672968</v>
      </c>
      <c r="H11" s="235">
        <f>AVERAGE(H7:H10)</f>
        <v>0.78249666064123302</v>
      </c>
      <c r="I11" s="236">
        <f t="shared" si="2"/>
        <v>-2.6179963847397958E-2</v>
      </c>
      <c r="J11" s="237">
        <f t="shared" si="3"/>
        <v>96.762616470588242</v>
      </c>
      <c r="K11" s="235">
        <f>AVERAGE(K7:K10)</f>
        <v>0.7273361621158787</v>
      </c>
      <c r="L11" s="236">
        <f t="shared" si="5"/>
        <v>-2.9014327847017407E-2</v>
      </c>
      <c r="M11" s="237">
        <f t="shared" si="6"/>
        <v>96.163904402515726</v>
      </c>
      <c r="N11" s="235">
        <f>AVERAGE(N7:N10)</f>
        <v>0.38921404243173824</v>
      </c>
      <c r="O11" s="236">
        <f t="shared" si="8"/>
        <v>-1.5124269812577251E-2</v>
      </c>
      <c r="P11" s="237">
        <f t="shared" si="9"/>
        <v>96.259501176470593</v>
      </c>
      <c r="Q11" s="109"/>
    </row>
    <row r="12" spans="1:19" s="96" customFormat="1" ht="15.75" x14ac:dyDescent="0.25">
      <c r="A12" s="110" t="s">
        <v>24</v>
      </c>
      <c r="B12" s="102">
        <f>B25*$B$32/100/$B$33</f>
        <v>1.0395658024926266</v>
      </c>
      <c r="C12" s="107">
        <f t="shared" si="11"/>
        <v>0.33554144705546551</v>
      </c>
      <c r="D12" s="108">
        <f t="shared" si="12"/>
        <v>147.66048851351349</v>
      </c>
      <c r="E12" s="102">
        <f>E25*$B$32/100/$B$33</f>
        <v>1.1045618780325372</v>
      </c>
      <c r="F12" s="107">
        <f t="shared" si="13"/>
        <v>0.34821138806964114</v>
      </c>
      <c r="G12" s="108">
        <f t="shared" si="14"/>
        <v>146.03836352201253</v>
      </c>
      <c r="H12" s="102">
        <f>H25*$B$32/100/$B$33</f>
        <v>1.2029845067072593</v>
      </c>
      <c r="I12" s="107">
        <f t="shared" si="2"/>
        <v>0.39430788221862834</v>
      </c>
      <c r="J12" s="108">
        <f t="shared" si="3"/>
        <v>148.75964882352943</v>
      </c>
      <c r="K12" s="102">
        <f>K25*$B$32/100/$B$33</f>
        <v>0.99685409570925698</v>
      </c>
      <c r="L12" s="107">
        <f t="shared" si="5"/>
        <v>0.24050360574636087</v>
      </c>
      <c r="M12" s="108">
        <f t="shared" si="6"/>
        <v>131.79790440251571</v>
      </c>
      <c r="N12" s="102">
        <f>N25*$B$32/100/$B$33</f>
        <v>0.43788784606602604</v>
      </c>
      <c r="O12" s="107">
        <f t="shared" si="8"/>
        <v>3.3549533821710553E-2</v>
      </c>
      <c r="P12" s="108">
        <f t="shared" si="9"/>
        <v>108.29739176470588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1.3449118066787176</v>
      </c>
      <c r="F13" s="107">
        <f t="shared" si="13"/>
        <v>0.58856131671582146</v>
      </c>
      <c r="G13" s="108">
        <f t="shared" si="14"/>
        <v>177.81594968553458</v>
      </c>
      <c r="H13" s="102">
        <f t="shared" ref="H13:H14" si="15">H26*$B$34/$B$33</f>
        <v>1.4073865949957192</v>
      </c>
      <c r="I13" s="107">
        <f t="shared" si="2"/>
        <v>0.59870997050708818</v>
      </c>
      <c r="J13" s="108">
        <f t="shared" si="3"/>
        <v>174.03577058823535</v>
      </c>
      <c r="K13" s="102">
        <f t="shared" ref="K13:K14" si="16">K26*$B$34/$B$33</f>
        <v>1.3335527542574446</v>
      </c>
      <c r="L13" s="107">
        <f t="shared" si="5"/>
        <v>0.57720226429454846</v>
      </c>
      <c r="M13" s="108">
        <f t="shared" si="6"/>
        <v>176.31412578616349</v>
      </c>
      <c r="N13" s="102">
        <f t="shared" ref="N13:N14" si="17">N26*$B$34/$B$33</f>
        <v>0.66450456664446766</v>
      </c>
      <c r="O13" s="107">
        <f t="shared" si="8"/>
        <v>0.26016625440015217</v>
      </c>
      <c r="P13" s="108">
        <f t="shared" si="9"/>
        <v>164.34370588235291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1.2619907240034252</v>
      </c>
      <c r="F14" s="107">
        <f t="shared" si="13"/>
        <v>0.50564023404052905</v>
      </c>
      <c r="G14" s="108">
        <f t="shared" si="14"/>
        <v>166.85263522012579</v>
      </c>
      <c r="H14" s="102">
        <f t="shared" si="15"/>
        <v>1.3403681857102083</v>
      </c>
      <c r="I14" s="107">
        <f t="shared" si="2"/>
        <v>0.53169156122157735</v>
      </c>
      <c r="J14" s="108">
        <f t="shared" si="3"/>
        <v>165.74835294117648</v>
      </c>
      <c r="K14" s="102">
        <f t="shared" si="16"/>
        <v>1.2324571877081154</v>
      </c>
      <c r="L14" s="107">
        <f t="shared" si="5"/>
        <v>0.4761066977452193</v>
      </c>
      <c r="M14" s="108">
        <f t="shared" si="6"/>
        <v>162.94789308176101</v>
      </c>
      <c r="N14" s="102">
        <f t="shared" si="17"/>
        <v>0.57817576824279338</v>
      </c>
      <c r="O14" s="107">
        <f t="shared" si="8"/>
        <v>0.17383745599847789</v>
      </c>
      <c r="P14" s="108">
        <f t="shared" si="9"/>
        <v>142.99307058823533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1.251806440871468</v>
      </c>
      <c r="F15" s="119">
        <f t="shared" si="13"/>
        <v>0.49545595090857186</v>
      </c>
      <c r="G15" s="120">
        <f t="shared" si="14"/>
        <v>165.50613207547167</v>
      </c>
      <c r="H15" s="118">
        <f>H28*$B$35/10/$B$33</f>
        <v>1.2992433165255446</v>
      </c>
      <c r="I15" s="119">
        <f t="shared" si="2"/>
        <v>0.49056669203691361</v>
      </c>
      <c r="J15" s="120">
        <f t="shared" si="3"/>
        <v>160.66289999999998</v>
      </c>
      <c r="K15" s="118">
        <f>K28*$B$35/10/$B$33</f>
        <v>1.3440448101988394</v>
      </c>
      <c r="L15" s="119">
        <f t="shared" si="5"/>
        <v>0.58769432023594326</v>
      </c>
      <c r="M15" s="120">
        <f t="shared" si="6"/>
        <v>177.70132075471696</v>
      </c>
      <c r="N15" s="118">
        <f>N28*$B$35/10/$B$33</f>
        <v>0.55870097992579215</v>
      </c>
      <c r="O15" s="119">
        <f t="shared" si="8"/>
        <v>0.15436266768147666</v>
      </c>
      <c r="P15" s="120">
        <f t="shared" si="9"/>
        <v>138.17661176470591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1" t="s">
        <v>214</v>
      </c>
      <c r="X19" s="271" t="s">
        <v>214</v>
      </c>
    </row>
    <row r="20" spans="1:24" s="141" customFormat="1" ht="15.75" x14ac:dyDescent="0.25">
      <c r="A20" s="133" t="s">
        <v>185</v>
      </c>
      <c r="B20" s="134">
        <v>1.48</v>
      </c>
      <c r="C20" s="135" t="s">
        <v>172</v>
      </c>
      <c r="D20" s="136" t="s">
        <v>172</v>
      </c>
      <c r="E20" s="134">
        <v>1.59</v>
      </c>
      <c r="F20" s="135" t="s">
        <v>172</v>
      </c>
      <c r="G20" s="136" t="s">
        <v>172</v>
      </c>
      <c r="H20" s="134">
        <v>1.7</v>
      </c>
      <c r="I20" s="135" t="s">
        <v>172</v>
      </c>
      <c r="J20" s="136" t="s">
        <v>172</v>
      </c>
      <c r="K20" s="134">
        <v>1.59</v>
      </c>
      <c r="L20" s="135" t="s">
        <v>172</v>
      </c>
      <c r="M20" s="136" t="s">
        <v>172</v>
      </c>
      <c r="N20" s="134">
        <v>0.85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42.01</v>
      </c>
      <c r="C21" s="144" t="s">
        <v>172</v>
      </c>
      <c r="D21" s="145" t="s">
        <v>172</v>
      </c>
      <c r="E21" s="143">
        <v>45.82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46.65</v>
      </c>
      <c r="L21" s="144" t="s">
        <v>172</v>
      </c>
      <c r="M21" s="145" t="s">
        <v>172</v>
      </c>
      <c r="N21" s="143">
        <v>23.48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41.09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46.4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41.41</v>
      </c>
      <c r="C23" s="144" t="s">
        <v>172</v>
      </c>
      <c r="D23" s="145" t="s">
        <v>172</v>
      </c>
      <c r="E23" s="143">
        <v>44.65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46.28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41.12</v>
      </c>
      <c r="C24" s="144" t="s">
        <v>172</v>
      </c>
      <c r="D24" s="145" t="s">
        <v>172</v>
      </c>
      <c r="E24" s="143">
        <v>43.83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46.59</v>
      </c>
      <c r="L24" s="144" t="s">
        <v>172</v>
      </c>
      <c r="M24" s="145" t="s">
        <v>172</v>
      </c>
      <c r="N24" s="143">
        <v>24.27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29.74</v>
      </c>
      <c r="F25" s="144" t="s">
        <v>172</v>
      </c>
      <c r="G25" s="145" t="s">
        <v>172</v>
      </c>
      <c r="H25" s="143">
        <v>32.39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1.1839999999999999</v>
      </c>
      <c r="F26" s="144" t="s">
        <v>172</v>
      </c>
      <c r="G26" s="145" t="s">
        <v>172</v>
      </c>
      <c r="H26" s="153">
        <v>1.2390000000000001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1.111</v>
      </c>
      <c r="F27" s="144" t="s">
        <v>172</v>
      </c>
      <c r="G27" s="145" t="s">
        <v>172</v>
      </c>
      <c r="H27" s="153">
        <v>1.18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4.75</v>
      </c>
      <c r="F28" s="158" t="s">
        <v>172</v>
      </c>
      <c r="G28" s="159" t="s">
        <v>172</v>
      </c>
      <c r="H28" s="234">
        <v>4.93</v>
      </c>
      <c r="I28" s="158" t="s">
        <v>172</v>
      </c>
      <c r="J28" s="159" t="s">
        <v>172</v>
      </c>
      <c r="K28" s="234">
        <v>5.0999999999999996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7.8076999999999996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2.1021999999999998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2.3879000000000001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5.5400999999999998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3.2896000000000001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B2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43556</v>
      </c>
      <c r="E2" s="493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0.70002349072116521</v>
      </c>
      <c r="C6" s="103" t="s">
        <v>172</v>
      </c>
      <c r="D6" s="104" t="s">
        <v>172</v>
      </c>
      <c r="E6" s="102">
        <f>E20/$B$33</f>
        <v>0.75170307728447272</v>
      </c>
      <c r="F6" s="103" t="s">
        <v>172</v>
      </c>
      <c r="G6" s="104" t="s">
        <v>172</v>
      </c>
      <c r="H6" s="102">
        <f>H20/$B$33</f>
        <v>0.80338266384778012</v>
      </c>
      <c r="I6" s="103" t="s">
        <v>172</v>
      </c>
      <c r="J6" s="104" t="s">
        <v>172</v>
      </c>
      <c r="K6" s="102">
        <f>K20/$B$33</f>
        <v>0.75170307728447272</v>
      </c>
      <c r="L6" s="103" t="s">
        <v>172</v>
      </c>
      <c r="M6" s="104" t="s">
        <v>172</v>
      </c>
      <c r="N6" s="102">
        <f>N20/$B$33</f>
        <v>0.40404040404040409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0.64877176885130383</v>
      </c>
      <c r="C7" s="107">
        <f>B7-B$6</f>
        <v>-5.1251721869861377E-2</v>
      </c>
      <c r="D7" s="108">
        <f>B7/B$6*100</f>
        <v>92.678571140939596</v>
      </c>
      <c r="E7" s="102">
        <f t="shared" ref="E7:E10" si="0">E21*$B$36/100/$B$33</f>
        <v>0.7076106272022552</v>
      </c>
      <c r="F7" s="107">
        <f>E7-E$6</f>
        <v>-4.4092450082217516E-2</v>
      </c>
      <c r="G7" s="108">
        <f>E7/E$6*100</f>
        <v>94.134326250000001</v>
      </c>
      <c r="H7" s="102">
        <f t="shared" ref="H7:H10" si="1">H21*$B$36/100/$B$33</f>
        <v>0.79162201550387601</v>
      </c>
      <c r="I7" s="107">
        <f t="shared" ref="I7:I15" si="2">H7-H$6</f>
        <v>-1.1760648343904112E-2</v>
      </c>
      <c r="J7" s="108">
        <f t="shared" ref="J7:J15" si="3">H7/H$6*100</f>
        <v>98.536108771929833</v>
      </c>
      <c r="K7" s="102">
        <f t="shared" ref="K7:K10" si="4">K21*$B$36/100/$B$33</f>
        <v>0.72027410852713192</v>
      </c>
      <c r="L7" s="107">
        <f t="shared" ref="L7:L15" si="5">K7-K$6</f>
        <v>-3.1428968757340803E-2</v>
      </c>
      <c r="M7" s="108">
        <f t="shared" ref="M7:M15" si="6">K7/K$6*100</f>
        <v>95.818965000000006</v>
      </c>
      <c r="N7" s="102">
        <f t="shared" ref="N7:N10" si="7">N21*$B$36/100/$B$33</f>
        <v>0.35843829457364346</v>
      </c>
      <c r="O7" s="107">
        <f t="shared" ref="O7:O15" si="8">N7-N$6</f>
        <v>-4.5602109466760632E-2</v>
      </c>
      <c r="P7" s="108">
        <f t="shared" ref="P7:P15" si="9">N7/N$6*100</f>
        <v>88.713477906976749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0.63456396053558861</v>
      </c>
      <c r="C8" s="107">
        <f t="shared" ref="C8:C12" si="11">B8-B$6</f>
        <v>-6.5459530185576598E-2</v>
      </c>
      <c r="D8" s="108">
        <f t="shared" ref="D8:D12" si="12">B8/B$6*100</f>
        <v>90.648952348993305</v>
      </c>
      <c r="E8" s="102">
        <f t="shared" si="0"/>
        <v>0.68197479915433401</v>
      </c>
      <c r="F8" s="107">
        <f t="shared" ref="F8:F15" si="13">E8-E$6</f>
        <v>-6.972827813013871E-2</v>
      </c>
      <c r="G8" s="108">
        <f t="shared" ref="G8:G15" si="14">E8/E$6*100</f>
        <v>90.723959999999977</v>
      </c>
      <c r="H8" s="102">
        <f t="shared" si="1"/>
        <v>0.75517589852008471</v>
      </c>
      <c r="I8" s="107">
        <f t="shared" si="2"/>
        <v>-4.8206765327695411E-2</v>
      </c>
      <c r="J8" s="108">
        <f t="shared" si="3"/>
        <v>93.999526315789495</v>
      </c>
      <c r="K8" s="102">
        <f t="shared" si="4"/>
        <v>0.71718545454545457</v>
      </c>
      <c r="L8" s="107">
        <f t="shared" si="5"/>
        <v>-3.451762273901815E-2</v>
      </c>
      <c r="M8" s="108">
        <f t="shared" si="6"/>
        <v>95.40807749999999</v>
      </c>
      <c r="N8" s="102">
        <f t="shared" si="7"/>
        <v>0.38515515151515156</v>
      </c>
      <c r="O8" s="107">
        <f t="shared" si="8"/>
        <v>-1.8885252525252527E-2</v>
      </c>
      <c r="P8" s="108">
        <f t="shared" si="9"/>
        <v>95.32589999999999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0.63966023960535612</v>
      </c>
      <c r="C9" s="107">
        <f t="shared" si="11"/>
        <v>-6.0363251115809091E-2</v>
      </c>
      <c r="D9" s="108">
        <f t="shared" si="12"/>
        <v>91.376967785234925</v>
      </c>
      <c r="E9" s="102">
        <f t="shared" si="0"/>
        <v>0.6896964341085271</v>
      </c>
      <c r="F9" s="107">
        <f t="shared" si="13"/>
        <v>-6.2006643175945619E-2</v>
      </c>
      <c r="G9" s="108">
        <f t="shared" si="14"/>
        <v>91.75117874999998</v>
      </c>
      <c r="H9" s="102">
        <f t="shared" si="1"/>
        <v>0.74745426356589151</v>
      </c>
      <c r="I9" s="107">
        <f t="shared" si="2"/>
        <v>-5.5928400281888613E-2</v>
      </c>
      <c r="J9" s="108">
        <f t="shared" si="3"/>
        <v>93.03838596491228</v>
      </c>
      <c r="K9" s="102">
        <f t="shared" si="4"/>
        <v>0.69849909795630738</v>
      </c>
      <c r="L9" s="107">
        <f t="shared" si="5"/>
        <v>-5.3203979328165341E-2</v>
      </c>
      <c r="M9" s="108">
        <f t="shared" si="6"/>
        <v>92.922208125000012</v>
      </c>
      <c r="N9" s="102">
        <f t="shared" si="7"/>
        <v>0.41387963354474994</v>
      </c>
      <c r="O9" s="107">
        <f t="shared" si="8"/>
        <v>9.8392295043458478E-3</v>
      </c>
      <c r="P9" s="108">
        <f t="shared" si="9"/>
        <v>102.43520930232559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0.63950580690627201</v>
      </c>
      <c r="C10" s="107">
        <f t="shared" si="11"/>
        <v>-6.0517683814893197E-2</v>
      </c>
      <c r="D10" s="108">
        <f t="shared" si="12"/>
        <v>91.354906711409384</v>
      </c>
      <c r="E10" s="102">
        <f t="shared" si="0"/>
        <v>0.69000529950669487</v>
      </c>
      <c r="F10" s="107">
        <f t="shared" si="13"/>
        <v>-6.1697777777777851E-2</v>
      </c>
      <c r="G10" s="108">
        <f t="shared" si="14"/>
        <v>91.792267499999994</v>
      </c>
      <c r="H10" s="102">
        <f t="shared" si="1"/>
        <v>0.79471066948555324</v>
      </c>
      <c r="I10" s="107">
        <f t="shared" si="2"/>
        <v>-8.6719943622268758E-3</v>
      </c>
      <c r="J10" s="108">
        <f t="shared" si="3"/>
        <v>98.92056491228071</v>
      </c>
      <c r="K10" s="102">
        <f t="shared" si="4"/>
        <v>0.72753244538407325</v>
      </c>
      <c r="L10" s="107">
        <f t="shared" si="5"/>
        <v>-2.4170631900399475E-2</v>
      </c>
      <c r="M10" s="108">
        <f t="shared" si="6"/>
        <v>96.784550624999994</v>
      </c>
      <c r="N10" s="102">
        <f t="shared" si="7"/>
        <v>0.37480816067653278</v>
      </c>
      <c r="O10" s="107">
        <f t="shared" si="8"/>
        <v>-2.9232243363871313E-2</v>
      </c>
      <c r="P10" s="108">
        <f t="shared" si="9"/>
        <v>92.765019767441842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0.64062544397463017</v>
      </c>
      <c r="C11" s="236">
        <f t="shared" si="11"/>
        <v>-5.9398046746535038E-2</v>
      </c>
      <c r="D11" s="237">
        <f t="shared" si="12"/>
        <v>91.514849496644317</v>
      </c>
      <c r="E11" s="235">
        <f>AVERAGE(E7:E10)</f>
        <v>0.6923217899929528</v>
      </c>
      <c r="F11" s="236">
        <f t="shared" si="13"/>
        <v>-5.9381287291519924E-2</v>
      </c>
      <c r="G11" s="237">
        <f t="shared" si="14"/>
        <v>92.100433124999995</v>
      </c>
      <c r="H11" s="235">
        <f>AVERAGE(H7:H10)</f>
        <v>0.77224071176885145</v>
      </c>
      <c r="I11" s="236">
        <f t="shared" si="2"/>
        <v>-3.114195207892867E-2</v>
      </c>
      <c r="J11" s="237">
        <f t="shared" si="3"/>
        <v>96.123646491228087</v>
      </c>
      <c r="K11" s="235">
        <f>AVERAGE(K7:K10)</f>
        <v>0.71587277660324178</v>
      </c>
      <c r="L11" s="236">
        <f t="shared" si="5"/>
        <v>-3.5830300681230942E-2</v>
      </c>
      <c r="M11" s="237">
        <f t="shared" si="6"/>
        <v>95.233450312499997</v>
      </c>
      <c r="N11" s="235">
        <f>AVERAGE(N7:N10)</f>
        <v>0.3830703100775194</v>
      </c>
      <c r="O11" s="236">
        <f t="shared" si="8"/>
        <v>-2.0970093962884684E-2</v>
      </c>
      <c r="P11" s="237">
        <f t="shared" si="9"/>
        <v>94.80990174418605</v>
      </c>
      <c r="Q11" s="109"/>
    </row>
    <row r="12" spans="1:19" s="96" customFormat="1" ht="15.75" x14ac:dyDescent="0.25">
      <c r="A12" s="110" t="s">
        <v>24</v>
      </c>
      <c r="B12" s="102">
        <f>B25*$B$32/100/$B$33</f>
        <v>1.0295480761099367</v>
      </c>
      <c r="C12" s="107">
        <f t="shared" si="11"/>
        <v>0.3295245853887715</v>
      </c>
      <c r="D12" s="108">
        <f t="shared" si="12"/>
        <v>147.07336107382551</v>
      </c>
      <c r="E12" s="102">
        <f>E25*$B$32/100/$B$33</f>
        <v>1.093917820061076</v>
      </c>
      <c r="F12" s="107">
        <f t="shared" si="13"/>
        <v>0.34221474277660324</v>
      </c>
      <c r="G12" s="108">
        <f t="shared" si="14"/>
        <v>145.52525499999999</v>
      </c>
      <c r="H12" s="102">
        <f>H25*$B$32/100/$B$33</f>
        <v>1.2005876814658214</v>
      </c>
      <c r="I12" s="107">
        <f t="shared" si="2"/>
        <v>0.39720501761804128</v>
      </c>
      <c r="J12" s="108">
        <f t="shared" si="3"/>
        <v>149.44157192982462</v>
      </c>
      <c r="K12" s="102">
        <f>K25*$B$32/100/$B$33</f>
        <v>0.98724795865633097</v>
      </c>
      <c r="L12" s="107">
        <f t="shared" si="5"/>
        <v>0.23554488137185825</v>
      </c>
      <c r="M12" s="108">
        <f t="shared" si="6"/>
        <v>131.33483000000001</v>
      </c>
      <c r="N12" s="102">
        <f>N25*$B$32/100/$B$33</f>
        <v>0.46493346488137194</v>
      </c>
      <c r="O12" s="107">
        <f t="shared" si="8"/>
        <v>6.089306084096785E-2</v>
      </c>
      <c r="P12" s="108">
        <f t="shared" si="9"/>
        <v>115.07103255813954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1.3176267794221284</v>
      </c>
      <c r="F13" s="107">
        <f t="shared" si="13"/>
        <v>0.56592370213765564</v>
      </c>
      <c r="G13" s="108">
        <f t="shared" si="14"/>
        <v>175.2855375</v>
      </c>
      <c r="H13" s="102">
        <f t="shared" ref="H13:H14" si="15">H26*$B$34/$B$33</f>
        <v>1.3793554615926711</v>
      </c>
      <c r="I13" s="107">
        <f t="shared" si="2"/>
        <v>0.57597279774489096</v>
      </c>
      <c r="J13" s="108">
        <f t="shared" si="3"/>
        <v>171.69345614035089</v>
      </c>
      <c r="K13" s="102">
        <f t="shared" ref="K13:K14" si="16">K26*$B$34/$B$33</f>
        <v>1.3064033826638479</v>
      </c>
      <c r="L13" s="107">
        <f t="shared" si="5"/>
        <v>0.5547003053793752</v>
      </c>
      <c r="M13" s="108">
        <f t="shared" si="6"/>
        <v>173.792475</v>
      </c>
      <c r="N13" s="102">
        <f t="shared" ref="N13:N14" si="17">N26*$B$34/$B$33</f>
        <v>0.65656871035940811</v>
      </c>
      <c r="O13" s="107">
        <f t="shared" si="8"/>
        <v>0.25252830631900403</v>
      </c>
      <c r="P13" s="108">
        <f t="shared" si="9"/>
        <v>162.5007558139535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1.2727331923890064</v>
      </c>
      <c r="F14" s="107">
        <f t="shared" si="13"/>
        <v>0.52103011510453368</v>
      </c>
      <c r="G14" s="108">
        <f t="shared" si="14"/>
        <v>169.3132875</v>
      </c>
      <c r="H14" s="102">
        <f t="shared" si="15"/>
        <v>1.3512969696969697</v>
      </c>
      <c r="I14" s="107">
        <f t="shared" si="2"/>
        <v>0.54791430584918954</v>
      </c>
      <c r="J14" s="108">
        <f t="shared" si="3"/>
        <v>168.20091228070174</v>
      </c>
      <c r="K14" s="102">
        <f t="shared" si="16"/>
        <v>1.2211055673009164</v>
      </c>
      <c r="L14" s="107">
        <f t="shared" si="5"/>
        <v>0.46940249001644363</v>
      </c>
      <c r="M14" s="108">
        <f t="shared" si="6"/>
        <v>162.4452</v>
      </c>
      <c r="N14" s="102">
        <f t="shared" si="17"/>
        <v>0.57239323467230452</v>
      </c>
      <c r="O14" s="107">
        <f t="shared" si="8"/>
        <v>0.16835283063190043</v>
      </c>
      <c r="P14" s="108">
        <f t="shared" si="9"/>
        <v>141.66732558139535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1.2850889828517738</v>
      </c>
      <c r="F15" s="119">
        <f t="shared" si="13"/>
        <v>0.53338590556730103</v>
      </c>
      <c r="G15" s="120">
        <f t="shared" si="14"/>
        <v>170.95699375000001</v>
      </c>
      <c r="H15" s="118">
        <f>H28*$B$35/10/$B$33</f>
        <v>1.3450424242424244</v>
      </c>
      <c r="I15" s="119">
        <f t="shared" si="2"/>
        <v>0.54165976039464425</v>
      </c>
      <c r="J15" s="120">
        <f t="shared" si="3"/>
        <v>167.42238596491231</v>
      </c>
      <c r="K15" s="118">
        <f>K28*$B$35/10/$B$33</f>
        <v>1.33200906741837</v>
      </c>
      <c r="L15" s="119">
        <f t="shared" si="5"/>
        <v>0.58030599013389728</v>
      </c>
      <c r="M15" s="120">
        <f t="shared" si="6"/>
        <v>177.19883125000001</v>
      </c>
      <c r="N15" s="118">
        <f>N28*$B$35/10/$B$33</f>
        <v>0.55522100070472169</v>
      </c>
      <c r="O15" s="119">
        <f t="shared" si="8"/>
        <v>0.1511805966643176</v>
      </c>
      <c r="P15" s="120">
        <f t="shared" si="9"/>
        <v>137.41719767441859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3" t="s">
        <v>214</v>
      </c>
      <c r="X19" s="273" t="s">
        <v>214</v>
      </c>
    </row>
    <row r="20" spans="1:24" s="141" customFormat="1" ht="15.75" x14ac:dyDescent="0.25">
      <c r="A20" s="133" t="s">
        <v>185</v>
      </c>
      <c r="B20" s="134">
        <v>1.49</v>
      </c>
      <c r="C20" s="135" t="s">
        <v>172</v>
      </c>
      <c r="D20" s="136" t="s">
        <v>172</v>
      </c>
      <c r="E20" s="134">
        <v>1.6</v>
      </c>
      <c r="F20" s="135" t="s">
        <v>172</v>
      </c>
      <c r="G20" s="136" t="s">
        <v>172</v>
      </c>
      <c r="H20" s="134">
        <v>1.71</v>
      </c>
      <c r="I20" s="135" t="s">
        <v>172</v>
      </c>
      <c r="J20" s="136" t="s">
        <v>172</v>
      </c>
      <c r="K20" s="134">
        <v>1.6</v>
      </c>
      <c r="L20" s="135" t="s">
        <v>172</v>
      </c>
      <c r="M20" s="136" t="s">
        <v>172</v>
      </c>
      <c r="N20" s="134">
        <v>0.86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42.01</v>
      </c>
      <c r="C21" s="144" t="s">
        <v>172</v>
      </c>
      <c r="D21" s="145" t="s">
        <v>172</v>
      </c>
      <c r="E21" s="143">
        <v>45.82</v>
      </c>
      <c r="F21" s="144" t="s">
        <v>172</v>
      </c>
      <c r="G21" s="145" t="s">
        <v>172</v>
      </c>
      <c r="H21" s="143">
        <v>51.26</v>
      </c>
      <c r="I21" s="144" t="s">
        <v>172</v>
      </c>
      <c r="J21" s="145" t="s">
        <v>172</v>
      </c>
      <c r="K21" s="143">
        <v>46.64</v>
      </c>
      <c r="L21" s="144" t="s">
        <v>172</v>
      </c>
      <c r="M21" s="145" t="s">
        <v>172</v>
      </c>
      <c r="N21" s="143">
        <v>23.21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41.09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46.44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41.42</v>
      </c>
      <c r="C23" s="144" t="s">
        <v>172</v>
      </c>
      <c r="D23" s="145" t="s">
        <v>172</v>
      </c>
      <c r="E23" s="143">
        <v>44.66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45.23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41.41</v>
      </c>
      <c r="C24" s="144" t="s">
        <v>172</v>
      </c>
      <c r="D24" s="145" t="s">
        <v>172</v>
      </c>
      <c r="E24" s="143">
        <v>44.68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47.11</v>
      </c>
      <c r="L24" s="144" t="s">
        <v>172</v>
      </c>
      <c r="M24" s="145" t="s">
        <v>172</v>
      </c>
      <c r="N24" s="143">
        <v>24.27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29.74</v>
      </c>
      <c r="F25" s="144" t="s">
        <v>172</v>
      </c>
      <c r="G25" s="145" t="s">
        <v>172</v>
      </c>
      <c r="H25" s="143">
        <v>32.64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12.64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1.1639999999999999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1.1339999999999999</v>
      </c>
      <c r="F27" s="144" t="s">
        <v>172</v>
      </c>
      <c r="G27" s="145" t="s">
        <v>172</v>
      </c>
      <c r="H27" s="153">
        <v>1.204</v>
      </c>
      <c r="I27" s="144" t="s">
        <v>172</v>
      </c>
      <c r="J27" s="145" t="s">
        <v>172</v>
      </c>
      <c r="K27" s="153">
        <v>1.0880000000000001</v>
      </c>
      <c r="L27" s="144" t="s">
        <v>172</v>
      </c>
      <c r="M27" s="145" t="s">
        <v>172</v>
      </c>
      <c r="N27" s="153">
        <v>0.51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4.93</v>
      </c>
      <c r="F28" s="158" t="s">
        <v>172</v>
      </c>
      <c r="G28" s="159" t="s">
        <v>172</v>
      </c>
      <c r="H28" s="234">
        <v>5.16</v>
      </c>
      <c r="I28" s="158" t="s">
        <v>172</v>
      </c>
      <c r="J28" s="159" t="s">
        <v>172</v>
      </c>
      <c r="K28" s="234">
        <v>5.1100000000000003</v>
      </c>
      <c r="L28" s="158" t="s">
        <v>172</v>
      </c>
      <c r="M28" s="159" t="s">
        <v>172</v>
      </c>
      <c r="N28" s="234">
        <v>2.13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7.8292000000000002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2.1284999999999998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2.3889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5.5483000000000002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3.2871000000000001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S26" r:id="rId8"/>
    <hyperlink ref="S25" r:id="rId9"/>
    <hyperlink ref="T26" r:id="rId10"/>
    <hyperlink ref="U26" r:id="rId11"/>
    <hyperlink ref="U27" r:id="rId12"/>
    <hyperlink ref="U28" r:id="rId13"/>
    <hyperlink ref="V25" r:id="rId14"/>
    <hyperlink ref="V26" r:id="rId15"/>
    <hyperlink ref="V27" r:id="rId16"/>
    <hyperlink ref="V28" r:id="rId17"/>
    <hyperlink ref="W25" r:id="rId18"/>
    <hyperlink ref="W26" r:id="rId19"/>
    <hyperlink ref="W27" r:id="rId20"/>
    <hyperlink ref="W28" r:id="rId21"/>
    <hyperlink ref="R25" r:id="rId22"/>
    <hyperlink ref="Q24" r:id="rId23"/>
    <hyperlink ref="Q25" r:id="rId24"/>
    <hyperlink ref="Q21" r:id="rId25"/>
    <hyperlink ref="Q22" r:id="rId26"/>
    <hyperlink ref="Q23" r:id="rId27"/>
    <hyperlink ref="S27" r:id="rId28" location=".WOOTMl7SnSs" display="http://autotraveler.ru/latvia/#.WOOTMl7SnSs"/>
    <hyperlink ref="O23" r:id="rId29" display="www.benzin-price.ru/price.php?region_id=32"/>
    <hyperlink ref="P12" r:id="rId30" display="www.nbrb.by"/>
    <hyperlink ref="R23" r:id="rId31"/>
    <hyperlink ref="R22" r:id="rId32" display="http://natrakte.ru/"/>
    <hyperlink ref="S28" r:id="rId33" location=".Vs2LGH2LRkg" display="http://autotraveler.ru/lithuania/#.Vs2LGH2LRkg"/>
    <hyperlink ref="Q27" r:id="rId34" display="http://www.fuel-prices-europe.info/"/>
    <hyperlink ref="O29" r:id="rId35" display="www.e-petrol.ru/rynek-krajowy/ceny-stacje-paliw"/>
    <hyperlink ref="B78" r:id="rId36" display="http://www.lukoil.lt/ru/avtozapravochnye_stancii_azs_/karta_azs?filterID=65"/>
    <hyperlink ref="B74" r:id="rId37" display="http://www.lukoil.lt/ru/avtozapravochnye_stancii_azs_/karta_azs?filterID=86,87,111"/>
    <hyperlink ref="B71" r:id="rId38" display="http://www.lukoil.lt/ru/avtozapravochnye_stancii_azs_/karta_azs?filterID=67"/>
    <hyperlink ref="B67" r:id="rId39" display="http://www.lukoil.lt/ru/avtozapravochnye_stancii_azs_/karta_azs?filterID=22,77,104,110,117,118,119"/>
    <hyperlink ref="B63" r:id="rId40" display="http://www.lukoil.lt/ru/avtozapravochnye_stancii_azs_/karta_azs?filterID=32,87"/>
    <hyperlink ref="B60" r:id="rId41" display="http://www.lukoil.lt/ru/avtozapravochnye_stancii_azs_/karta_azs?filterID=33"/>
    <hyperlink ref="B57" r:id="rId42" display="http://www.lukoil.lt/ru/avtozapravochnye_stancii_azs_/karta_azs?filterID=54"/>
    <hyperlink ref="B54" r:id="rId43" display="http://www.lukoil.lt/ru/avtozapravochnye_stancii_azs_/karta_azs?filterID=67"/>
    <hyperlink ref="B51" r:id="rId44" display="http://www.lukoil.lt/ru/avtozapravochnye_stancii_azs_/karta_azs?filterID=65"/>
    <hyperlink ref="O28" r:id="rId45" display="www.lukoil.lt/ru/osnovnaja_stranica"/>
    <hyperlink ref="O27" r:id="rId46" display="www.lukoil.lv/lv/galvena_lapa"/>
    <hyperlink ref="O26" r:id="rId47" display="www.vseazs.com/"/>
    <hyperlink ref="M43" r:id="rId48" display="http://www.benzin-price.ru/price.php?region_id=60&amp;sort=11&amp;brand_id=0&amp;price_mode="/>
    <hyperlink ref="L43" r:id="rId49" display="http://www.benzin-price.ru/price.php?region_id=60&amp;sort=10&amp;brand_id=0&amp;price_mode="/>
    <hyperlink ref="K43" r:id="rId50" display="http://www.benzin-price.ru/price.php?region_id=60&amp;sort=9&amp;brand_id=0&amp;price_mode="/>
    <hyperlink ref="J43" r:id="rId51" display="http://www.benzin-price.ru/price.php?region_id=60&amp;sort=8&amp;brand_id=0&amp;price_mode="/>
    <hyperlink ref="I43" r:id="rId52" display="http://www.benzin-price.ru/price.php?region_id=60&amp;sort=7&amp;brand_id=0&amp;price_mode="/>
    <hyperlink ref="H43" r:id="rId53" display="http://www.benzin-price.ru/price.php?region_id=60&amp;sort=6&amp;brand_id=0&amp;price_mode="/>
    <hyperlink ref="G43" r:id="rId54" display="http://www.benzin-price.ru/price.php?region_id=60&amp;sort=5&amp;brand_id=0&amp;price_mode="/>
    <hyperlink ref="E43" r:id="rId55" display="http://www.benzin-price.ru/price.php?region_id=60&amp;sort=3&amp;brand_id=0&amp;price_mode="/>
    <hyperlink ref="D43" r:id="rId56" display="http://www.benzin-price.ru/price.php?region_id=60&amp;sort=2&amp;brand_id=0&amp;price_mode="/>
    <hyperlink ref="C43" r:id="rId57" display="http://www.benzin-price.ru/price.php?region_id=60&amp;sort=1&amp;brand_id=0&amp;price_mode="/>
    <hyperlink ref="O25" r:id="rId58" display="www.benzin-price.ru/price.php?region_id=60"/>
    <hyperlink ref="O24" r:id="rId59" display="www.benzin-price.ru/price.php?region_id=67"/>
    <hyperlink ref="O22" r:id="rId60" display="www.benzin-price.ru/price.php?region_id=77"/>
    <hyperlink ref="O21" r:id="rId61" display="www.belorusneft.by/sitebeloil/ru/center/azs/"/>
    <hyperlink ref="Q29" r:id="rId62" location=".VyhQfdKLTcs" display="http://autotraveler.ru/poland/#.VyhQfdKLTcs"/>
    <hyperlink ref="S23" r:id="rId63"/>
    <hyperlink ref="T23" r:id="rId64"/>
    <hyperlink ref="R21" r:id="rId65"/>
    <hyperlink ref="T25" r:id="rId66"/>
    <hyperlink ref="X26" r:id="rId67"/>
    <hyperlink ref="X27" r:id="rId68"/>
    <hyperlink ref="X28" r:id="rId69"/>
  </hyperlinks>
  <pageMargins left="0.7" right="0.7" top="0.75" bottom="0.75" header="0.3" footer="0.3"/>
  <pageSetup paperSize="9" orientation="portrait" r:id="rId70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A4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43563</v>
      </c>
      <c r="E2" s="493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0.70044361428904967</v>
      </c>
      <c r="C6" s="103" t="s">
        <v>172</v>
      </c>
      <c r="D6" s="104" t="s">
        <v>172</v>
      </c>
      <c r="E6" s="102">
        <f>E20/$B$33</f>
        <v>0.75180947933691333</v>
      </c>
      <c r="F6" s="103" t="s">
        <v>172</v>
      </c>
      <c r="G6" s="104" t="s">
        <v>172</v>
      </c>
      <c r="H6" s="102">
        <f>H20/$B$33</f>
        <v>0.80317534438477689</v>
      </c>
      <c r="I6" s="103" t="s">
        <v>172</v>
      </c>
      <c r="J6" s="104" t="s">
        <v>172</v>
      </c>
      <c r="K6" s="102">
        <f>K20/$B$33</f>
        <v>0.75180947933691333</v>
      </c>
      <c r="L6" s="103" t="s">
        <v>172</v>
      </c>
      <c r="M6" s="104" t="s">
        <v>172</v>
      </c>
      <c r="N6" s="102">
        <f>N20/$B$33</f>
        <v>0.40625729628764878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0.64249492411860842</v>
      </c>
      <c r="C7" s="107">
        <f>B7-B$6</f>
        <v>-5.7948690170441242E-2</v>
      </c>
      <c r="D7" s="108">
        <f>B7/B$6*100</f>
        <v>91.726858666666672</v>
      </c>
      <c r="E7" s="102">
        <f t="shared" ref="E7:E10" si="0">E21*$B$36/100/$B$33</f>
        <v>0.70044484706981092</v>
      </c>
      <c r="F7" s="107">
        <f>E7-E$6</f>
        <v>-5.1364632267102417E-2</v>
      </c>
      <c r="G7" s="108">
        <f>E7/E$6*100</f>
        <v>93.167865838509329</v>
      </c>
      <c r="H7" s="102">
        <f t="shared" ref="H7:H10" si="1">H21*$B$36/100/$B$33</f>
        <v>0.778424954471165</v>
      </c>
      <c r="I7" s="107">
        <f t="shared" ref="I7:I15" si="2">H7-H$6</f>
        <v>-2.4750389913611892E-2</v>
      </c>
      <c r="J7" s="108">
        <f t="shared" ref="J7:J15" si="3">H7/H$6*100</f>
        <v>96.918432558139543</v>
      </c>
      <c r="K7" s="102">
        <f t="shared" ref="K7:K10" si="4">K21*$B$36/100/$B$33</f>
        <v>0.71237121643707679</v>
      </c>
      <c r="L7" s="107">
        <f t="shared" ref="L7:L15" si="5">K7-K$6</f>
        <v>-3.943826289983654E-2</v>
      </c>
      <c r="M7" s="108">
        <f t="shared" ref="M7:M15" si="6">K7/K$6*100</f>
        <v>94.754221118012424</v>
      </c>
      <c r="N7" s="102">
        <f t="shared" ref="N7:N10" si="7">N21*$B$36/100/$B$33</f>
        <v>0.35565045061872519</v>
      </c>
      <c r="O7" s="107">
        <f t="shared" ref="O7:O15" si="8">N7-N$6</f>
        <v>-5.0606845668923595E-2</v>
      </c>
      <c r="P7" s="108">
        <f t="shared" ref="P7:P15" si="9">N7/N$6*100</f>
        <v>87.543154022988517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0.6282750221807144</v>
      </c>
      <c r="C8" s="107">
        <f t="shared" ref="C8:C12" si="11">B8-B$6</f>
        <v>-7.2168592108335261E-2</v>
      </c>
      <c r="D8" s="108">
        <f t="shared" ref="D8:D12" si="12">B8/B$6*100</f>
        <v>89.696730666666667</v>
      </c>
      <c r="E8" s="102">
        <f t="shared" si="0"/>
        <v>0.67521598879290201</v>
      </c>
      <c r="F8" s="107">
        <f t="shared" ref="F8:F15" si="13">E8-E$6</f>
        <v>-7.6593490544011322E-2</v>
      </c>
      <c r="G8" s="108">
        <f t="shared" ref="G8:G15" si="14">E8/E$6*100</f>
        <v>89.812114285714273</v>
      </c>
      <c r="H8" s="102">
        <f t="shared" si="1"/>
        <v>0.74769161802474893</v>
      </c>
      <c r="I8" s="107">
        <f t="shared" si="2"/>
        <v>-5.5483726360027963E-2</v>
      </c>
      <c r="J8" s="108">
        <f t="shared" si="3"/>
        <v>93.091953488372098</v>
      </c>
      <c r="K8" s="102">
        <f t="shared" si="4"/>
        <v>0.69341134718655151</v>
      </c>
      <c r="L8" s="107">
        <f t="shared" si="5"/>
        <v>-5.8398132150361826E-2</v>
      </c>
      <c r="M8" s="108">
        <f t="shared" si="6"/>
        <v>92.232322981366465</v>
      </c>
      <c r="N8" s="102">
        <f t="shared" si="7"/>
        <v>0.38133801540975948</v>
      </c>
      <c r="O8" s="107">
        <f t="shared" si="8"/>
        <v>-2.4919280877889305E-2</v>
      </c>
      <c r="P8" s="108">
        <f t="shared" si="9"/>
        <v>93.866133333333337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0.63148596777959365</v>
      </c>
      <c r="C9" s="107">
        <f t="shared" si="11"/>
        <v>-6.8957646509456016E-2</v>
      </c>
      <c r="D9" s="108">
        <f t="shared" si="12"/>
        <v>90.155146666666667</v>
      </c>
      <c r="E9" s="102">
        <f t="shared" si="0"/>
        <v>0.68041466261965911</v>
      </c>
      <c r="F9" s="107">
        <f t="shared" si="13"/>
        <v>-7.1394816717254228E-2</v>
      </c>
      <c r="G9" s="108">
        <f t="shared" si="14"/>
        <v>90.503602484472054</v>
      </c>
      <c r="H9" s="102">
        <f t="shared" si="1"/>
        <v>0.7400465094559886</v>
      </c>
      <c r="I9" s="107">
        <f t="shared" si="2"/>
        <v>-6.3128834928788291E-2</v>
      </c>
      <c r="J9" s="108">
        <f t="shared" si="3"/>
        <v>92.140093023255815</v>
      </c>
      <c r="K9" s="102">
        <f t="shared" si="4"/>
        <v>0.687142358160168</v>
      </c>
      <c r="L9" s="107">
        <f t="shared" si="5"/>
        <v>-6.4667121176745335E-2</v>
      </c>
      <c r="M9" s="108">
        <f t="shared" si="6"/>
        <v>91.398469565217383</v>
      </c>
      <c r="N9" s="102">
        <f t="shared" si="7"/>
        <v>0.40977781928554752</v>
      </c>
      <c r="O9" s="107">
        <f t="shared" si="8"/>
        <v>3.520522997898734E-3</v>
      </c>
      <c r="P9" s="108">
        <f t="shared" si="9"/>
        <v>100.86657471264368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0.62919243520896562</v>
      </c>
      <c r="C10" s="107">
        <f t="shared" si="11"/>
        <v>-7.1251179080084048E-2</v>
      </c>
      <c r="D10" s="108">
        <f t="shared" si="12"/>
        <v>89.827706666666657</v>
      </c>
      <c r="E10" s="102">
        <f t="shared" si="0"/>
        <v>0.67139343450852185</v>
      </c>
      <c r="F10" s="107">
        <f t="shared" si="13"/>
        <v>-8.0416044828391486E-2</v>
      </c>
      <c r="G10" s="108">
        <f t="shared" si="14"/>
        <v>89.303667080745313</v>
      </c>
      <c r="H10" s="102">
        <f t="shared" si="1"/>
        <v>0.78683457389680123</v>
      </c>
      <c r="I10" s="107">
        <f t="shared" si="2"/>
        <v>-1.6340770487975664E-2</v>
      </c>
      <c r="J10" s="108">
        <f t="shared" si="3"/>
        <v>97.96547906976744</v>
      </c>
      <c r="K10" s="102">
        <f t="shared" si="4"/>
        <v>0.70105645575531161</v>
      </c>
      <c r="L10" s="107">
        <f t="shared" si="5"/>
        <v>-5.0753023581601719E-2</v>
      </c>
      <c r="M10" s="108">
        <f t="shared" si="6"/>
        <v>93.249217391304342</v>
      </c>
      <c r="N10" s="102">
        <f t="shared" si="7"/>
        <v>0.35396852673359785</v>
      </c>
      <c r="O10" s="107">
        <f t="shared" si="8"/>
        <v>-5.2288769554050929E-2</v>
      </c>
      <c r="P10" s="108">
        <f t="shared" si="9"/>
        <v>87.129149425287338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0.63286208732197058</v>
      </c>
      <c r="C11" s="236">
        <f t="shared" si="11"/>
        <v>-6.7581526967079086E-2</v>
      </c>
      <c r="D11" s="237">
        <f t="shared" si="12"/>
        <v>90.351610666666673</v>
      </c>
      <c r="E11" s="235">
        <f>AVERAGE(E7:E10)</f>
        <v>0.68186723324772347</v>
      </c>
      <c r="F11" s="236">
        <f t="shared" si="13"/>
        <v>-6.9942246089189863E-2</v>
      </c>
      <c r="G11" s="237">
        <f t="shared" si="14"/>
        <v>90.696812422360239</v>
      </c>
      <c r="H11" s="235">
        <f>AVERAGE(H7:H10)</f>
        <v>0.76324941396217594</v>
      </c>
      <c r="I11" s="236">
        <f t="shared" si="2"/>
        <v>-3.9925930422600953E-2</v>
      </c>
      <c r="J11" s="237">
        <f t="shared" si="3"/>
        <v>95.028989534883721</v>
      </c>
      <c r="K11" s="235">
        <f>AVERAGE(K7:K10)</f>
        <v>0.69849534438477701</v>
      </c>
      <c r="L11" s="236">
        <f t="shared" si="5"/>
        <v>-5.3314134952136327E-2</v>
      </c>
      <c r="M11" s="237">
        <f t="shared" si="6"/>
        <v>92.908557763975168</v>
      </c>
      <c r="N11" s="235">
        <f>AVERAGE(N7:N10)</f>
        <v>0.37518370301190751</v>
      </c>
      <c r="O11" s="236">
        <f t="shared" si="8"/>
        <v>-3.1073593275741274E-2</v>
      </c>
      <c r="P11" s="237">
        <f t="shared" si="9"/>
        <v>92.351252873563226</v>
      </c>
      <c r="Q11" s="109"/>
    </row>
    <row r="12" spans="1:19" s="96" customFormat="1" ht="15.75" x14ac:dyDescent="0.25">
      <c r="A12" s="110" t="s">
        <v>24</v>
      </c>
      <c r="B12" s="102">
        <f>B25*$B$32/100/$B$33</f>
        <v>1.0496478729862244</v>
      </c>
      <c r="C12" s="107">
        <f t="shared" si="11"/>
        <v>0.34920425869717475</v>
      </c>
      <c r="D12" s="108">
        <f t="shared" si="12"/>
        <v>149.85472799999999</v>
      </c>
      <c r="E12" s="102">
        <f>E25*$B$32/100/$B$33</f>
        <v>1.1208994256362361</v>
      </c>
      <c r="F12" s="107">
        <f t="shared" si="13"/>
        <v>0.36908994629932279</v>
      </c>
      <c r="G12" s="108">
        <f t="shared" si="14"/>
        <v>149.09354782608693</v>
      </c>
      <c r="H12" s="102">
        <f>H25*$B$32/100/$B$33</f>
        <v>1.2352769180480969</v>
      </c>
      <c r="I12" s="107">
        <f t="shared" si="2"/>
        <v>0.43210157366332003</v>
      </c>
      <c r="J12" s="108">
        <f t="shared" si="3"/>
        <v>153.79915813953488</v>
      </c>
      <c r="K12" s="102">
        <f>K25*$B$32/100/$B$33</f>
        <v>1.0065219332243753</v>
      </c>
      <c r="L12" s="107">
        <f t="shared" si="5"/>
        <v>0.254712453887462</v>
      </c>
      <c r="M12" s="108">
        <f t="shared" si="6"/>
        <v>133.87992049689441</v>
      </c>
      <c r="N12" s="102">
        <f>N25*$B$32/100/$B$33</f>
        <v>0.48376054167639498</v>
      </c>
      <c r="O12" s="107">
        <f t="shared" si="8"/>
        <v>7.75032453887462E-2</v>
      </c>
      <c r="P12" s="108">
        <f t="shared" si="9"/>
        <v>119.07737931034484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1.3629226243287413</v>
      </c>
      <c r="F13" s="107">
        <f t="shared" si="13"/>
        <v>0.61111314499182801</v>
      </c>
      <c r="G13" s="108">
        <f t="shared" si="14"/>
        <v>181.28563975155279</v>
      </c>
      <c r="H13" s="102">
        <f t="shared" ref="H13:H14" si="15">H26*$B$34/$B$33</f>
        <v>1.4246695307027781</v>
      </c>
      <c r="I13" s="107">
        <f t="shared" si="2"/>
        <v>0.62149418631800124</v>
      </c>
      <c r="J13" s="108">
        <f t="shared" si="3"/>
        <v>177.37963953488372</v>
      </c>
      <c r="K13" s="102">
        <f t="shared" ref="K13:K14" si="16">K26*$B$34/$B$33</f>
        <v>1.3180157833294417</v>
      </c>
      <c r="L13" s="107">
        <f t="shared" si="5"/>
        <v>0.56620630399252836</v>
      </c>
      <c r="M13" s="108">
        <f t="shared" si="6"/>
        <v>175.3124720496894</v>
      </c>
      <c r="N13" s="102">
        <f t="shared" ref="N13:N14" si="17">N26*$B$34/$B$33</f>
        <v>0.65676254961475589</v>
      </c>
      <c r="O13" s="107">
        <f t="shared" si="8"/>
        <v>0.2505052533271071</v>
      </c>
      <c r="P13" s="108">
        <f t="shared" si="9"/>
        <v>161.66172413793103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1.2775996264300722</v>
      </c>
      <c r="F14" s="107">
        <f t="shared" si="13"/>
        <v>0.52579014709315886</v>
      </c>
      <c r="G14" s="108">
        <f t="shared" si="14"/>
        <v>169.9366211180124</v>
      </c>
      <c r="H14" s="102">
        <f t="shared" si="15"/>
        <v>1.3640452953537239</v>
      </c>
      <c r="I14" s="107">
        <f t="shared" si="2"/>
        <v>0.56086995096894698</v>
      </c>
      <c r="J14" s="108">
        <f t="shared" si="3"/>
        <v>169.83156976744186</v>
      </c>
      <c r="K14" s="102">
        <f t="shared" si="16"/>
        <v>1.2180980621060002</v>
      </c>
      <c r="L14" s="107">
        <f t="shared" si="5"/>
        <v>0.46628858276908691</v>
      </c>
      <c r="M14" s="108">
        <f t="shared" si="6"/>
        <v>162.02217391304345</v>
      </c>
      <c r="N14" s="102">
        <f t="shared" si="17"/>
        <v>0.57256222274106927</v>
      </c>
      <c r="O14" s="107">
        <f t="shared" si="8"/>
        <v>0.16630492645342049</v>
      </c>
      <c r="P14" s="108">
        <f t="shared" si="9"/>
        <v>140.93586206896552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1.3107881858510388</v>
      </c>
      <c r="F15" s="119">
        <f t="shared" si="13"/>
        <v>0.55897870651412551</v>
      </c>
      <c r="G15" s="120">
        <f t="shared" si="14"/>
        <v>174.35111180124224</v>
      </c>
      <c r="H15" s="118">
        <f>H28*$B$35/10/$B$33</f>
        <v>1.3578823721690403</v>
      </c>
      <c r="I15" s="119">
        <f t="shared" si="2"/>
        <v>0.5547070277842634</v>
      </c>
      <c r="J15" s="120">
        <f t="shared" si="3"/>
        <v>169.06425000000002</v>
      </c>
      <c r="K15" s="118">
        <f>K28*$B$35/10/$B$33</f>
        <v>1.3395679663787063</v>
      </c>
      <c r="L15" s="119">
        <f t="shared" si="5"/>
        <v>0.58775848704179301</v>
      </c>
      <c r="M15" s="120">
        <f t="shared" si="6"/>
        <v>178.17918012422359</v>
      </c>
      <c r="N15" s="118">
        <f>N28*$B$35/10/$B$33</f>
        <v>0.56513023581601673</v>
      </c>
      <c r="O15" s="119">
        <f t="shared" si="8"/>
        <v>0.15887293952836795</v>
      </c>
      <c r="P15" s="120">
        <f t="shared" si="9"/>
        <v>139.1064827586207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7" t="s">
        <v>214</v>
      </c>
      <c r="X19" s="277" t="s">
        <v>214</v>
      </c>
    </row>
    <row r="20" spans="1:24" s="141" customFormat="1" ht="15.75" x14ac:dyDescent="0.25">
      <c r="A20" s="133" t="s">
        <v>185</v>
      </c>
      <c r="B20" s="134">
        <v>1.5</v>
      </c>
      <c r="C20" s="135" t="s">
        <v>172</v>
      </c>
      <c r="D20" s="136" t="s">
        <v>172</v>
      </c>
      <c r="E20" s="134">
        <v>1.61</v>
      </c>
      <c r="F20" s="135" t="s">
        <v>172</v>
      </c>
      <c r="G20" s="136" t="s">
        <v>172</v>
      </c>
      <c r="H20" s="134">
        <v>1.72</v>
      </c>
      <c r="I20" s="135" t="s">
        <v>172</v>
      </c>
      <c r="J20" s="136" t="s">
        <v>172</v>
      </c>
      <c r="K20" s="134">
        <v>1.61</v>
      </c>
      <c r="L20" s="135" t="s">
        <v>172</v>
      </c>
      <c r="M20" s="136" t="s">
        <v>172</v>
      </c>
      <c r="N20" s="134">
        <v>0.87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42.02</v>
      </c>
      <c r="C21" s="144" t="s">
        <v>172</v>
      </c>
      <c r="D21" s="145" t="s">
        <v>172</v>
      </c>
      <c r="E21" s="143">
        <v>45.81</v>
      </c>
      <c r="F21" s="144" t="s">
        <v>172</v>
      </c>
      <c r="G21" s="145" t="s">
        <v>172</v>
      </c>
      <c r="H21" s="143">
        <v>50.91</v>
      </c>
      <c r="I21" s="144" t="s">
        <v>172</v>
      </c>
      <c r="J21" s="145" t="s">
        <v>172</v>
      </c>
      <c r="K21" s="143">
        <v>46.59</v>
      </c>
      <c r="L21" s="144" t="s">
        <v>172</v>
      </c>
      <c r="M21" s="145" t="s">
        <v>172</v>
      </c>
      <c r="N21" s="143">
        <v>23.26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41.09</v>
      </c>
      <c r="C22" s="144" t="s">
        <v>172</v>
      </c>
      <c r="D22" s="145" t="s">
        <v>172</v>
      </c>
      <c r="E22" s="143">
        <v>44.16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45.35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41.3</v>
      </c>
      <c r="C23" s="144" t="s">
        <v>172</v>
      </c>
      <c r="D23" s="145" t="s">
        <v>172</v>
      </c>
      <c r="E23" s="143">
        <v>44.5</v>
      </c>
      <c r="F23" s="144" t="s">
        <v>172</v>
      </c>
      <c r="G23" s="145" t="s">
        <v>172</v>
      </c>
      <c r="H23" s="143">
        <v>48.4</v>
      </c>
      <c r="I23" s="144" t="s">
        <v>172</v>
      </c>
      <c r="J23" s="145" t="s">
        <v>172</v>
      </c>
      <c r="K23" s="143">
        <v>44.94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41.15</v>
      </c>
      <c r="C24" s="144" t="s">
        <v>172</v>
      </c>
      <c r="D24" s="145" t="s">
        <v>172</v>
      </c>
      <c r="E24" s="143">
        <v>43.91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45.85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29.89</v>
      </c>
      <c r="F25" s="144" t="s">
        <v>172</v>
      </c>
      <c r="G25" s="145" t="s">
        <v>172</v>
      </c>
      <c r="H25" s="143">
        <v>32.94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1.214</v>
      </c>
      <c r="F26" s="144" t="s">
        <v>172</v>
      </c>
      <c r="G26" s="145" t="s">
        <v>172</v>
      </c>
      <c r="H26" s="153">
        <v>1.2689999999999999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1.1379999999999999</v>
      </c>
      <c r="F27" s="144" t="s">
        <v>172</v>
      </c>
      <c r="G27" s="145" t="s">
        <v>172</v>
      </c>
      <c r="H27" s="153">
        <v>1.2150000000000001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5.01</v>
      </c>
      <c r="F28" s="158" t="s">
        <v>172</v>
      </c>
      <c r="G28" s="159" t="s">
        <v>172</v>
      </c>
      <c r="H28" s="234">
        <v>5.19</v>
      </c>
      <c r="I28" s="158" t="s">
        <v>172</v>
      </c>
      <c r="J28" s="159" t="s">
        <v>172</v>
      </c>
      <c r="K28" s="234">
        <v>5.12</v>
      </c>
      <c r="L28" s="158" t="s">
        <v>172</v>
      </c>
      <c r="M28" s="159" t="s">
        <v>172</v>
      </c>
      <c r="N28" s="234">
        <v>2.16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8.0307999999999993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2.1415000000000002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2.4041999999999999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5.6029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3.2744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43570</v>
      </c>
      <c r="E2" s="493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0.7145899389522502</v>
      </c>
      <c r="C6" s="103" t="s">
        <v>172</v>
      </c>
      <c r="D6" s="104" t="s">
        <v>172</v>
      </c>
      <c r="E6" s="102">
        <f>E20/$B$33</f>
        <v>0.7666461596706261</v>
      </c>
      <c r="F6" s="103" t="s">
        <v>172</v>
      </c>
      <c r="G6" s="104" t="s">
        <v>172</v>
      </c>
      <c r="H6" s="102">
        <f>H20/$B$33</f>
        <v>0.81870238038900189</v>
      </c>
      <c r="I6" s="103" t="s">
        <v>172</v>
      </c>
      <c r="J6" s="104" t="s">
        <v>172</v>
      </c>
      <c r="K6" s="102">
        <f>K20/$B$33</f>
        <v>0.7666461596706261</v>
      </c>
      <c r="L6" s="103" t="s">
        <v>172</v>
      </c>
      <c r="M6" s="104" t="s">
        <v>172</v>
      </c>
      <c r="N6" s="102">
        <f>N20/$B$33</f>
        <v>0.4117173820453362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0.6492271733472148</v>
      </c>
      <c r="C7" s="107">
        <f>B7-B$6</f>
        <v>-6.53627656050354E-2</v>
      </c>
      <c r="D7" s="108">
        <f>B7/B$6*100</f>
        <v>90.853108609271501</v>
      </c>
      <c r="E7" s="102">
        <f t="shared" ref="E7:E10" si="0">E21*$B$36/100/$B$33</f>
        <v>0.70871255501396047</v>
      </c>
      <c r="F7" s="107">
        <f>E7-E$6</f>
        <v>-5.7933604656665638E-2</v>
      </c>
      <c r="G7" s="108">
        <f>E7/E$6*100</f>
        <v>92.443240740740734</v>
      </c>
      <c r="H7" s="102">
        <f t="shared" ref="H7:H10" si="1">H21*$B$36/100/$B$33</f>
        <v>0.78926567602101172</v>
      </c>
      <c r="I7" s="107">
        <f t="shared" ref="I7:I15" si="2">H7-H$6</f>
        <v>-2.9436704367990174E-2</v>
      </c>
      <c r="J7" s="108">
        <f t="shared" ref="J7:J15" si="3">H7/H$6*100</f>
        <v>96.404468208092482</v>
      </c>
      <c r="K7" s="102">
        <f t="shared" ref="K7:K10" si="4">K21*$B$36/100/$B$33</f>
        <v>0.72157007240547055</v>
      </c>
      <c r="L7" s="107">
        <f t="shared" ref="L7:L15" si="5">K7-K$6</f>
        <v>-4.5076087265155551E-2</v>
      </c>
      <c r="M7" s="108">
        <f t="shared" ref="M7:M15" si="6">K7/K$6*100</f>
        <v>94.12035308641974</v>
      </c>
      <c r="N7" s="102">
        <f t="shared" ref="N7:N10" si="7">N21*$B$36/100/$B$33</f>
        <v>0.36372832331645444</v>
      </c>
      <c r="O7" s="107">
        <f t="shared" ref="O7:O15" si="8">N7-N$6</f>
        <v>-4.7989058728881762E-2</v>
      </c>
      <c r="P7" s="108">
        <f t="shared" ref="P7:P15" si="9">N7/N$6*100</f>
        <v>88.344174712643678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0.6362147461076143</v>
      </c>
      <c r="C8" s="107">
        <f t="shared" ref="C8:C12" si="11">B8-B$6</f>
        <v>-7.8375192844635899E-2</v>
      </c>
      <c r="D8" s="108">
        <f t="shared" ref="D8:D12" si="12">B8/B$6*100</f>
        <v>89.032144370860919</v>
      </c>
      <c r="E8" s="102">
        <f t="shared" si="0"/>
        <v>0.68377206947139269</v>
      </c>
      <c r="F8" s="107">
        <f t="shared" ref="F8:F15" si="13">E8-E$6</f>
        <v>-8.2874090199233419E-2</v>
      </c>
      <c r="G8" s="108">
        <f t="shared" ref="G8:G15" si="14">E8/E$6*100</f>
        <v>89.190046913580233</v>
      </c>
      <c r="H8" s="102">
        <f t="shared" si="1"/>
        <v>0.75750915716246259</v>
      </c>
      <c r="I8" s="107">
        <f t="shared" si="2"/>
        <v>-6.1193223226539306E-2</v>
      </c>
      <c r="J8" s="108">
        <f t="shared" si="3"/>
        <v>92.525583815028895</v>
      </c>
      <c r="K8" s="102">
        <f t="shared" si="4"/>
        <v>0.70189652169797923</v>
      </c>
      <c r="L8" s="107">
        <f t="shared" si="5"/>
        <v>-6.4749637972646878E-2</v>
      </c>
      <c r="M8" s="108">
        <f t="shared" si="6"/>
        <v>91.554169135802468</v>
      </c>
      <c r="N8" s="102">
        <f t="shared" si="7"/>
        <v>0.38634516113766504</v>
      </c>
      <c r="O8" s="107">
        <f t="shared" si="8"/>
        <v>-2.5372220907671161E-2</v>
      </c>
      <c r="P8" s="108">
        <f t="shared" si="9"/>
        <v>93.837466666666671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0.64194641048696222</v>
      </c>
      <c r="C9" s="107">
        <f t="shared" si="11"/>
        <v>-7.2643528465287988E-2</v>
      </c>
      <c r="D9" s="108">
        <f t="shared" si="12"/>
        <v>89.834235761589397</v>
      </c>
      <c r="E9" s="102">
        <f t="shared" si="0"/>
        <v>0.69213720126827882</v>
      </c>
      <c r="F9" s="107">
        <f t="shared" si="13"/>
        <v>-7.4508958402347281E-2</v>
      </c>
      <c r="G9" s="108">
        <f t="shared" si="14"/>
        <v>90.281180246913578</v>
      </c>
      <c r="H9" s="102">
        <f t="shared" si="1"/>
        <v>0.75022839430221</v>
      </c>
      <c r="I9" s="107">
        <f t="shared" si="2"/>
        <v>-6.8473986086791894E-2</v>
      </c>
      <c r="J9" s="108">
        <f t="shared" si="3"/>
        <v>91.636278612716765</v>
      </c>
      <c r="K9" s="102">
        <f t="shared" si="4"/>
        <v>0.69229211111636924</v>
      </c>
      <c r="L9" s="107">
        <f t="shared" si="5"/>
        <v>-7.4354048554256869E-2</v>
      </c>
      <c r="M9" s="108">
        <f t="shared" si="6"/>
        <v>90.301386419753072</v>
      </c>
      <c r="N9" s="102">
        <f t="shared" si="7"/>
        <v>0.4151583928824949</v>
      </c>
      <c r="O9" s="107">
        <f t="shared" si="8"/>
        <v>3.4410108371586978E-3</v>
      </c>
      <c r="P9" s="108">
        <f t="shared" si="9"/>
        <v>100.83577011494253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0.63807366428470014</v>
      </c>
      <c r="C10" s="107">
        <f t="shared" si="11"/>
        <v>-7.6516274667550066E-2</v>
      </c>
      <c r="D10" s="108">
        <f t="shared" si="12"/>
        <v>89.292282119205296</v>
      </c>
      <c r="E10" s="102">
        <f t="shared" si="0"/>
        <v>0.68020914296531154</v>
      </c>
      <c r="F10" s="107">
        <f t="shared" si="13"/>
        <v>-8.6437016705314562E-2</v>
      </c>
      <c r="G10" s="108">
        <f t="shared" si="14"/>
        <v>88.725304938271591</v>
      </c>
      <c r="H10" s="102">
        <f t="shared" si="1"/>
        <v>0.7971660782736264</v>
      </c>
      <c r="I10" s="107">
        <f t="shared" si="2"/>
        <v>-2.1536302115375494E-2</v>
      </c>
      <c r="J10" s="108">
        <f t="shared" si="3"/>
        <v>97.369458959537567</v>
      </c>
      <c r="K10" s="102">
        <f t="shared" si="4"/>
        <v>0.72265444134210388</v>
      </c>
      <c r="L10" s="107">
        <f t="shared" si="5"/>
        <v>-4.3991718328522222E-2</v>
      </c>
      <c r="M10" s="108">
        <f t="shared" si="6"/>
        <v>94.261796296296268</v>
      </c>
      <c r="N10" s="102">
        <f t="shared" si="7"/>
        <v>0.35861629832946851</v>
      </c>
      <c r="O10" s="107">
        <f t="shared" si="8"/>
        <v>-5.3101083715867692E-2</v>
      </c>
      <c r="P10" s="108">
        <f t="shared" si="9"/>
        <v>87.102540229885051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0.64136549855662284</v>
      </c>
      <c r="C11" s="236">
        <f t="shared" si="11"/>
        <v>-7.3224440395627366E-2</v>
      </c>
      <c r="D11" s="237">
        <f t="shared" si="12"/>
        <v>89.752942715231782</v>
      </c>
      <c r="E11" s="235">
        <f>AVERAGE(E7:E10)</f>
        <v>0.69120774217973591</v>
      </c>
      <c r="F11" s="236">
        <f t="shared" si="13"/>
        <v>-7.5438417490890197E-2</v>
      </c>
      <c r="G11" s="237">
        <f t="shared" si="14"/>
        <v>90.159943209876531</v>
      </c>
      <c r="H11" s="235">
        <f>AVERAGE(H7:H10)</f>
        <v>0.77354232643982768</v>
      </c>
      <c r="I11" s="236">
        <f t="shared" si="2"/>
        <v>-4.5160053949174217E-2</v>
      </c>
      <c r="J11" s="237">
        <f t="shared" si="3"/>
        <v>94.483947398843924</v>
      </c>
      <c r="K11" s="235">
        <f>AVERAGE(K7:K10)</f>
        <v>0.70960328664048067</v>
      </c>
      <c r="L11" s="236">
        <f t="shared" si="5"/>
        <v>-5.7042873030145436E-2</v>
      </c>
      <c r="M11" s="237">
        <f t="shared" si="6"/>
        <v>92.55942623456788</v>
      </c>
      <c r="N11" s="235">
        <f>AVERAGE(N7:N10)</f>
        <v>0.38096204391652072</v>
      </c>
      <c r="O11" s="236">
        <f t="shared" si="8"/>
        <v>-3.0755338128815479E-2</v>
      </c>
      <c r="P11" s="237">
        <f t="shared" si="9"/>
        <v>92.529987931034483</v>
      </c>
      <c r="Q11" s="109"/>
    </row>
    <row r="12" spans="1:19" s="96" customFormat="1" ht="15.75" x14ac:dyDescent="0.25">
      <c r="A12" s="110" t="s">
        <v>24</v>
      </c>
      <c r="B12" s="102">
        <f>B25*$B$32/100/$B$33</f>
        <v>1.0475950593914154</v>
      </c>
      <c r="C12" s="107">
        <f t="shared" si="11"/>
        <v>0.33300512043916519</v>
      </c>
      <c r="D12" s="108">
        <f t="shared" si="12"/>
        <v>146.60086887417219</v>
      </c>
      <c r="E12" s="102">
        <f>E25*$B$32/100/$B$33</f>
        <v>1.1209529127821682</v>
      </c>
      <c r="F12" s="107">
        <f t="shared" si="13"/>
        <v>0.35430675311154214</v>
      </c>
      <c r="G12" s="108">
        <f t="shared" si="14"/>
        <v>146.21516049382714</v>
      </c>
      <c r="H12" s="102">
        <f>H25*$B$32/100/$B$33</f>
        <v>1.2403465619232408</v>
      </c>
      <c r="I12" s="107">
        <f t="shared" si="2"/>
        <v>0.42164418153423888</v>
      </c>
      <c r="J12" s="108">
        <f t="shared" si="3"/>
        <v>151.50152138728325</v>
      </c>
      <c r="K12" s="102">
        <f>K25*$B$32/100/$B$33</f>
        <v>1.0045534617386778</v>
      </c>
      <c r="L12" s="107">
        <f t="shared" si="5"/>
        <v>0.23790730206805166</v>
      </c>
      <c r="M12" s="108">
        <f t="shared" si="6"/>
        <v>131.03221728395062</v>
      </c>
      <c r="N12" s="102">
        <f>N25*$B$32/100/$B$33</f>
        <v>0.49741115896076854</v>
      </c>
      <c r="O12" s="107">
        <f t="shared" si="8"/>
        <v>8.569377691543234E-2</v>
      </c>
      <c r="P12" s="108">
        <f t="shared" si="9"/>
        <v>120.8137379310345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1.3921407410912876</v>
      </c>
      <c r="F13" s="107">
        <f t="shared" si="13"/>
        <v>0.6254945814206615</v>
      </c>
      <c r="G13" s="108">
        <f t="shared" si="14"/>
        <v>181.58843209876542</v>
      </c>
      <c r="H13" s="102">
        <f t="shared" ref="H13:H14" si="15">H26*$B$34/$B$33</f>
        <v>1.4541891533765556</v>
      </c>
      <c r="I13" s="107">
        <f t="shared" si="2"/>
        <v>0.63548677298755374</v>
      </c>
      <c r="J13" s="108">
        <f t="shared" si="3"/>
        <v>177.6212196531792</v>
      </c>
      <c r="K13" s="102">
        <f t="shared" ref="K13:K14" si="16">K26*$B$34/$B$33</f>
        <v>1.3470146230656381</v>
      </c>
      <c r="L13" s="107">
        <f t="shared" si="5"/>
        <v>0.58036846339501202</v>
      </c>
      <c r="M13" s="108">
        <f t="shared" si="6"/>
        <v>175.70225925925925</v>
      </c>
      <c r="N13" s="102">
        <f t="shared" ref="N13:N14" si="17">N26*$B$34/$B$33</f>
        <v>0.65996947612512413</v>
      </c>
      <c r="O13" s="107">
        <f t="shared" si="8"/>
        <v>0.24825209407978793</v>
      </c>
      <c r="P13" s="108">
        <f t="shared" si="9"/>
        <v>160.29672413793102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1.3267078699540957</v>
      </c>
      <c r="F14" s="107">
        <f t="shared" si="13"/>
        <v>0.56006171028346963</v>
      </c>
      <c r="G14" s="108">
        <f t="shared" si="14"/>
        <v>173.05348148148144</v>
      </c>
      <c r="H14" s="102">
        <f t="shared" si="15"/>
        <v>1.4045504235483413</v>
      </c>
      <c r="I14" s="107">
        <f t="shared" si="2"/>
        <v>0.58584804315933936</v>
      </c>
      <c r="J14" s="108">
        <f t="shared" si="3"/>
        <v>171.55812138728322</v>
      </c>
      <c r="K14" s="102">
        <f t="shared" si="16"/>
        <v>1.2240459514457431</v>
      </c>
      <c r="L14" s="107">
        <f t="shared" si="5"/>
        <v>0.45739979177511703</v>
      </c>
      <c r="M14" s="108">
        <f t="shared" si="6"/>
        <v>159.66243827160494</v>
      </c>
      <c r="N14" s="102">
        <f t="shared" si="17"/>
        <v>0.57535800482703137</v>
      </c>
      <c r="O14" s="107">
        <f t="shared" si="8"/>
        <v>0.16364062278169517</v>
      </c>
      <c r="P14" s="108">
        <f t="shared" si="9"/>
        <v>139.74586206896552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1.3496171974823716</v>
      </c>
      <c r="F15" s="119">
        <f t="shared" si="13"/>
        <v>0.58297103781174553</v>
      </c>
      <c r="G15" s="120">
        <f t="shared" si="14"/>
        <v>176.04173456790119</v>
      </c>
      <c r="H15" s="118">
        <f>H28*$B$35/10/$B$33</f>
        <v>1.4026473427665516</v>
      </c>
      <c r="I15" s="119">
        <f t="shared" si="2"/>
        <v>0.58394496237754967</v>
      </c>
      <c r="J15" s="120">
        <f t="shared" si="3"/>
        <v>171.32567052023123</v>
      </c>
      <c r="K15" s="118">
        <f>K28*$B$35/10/$B$33</f>
        <v>1.3681777483318345</v>
      </c>
      <c r="L15" s="119">
        <f t="shared" si="5"/>
        <v>0.60153158866120837</v>
      </c>
      <c r="M15" s="120">
        <f t="shared" si="6"/>
        <v>178.46274074074071</v>
      </c>
      <c r="N15" s="118">
        <f>N28*$B$35/10/$B$33</f>
        <v>0.57007406180493103</v>
      </c>
      <c r="O15" s="119">
        <f t="shared" si="8"/>
        <v>0.15835667975959483</v>
      </c>
      <c r="P15" s="120">
        <f t="shared" si="9"/>
        <v>138.46247126436779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7" t="s">
        <v>214</v>
      </c>
      <c r="X19" s="277" t="s">
        <v>214</v>
      </c>
    </row>
    <row r="20" spans="1:24" s="141" customFormat="1" ht="15.75" x14ac:dyDescent="0.25">
      <c r="A20" s="133" t="s">
        <v>185</v>
      </c>
      <c r="B20" s="134">
        <v>1.51</v>
      </c>
      <c r="C20" s="135" t="s">
        <v>172</v>
      </c>
      <c r="D20" s="136" t="s">
        <v>172</v>
      </c>
      <c r="E20" s="134">
        <v>1.62</v>
      </c>
      <c r="F20" s="135" t="s">
        <v>172</v>
      </c>
      <c r="G20" s="136" t="s">
        <v>172</v>
      </c>
      <c r="H20" s="134">
        <v>1.73</v>
      </c>
      <c r="I20" s="135" t="s">
        <v>172</v>
      </c>
      <c r="J20" s="136" t="s">
        <v>172</v>
      </c>
      <c r="K20" s="134">
        <v>1.62</v>
      </c>
      <c r="L20" s="135" t="s">
        <v>172</v>
      </c>
      <c r="M20" s="136" t="s">
        <v>172</v>
      </c>
      <c r="N20" s="134">
        <v>0.87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41.91</v>
      </c>
      <c r="C21" s="144" t="s">
        <v>172</v>
      </c>
      <c r="D21" s="145" t="s">
        <v>172</v>
      </c>
      <c r="E21" s="143">
        <v>45.75</v>
      </c>
      <c r="F21" s="144" t="s">
        <v>172</v>
      </c>
      <c r="G21" s="145" t="s">
        <v>172</v>
      </c>
      <c r="H21" s="143">
        <v>50.95</v>
      </c>
      <c r="I21" s="144" t="s">
        <v>172</v>
      </c>
      <c r="J21" s="145" t="s">
        <v>172</v>
      </c>
      <c r="K21" s="143">
        <v>46.58</v>
      </c>
      <c r="L21" s="144" t="s">
        <v>172</v>
      </c>
      <c r="M21" s="145" t="s">
        <v>172</v>
      </c>
      <c r="N21" s="143">
        <v>23.48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41.07</v>
      </c>
      <c r="C22" s="144" t="s">
        <v>172</v>
      </c>
      <c r="D22" s="145" t="s">
        <v>172</v>
      </c>
      <c r="E22" s="143">
        <v>44.14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45.31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41.44</v>
      </c>
      <c r="C23" s="144" t="s">
        <v>172</v>
      </c>
      <c r="D23" s="145" t="s">
        <v>172</v>
      </c>
      <c r="E23" s="143">
        <v>44.68</v>
      </c>
      <c r="F23" s="144" t="s">
        <v>172</v>
      </c>
      <c r="G23" s="145" t="s">
        <v>172</v>
      </c>
      <c r="H23" s="143">
        <v>48.43</v>
      </c>
      <c r="I23" s="144" t="s">
        <v>172</v>
      </c>
      <c r="J23" s="145" t="s">
        <v>172</v>
      </c>
      <c r="K23" s="143">
        <v>44.69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41.19</v>
      </c>
      <c r="C24" s="144" t="s">
        <v>172</v>
      </c>
      <c r="D24" s="145" t="s">
        <v>172</v>
      </c>
      <c r="E24" s="143">
        <v>43.91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46.65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33.14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1.2889999999999999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1.1759999999999999</v>
      </c>
      <c r="F27" s="144" t="s">
        <v>172</v>
      </c>
      <c r="G27" s="145" t="s">
        <v>172</v>
      </c>
      <c r="H27" s="153">
        <v>1.2450000000000001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5.09</v>
      </c>
      <c r="F28" s="158" t="s">
        <v>172</v>
      </c>
      <c r="G28" s="159" t="s">
        <v>172</v>
      </c>
      <c r="H28" s="234">
        <v>5.29</v>
      </c>
      <c r="I28" s="158" t="s">
        <v>172</v>
      </c>
      <c r="J28" s="159" t="s">
        <v>172</v>
      </c>
      <c r="K28" s="234">
        <v>5.16</v>
      </c>
      <c r="L28" s="158" t="s">
        <v>172</v>
      </c>
      <c r="M28" s="159" t="s">
        <v>172</v>
      </c>
      <c r="N28" s="234">
        <v>2.15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7.9088000000000003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2.1131000000000002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2.3839000000000001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5.6029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3.2734000000000001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43577</v>
      </c>
      <c r="E2" s="493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0.72553699284009543</v>
      </c>
      <c r="C6" s="103" t="s">
        <v>172</v>
      </c>
      <c r="D6" s="104" t="s">
        <v>172</v>
      </c>
      <c r="E6" s="102">
        <f>E20/$B$33</f>
        <v>0.77804295942720747</v>
      </c>
      <c r="F6" s="103" t="s">
        <v>172</v>
      </c>
      <c r="G6" s="104" t="s">
        <v>172</v>
      </c>
      <c r="H6" s="102">
        <f>H20/$B$33</f>
        <v>0.83054892601431973</v>
      </c>
      <c r="I6" s="103" t="s">
        <v>172</v>
      </c>
      <c r="J6" s="104" t="s">
        <v>172</v>
      </c>
      <c r="K6" s="102">
        <f>K20/$B$33</f>
        <v>0.77804295942720747</v>
      </c>
      <c r="L6" s="103" t="s">
        <v>172</v>
      </c>
      <c r="M6" s="104" t="s">
        <v>172</v>
      </c>
      <c r="N6" s="102">
        <f>N20/$B$33</f>
        <v>0.42004773269689732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0.65561279236276848</v>
      </c>
      <c r="C7" s="107">
        <f>B7-B$6</f>
        <v>-6.9924200477326948E-2</v>
      </c>
      <c r="D7" s="108">
        <f>B7/B$6*100</f>
        <v>90.362421052631575</v>
      </c>
      <c r="E7" s="102">
        <f t="shared" ref="E7:E10" si="0">E21*$B$36/100/$B$33</f>
        <v>0.71566892601431975</v>
      </c>
      <c r="F7" s="107">
        <f>E7-E$6</f>
        <v>-6.2374033412887719E-2</v>
      </c>
      <c r="G7" s="108">
        <f>E7/E$6*100</f>
        <v>91.98321472392638</v>
      </c>
      <c r="H7" s="102">
        <f t="shared" ref="H7:H10" si="1">H21*$B$36/100/$B$33</f>
        <v>0.80137403341288782</v>
      </c>
      <c r="I7" s="107">
        <f t="shared" ref="I7:I15" si="2">H7-H$6</f>
        <v>-2.9174892601431912E-2</v>
      </c>
      <c r="J7" s="108">
        <f t="shared" ref="J7:J15" si="3">H7/H$6*100</f>
        <v>96.487275862068984</v>
      </c>
      <c r="K7" s="102">
        <f t="shared" ref="K7:K10" si="4">K21*$B$36/100/$B$33</f>
        <v>0.72990097852028635</v>
      </c>
      <c r="L7" s="107">
        <f t="shared" ref="L7:L15" si="5">K7-K$6</f>
        <v>-4.8141980906921122E-2</v>
      </c>
      <c r="M7" s="108">
        <f t="shared" ref="M7:M15" si="6">K7/K$6*100</f>
        <v>93.812426380368109</v>
      </c>
      <c r="N7" s="102">
        <f t="shared" ref="N7:N10" si="7">N21*$B$36/100/$B$33</f>
        <v>0.3670618377088305</v>
      </c>
      <c r="O7" s="107">
        <f t="shared" ref="O7:O15" si="8">N7-N$6</f>
        <v>-5.2985894988066828E-2</v>
      </c>
      <c r="P7" s="108">
        <f t="shared" ref="P7:P15" si="9">N7/N$6*100</f>
        <v>87.385744318181807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0.64513424821002374</v>
      </c>
      <c r="C8" s="107">
        <f t="shared" ref="C8:C12" si="11">B8-B$6</f>
        <v>-8.0402744630071687E-2</v>
      </c>
      <c r="D8" s="108">
        <f t="shared" ref="D8:D12" si="12">B8/B$6*100</f>
        <v>88.918174342105246</v>
      </c>
      <c r="E8" s="102">
        <f t="shared" si="0"/>
        <v>0.69330427207637224</v>
      </c>
      <c r="F8" s="107">
        <f t="shared" ref="F8:F15" si="13">E8-E$6</f>
        <v>-8.4738687350835229E-2</v>
      </c>
      <c r="G8" s="108">
        <f t="shared" ref="G8:G15" si="14">E8/E$6*100</f>
        <v>89.108739263803699</v>
      </c>
      <c r="H8" s="102">
        <f t="shared" si="1"/>
        <v>0.7647773269689736</v>
      </c>
      <c r="I8" s="107">
        <f t="shared" si="2"/>
        <v>-6.577159904534613E-2</v>
      </c>
      <c r="J8" s="108">
        <f t="shared" si="3"/>
        <v>92.080948275862056</v>
      </c>
      <c r="K8" s="102">
        <f t="shared" si="4"/>
        <v>0.70503398568019082</v>
      </c>
      <c r="L8" s="107">
        <f t="shared" si="5"/>
        <v>-7.3008973747016648E-2</v>
      </c>
      <c r="M8" s="108">
        <f t="shared" si="6"/>
        <v>90.616331288343559</v>
      </c>
      <c r="N8" s="102">
        <f t="shared" si="7"/>
        <v>0.39005207637231504</v>
      </c>
      <c r="O8" s="107">
        <f t="shared" si="8"/>
        <v>-2.9995656324582287E-2</v>
      </c>
      <c r="P8" s="108">
        <f t="shared" si="9"/>
        <v>92.858988636363648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0.65076451073985664</v>
      </c>
      <c r="C9" s="107">
        <f t="shared" si="11"/>
        <v>-7.4772482100238791E-2</v>
      </c>
      <c r="D9" s="108">
        <f t="shared" si="12"/>
        <v>89.694187499999984</v>
      </c>
      <c r="E9" s="102">
        <f t="shared" si="0"/>
        <v>0.70128047732696897</v>
      </c>
      <c r="F9" s="107">
        <f t="shared" si="13"/>
        <v>-7.6762482100238505E-2</v>
      </c>
      <c r="G9" s="108">
        <f t="shared" si="14"/>
        <v>90.133901840490822</v>
      </c>
      <c r="H9" s="102">
        <f t="shared" si="1"/>
        <v>0.76086742243436745</v>
      </c>
      <c r="I9" s="107">
        <f t="shared" si="2"/>
        <v>-6.9681503579952286E-2</v>
      </c>
      <c r="J9" s="108">
        <f t="shared" si="3"/>
        <v>91.610186781609187</v>
      </c>
      <c r="K9" s="102">
        <f t="shared" si="4"/>
        <v>0.69580661097852026</v>
      </c>
      <c r="L9" s="107">
        <f t="shared" si="5"/>
        <v>-8.2236348448687213E-2</v>
      </c>
      <c r="M9" s="108">
        <f t="shared" si="6"/>
        <v>89.430358895705538</v>
      </c>
      <c r="N9" s="102">
        <f t="shared" si="7"/>
        <v>0.41914176610978515</v>
      </c>
      <c r="O9" s="107">
        <f t="shared" si="8"/>
        <v>-9.0596658711217248E-4</v>
      </c>
      <c r="P9" s="108">
        <f t="shared" si="9"/>
        <v>99.784318181818179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0.64403947494033398</v>
      </c>
      <c r="C10" s="107">
        <f t="shared" si="11"/>
        <v>-8.1497517899761451E-2</v>
      </c>
      <c r="D10" s="108">
        <f t="shared" si="12"/>
        <v>88.767282894736823</v>
      </c>
      <c r="E10" s="102">
        <f t="shared" si="0"/>
        <v>0.68611004773269668</v>
      </c>
      <c r="F10" s="107">
        <f t="shared" si="13"/>
        <v>-9.1932911694510788E-2</v>
      </c>
      <c r="G10" s="108">
        <f t="shared" si="14"/>
        <v>88.184082822085884</v>
      </c>
      <c r="H10" s="102">
        <f t="shared" si="1"/>
        <v>0.80481474940334119</v>
      </c>
      <c r="I10" s="107">
        <f t="shared" si="2"/>
        <v>-2.5734176610978543E-2</v>
      </c>
      <c r="J10" s="108">
        <f t="shared" si="3"/>
        <v>96.901545977011494</v>
      </c>
      <c r="K10" s="102">
        <f t="shared" si="4"/>
        <v>0.72661665871121706</v>
      </c>
      <c r="L10" s="107">
        <f t="shared" si="5"/>
        <v>-5.1426300715990414E-2</v>
      </c>
      <c r="M10" s="108">
        <f t="shared" si="6"/>
        <v>93.390300613496933</v>
      </c>
      <c r="N10" s="102">
        <f t="shared" si="7"/>
        <v>0.36205715990453452</v>
      </c>
      <c r="O10" s="107">
        <f t="shared" si="8"/>
        <v>-5.7990572792362804E-2</v>
      </c>
      <c r="P10" s="108">
        <f t="shared" si="9"/>
        <v>86.194289772727259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0.64888775656324571</v>
      </c>
      <c r="C11" s="236">
        <f t="shared" si="11"/>
        <v>-7.6649236276849719E-2</v>
      </c>
      <c r="D11" s="237">
        <f t="shared" si="12"/>
        <v>89.435516447368414</v>
      </c>
      <c r="E11" s="235">
        <f>AVERAGE(E7:E10)</f>
        <v>0.69909093078758933</v>
      </c>
      <c r="F11" s="236">
        <f t="shared" si="13"/>
        <v>-7.8952028639618144E-2</v>
      </c>
      <c r="G11" s="237">
        <f t="shared" si="14"/>
        <v>89.852484662576686</v>
      </c>
      <c r="H11" s="235">
        <f>AVERAGE(H7:H10)</f>
        <v>0.7829583830548924</v>
      </c>
      <c r="I11" s="236">
        <f t="shared" si="2"/>
        <v>-4.7590542959427329E-2</v>
      </c>
      <c r="J11" s="237">
        <f t="shared" si="3"/>
        <v>94.269989224137916</v>
      </c>
      <c r="K11" s="235">
        <f>AVERAGE(K7:K10)</f>
        <v>0.71433955847255359</v>
      </c>
      <c r="L11" s="236">
        <f t="shared" si="5"/>
        <v>-6.3703400954653877E-2</v>
      </c>
      <c r="M11" s="237">
        <f t="shared" si="6"/>
        <v>91.812354294478538</v>
      </c>
      <c r="N11" s="235">
        <f>AVERAGE(N7:N10)</f>
        <v>0.38457821002386633</v>
      </c>
      <c r="O11" s="236">
        <f t="shared" si="8"/>
        <v>-3.5469522673030995E-2</v>
      </c>
      <c r="P11" s="237">
        <f t="shared" si="9"/>
        <v>91.555835227272723</v>
      </c>
      <c r="Q11" s="109"/>
    </row>
    <row r="12" spans="1:19" s="96" customFormat="1" ht="15.75" x14ac:dyDescent="0.25">
      <c r="A12" s="110" t="s">
        <v>24</v>
      </c>
      <c r="B12" s="102">
        <f>B25*$B$32/100/$B$33</f>
        <v>1.0428980477326968</v>
      </c>
      <c r="C12" s="107">
        <f t="shared" si="11"/>
        <v>0.31736105489260136</v>
      </c>
      <c r="D12" s="108">
        <f t="shared" si="12"/>
        <v>143.74154013157894</v>
      </c>
      <c r="E12" s="102">
        <f>E25*$B$32/100/$B$33</f>
        <v>1.1159269928400954</v>
      </c>
      <c r="F12" s="107">
        <f t="shared" si="13"/>
        <v>0.33788403341288797</v>
      </c>
      <c r="G12" s="108">
        <f t="shared" si="14"/>
        <v>143.4274263803681</v>
      </c>
      <c r="H12" s="102">
        <f>H25*$B$32/100/$B$33</f>
        <v>1.2441002434367541</v>
      </c>
      <c r="I12" s="107">
        <f t="shared" si="2"/>
        <v>0.41355131742243434</v>
      </c>
      <c r="J12" s="108">
        <f t="shared" si="3"/>
        <v>149.79252931034483</v>
      </c>
      <c r="K12" s="102">
        <f>K25*$B$32/100/$B$33</f>
        <v>1.0000494319809068</v>
      </c>
      <c r="L12" s="107">
        <f t="shared" si="5"/>
        <v>0.22200647255369932</v>
      </c>
      <c r="M12" s="108">
        <f t="shared" si="6"/>
        <v>128.53396073619635</v>
      </c>
      <c r="N12" s="102">
        <f>N25*$B$32/100/$B$33</f>
        <v>0.49555355608591878</v>
      </c>
      <c r="O12" s="107">
        <f t="shared" si="8"/>
        <v>7.5505823389021454E-2</v>
      </c>
      <c r="P12" s="108">
        <f t="shared" si="9"/>
        <v>117.97553409090908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1.4100466825775655</v>
      </c>
      <c r="F13" s="107">
        <f t="shared" si="13"/>
        <v>0.63200372315035802</v>
      </c>
      <c r="G13" s="108">
        <f t="shared" si="14"/>
        <v>181.22992638036811</v>
      </c>
      <c r="H13" s="102">
        <f t="shared" ref="H13:H14" si="15">H26*$B$34/$B$33</f>
        <v>1.4718908353221956</v>
      </c>
      <c r="I13" s="107">
        <f t="shared" si="2"/>
        <v>0.64134190930787582</v>
      </c>
      <c r="J13" s="108">
        <f t="shared" si="3"/>
        <v>177.21904022988505</v>
      </c>
      <c r="K13" s="102">
        <f t="shared" ref="K13:K14" si="16">K26*$B$34/$B$33</f>
        <v>1.3313359427207636</v>
      </c>
      <c r="L13" s="107">
        <f t="shared" si="5"/>
        <v>0.55329298329355614</v>
      </c>
      <c r="M13" s="108">
        <f t="shared" si="6"/>
        <v>171.11342331288347</v>
      </c>
      <c r="N13" s="102">
        <f t="shared" ref="N13:N14" si="17">N26*$B$34/$B$33</f>
        <v>0.63530811455847247</v>
      </c>
      <c r="O13" s="107">
        <f t="shared" si="8"/>
        <v>0.21526038186157515</v>
      </c>
      <c r="P13" s="108">
        <f t="shared" si="9"/>
        <v>151.24664772727272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1.3144693556085918</v>
      </c>
      <c r="F14" s="107">
        <f t="shared" si="13"/>
        <v>0.53642639618138432</v>
      </c>
      <c r="G14" s="108">
        <f t="shared" si="14"/>
        <v>168.94560122699389</v>
      </c>
      <c r="H14" s="102">
        <f t="shared" si="15"/>
        <v>1.4224155131264915</v>
      </c>
      <c r="I14" s="107">
        <f t="shared" si="2"/>
        <v>0.59186658711217177</v>
      </c>
      <c r="J14" s="108">
        <f t="shared" si="3"/>
        <v>171.26209770114943</v>
      </c>
      <c r="K14" s="102">
        <f t="shared" si="16"/>
        <v>1.2526252028639617</v>
      </c>
      <c r="L14" s="107">
        <f t="shared" si="5"/>
        <v>0.47458224343675426</v>
      </c>
      <c r="M14" s="108">
        <f t="shared" si="6"/>
        <v>160.9969202453988</v>
      </c>
      <c r="N14" s="102">
        <f t="shared" si="17"/>
        <v>0.57346396181384252</v>
      </c>
      <c r="O14" s="107">
        <f t="shared" si="8"/>
        <v>0.15341622911694519</v>
      </c>
      <c r="P14" s="108">
        <f t="shared" si="9"/>
        <v>136.52352272727276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1.3640410023866347</v>
      </c>
      <c r="F15" s="119">
        <f t="shared" si="13"/>
        <v>0.58599804295942726</v>
      </c>
      <c r="G15" s="120">
        <f t="shared" si="14"/>
        <v>175.3169263803681</v>
      </c>
      <c r="H15" s="118">
        <f>H28*$B$35/10/$B$33</f>
        <v>1.3982077326968971</v>
      </c>
      <c r="I15" s="119">
        <f t="shared" si="2"/>
        <v>0.5676588066825774</v>
      </c>
      <c r="J15" s="120">
        <f t="shared" si="3"/>
        <v>168.34742528735632</v>
      </c>
      <c r="K15" s="118">
        <f>K28*$B$35/10/$B$33</f>
        <v>1.3508999522673031</v>
      </c>
      <c r="L15" s="119">
        <f t="shared" si="5"/>
        <v>0.57285699284009561</v>
      </c>
      <c r="M15" s="120">
        <f t="shared" si="6"/>
        <v>173.62793865030679</v>
      </c>
      <c r="N15" s="118">
        <f>N28*$B$35/10/$B$33</f>
        <v>0.57032157517899751</v>
      </c>
      <c r="O15" s="119">
        <f t="shared" si="8"/>
        <v>0.15027384248210018</v>
      </c>
      <c r="P15" s="120">
        <f t="shared" si="9"/>
        <v>135.77542045454544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9" t="s">
        <v>214</v>
      </c>
      <c r="X19" s="279" t="s">
        <v>214</v>
      </c>
    </row>
    <row r="20" spans="1:24" s="141" customFormat="1" ht="15.75" x14ac:dyDescent="0.25">
      <c r="A20" s="133" t="s">
        <v>185</v>
      </c>
      <c r="B20" s="134">
        <v>1.52</v>
      </c>
      <c r="C20" s="135" t="s">
        <v>172</v>
      </c>
      <c r="D20" s="136" t="s">
        <v>172</v>
      </c>
      <c r="E20" s="134">
        <v>1.63</v>
      </c>
      <c r="F20" s="135" t="s">
        <v>172</v>
      </c>
      <c r="G20" s="136" t="s">
        <v>172</v>
      </c>
      <c r="H20" s="134">
        <v>1.74</v>
      </c>
      <c r="I20" s="135" t="s">
        <v>172</v>
      </c>
      <c r="J20" s="136" t="s">
        <v>172</v>
      </c>
      <c r="K20" s="134">
        <v>1.63</v>
      </c>
      <c r="L20" s="135" t="s">
        <v>172</v>
      </c>
      <c r="M20" s="136" t="s">
        <v>172</v>
      </c>
      <c r="N20" s="134">
        <v>0.88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41.92</v>
      </c>
      <c r="C21" s="144" t="s">
        <v>172</v>
      </c>
      <c r="D21" s="145" t="s">
        <v>172</v>
      </c>
      <c r="E21" s="143">
        <v>45.76</v>
      </c>
      <c r="F21" s="144" t="s">
        <v>172</v>
      </c>
      <c r="G21" s="145" t="s">
        <v>172</v>
      </c>
      <c r="H21" s="143">
        <v>51.24</v>
      </c>
      <c r="I21" s="144" t="s">
        <v>172</v>
      </c>
      <c r="J21" s="145" t="s">
        <v>172</v>
      </c>
      <c r="K21" s="143">
        <v>46.67</v>
      </c>
      <c r="L21" s="144" t="s">
        <v>172</v>
      </c>
      <c r="M21" s="145" t="s">
        <v>172</v>
      </c>
      <c r="N21" s="143">
        <v>23.47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41.25</v>
      </c>
      <c r="C22" s="144" t="s">
        <v>172</v>
      </c>
      <c r="D22" s="145" t="s">
        <v>172</v>
      </c>
      <c r="E22" s="143">
        <v>44.33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45.08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41.61</v>
      </c>
      <c r="C23" s="144" t="s">
        <v>172</v>
      </c>
      <c r="D23" s="145" t="s">
        <v>172</v>
      </c>
      <c r="E23" s="143">
        <v>44.84</v>
      </c>
      <c r="F23" s="144" t="s">
        <v>172</v>
      </c>
      <c r="G23" s="145" t="s">
        <v>172</v>
      </c>
      <c r="H23" s="143">
        <v>48.65</v>
      </c>
      <c r="I23" s="144" t="s">
        <v>172</v>
      </c>
      <c r="J23" s="145" t="s">
        <v>172</v>
      </c>
      <c r="K23" s="143">
        <v>44.49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41.18</v>
      </c>
      <c r="C24" s="144" t="s">
        <v>172</v>
      </c>
      <c r="D24" s="145" t="s">
        <v>172</v>
      </c>
      <c r="E24" s="143">
        <v>43.87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46.46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33.39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13.3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1.254</v>
      </c>
      <c r="F26" s="144" t="s">
        <v>172</v>
      </c>
      <c r="G26" s="145" t="s">
        <v>172</v>
      </c>
      <c r="H26" s="153">
        <v>1.3089999999999999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1.169</v>
      </c>
      <c r="F27" s="144" t="s">
        <v>172</v>
      </c>
      <c r="G27" s="145" t="s">
        <v>172</v>
      </c>
      <c r="H27" s="153">
        <v>1.2649999999999999</v>
      </c>
      <c r="I27" s="144" t="s">
        <v>172</v>
      </c>
      <c r="J27" s="145" t="s">
        <v>172</v>
      </c>
      <c r="K27" s="153">
        <v>1.1140000000000001</v>
      </c>
      <c r="L27" s="144" t="s">
        <v>172</v>
      </c>
      <c r="M27" s="145" t="s">
        <v>172</v>
      </c>
      <c r="N27" s="153">
        <v>0.51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5.19</v>
      </c>
      <c r="F28" s="158" t="s">
        <v>172</v>
      </c>
      <c r="G28" s="159" t="s">
        <v>172</v>
      </c>
      <c r="H28" s="234">
        <v>5.32</v>
      </c>
      <c r="I28" s="158" t="s">
        <v>172</v>
      </c>
      <c r="J28" s="159" t="s">
        <v>172</v>
      </c>
      <c r="K28" s="234">
        <v>5.14</v>
      </c>
      <c r="L28" s="158" t="s">
        <v>172</v>
      </c>
      <c r="M28" s="159" t="s">
        <v>172</v>
      </c>
      <c r="N28" s="234">
        <v>2.17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7.8059000000000003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2.0950000000000002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2.3557000000000001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5.5061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3.2765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43584</v>
      </c>
      <c r="E2" s="493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0.72498104624715698</v>
      </c>
      <c r="C6" s="103" t="s">
        <v>172</v>
      </c>
      <c r="D6" s="104" t="s">
        <v>172</v>
      </c>
      <c r="E6" s="102">
        <f>E20/$B$33</f>
        <v>0.77710386656557995</v>
      </c>
      <c r="F6" s="103" t="s">
        <v>172</v>
      </c>
      <c r="G6" s="104" t="s">
        <v>172</v>
      </c>
      <c r="H6" s="102">
        <f>H20/$B$33</f>
        <v>0.82922668688400314</v>
      </c>
      <c r="I6" s="103" t="s">
        <v>172</v>
      </c>
      <c r="J6" s="104" t="s">
        <v>172</v>
      </c>
      <c r="K6" s="102">
        <f>K20/$B$33</f>
        <v>0.77710386656557995</v>
      </c>
      <c r="L6" s="103" t="s">
        <v>172</v>
      </c>
      <c r="M6" s="104" t="s">
        <v>172</v>
      </c>
      <c r="N6" s="102">
        <f>N20/$B$33</f>
        <v>0.41698256254738442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0.64782926459438983</v>
      </c>
      <c r="C7" s="107">
        <f>B7-B$6</f>
        <v>-7.7151781652767149E-2</v>
      </c>
      <c r="D7" s="108">
        <f>B7/B$6*100</f>
        <v>89.358096732026155</v>
      </c>
      <c r="E7" s="102">
        <f t="shared" ref="E7:E10" si="0">E21*$B$36/100/$B$33</f>
        <v>0.70670878506444279</v>
      </c>
      <c r="F7" s="107">
        <f>E7-E$6</f>
        <v>-7.0395081501137158E-2</v>
      </c>
      <c r="G7" s="108">
        <f>E7/E$6*100</f>
        <v>90.941354878048784</v>
      </c>
      <c r="H7" s="102">
        <f t="shared" ref="H7:H10" si="1">H21*$B$36/100/$B$33</f>
        <v>0.79186000758150121</v>
      </c>
      <c r="I7" s="107">
        <f t="shared" ref="I7:I15" si="2">H7-H$6</f>
        <v>-3.7366679302501926E-2</v>
      </c>
      <c r="J7" s="108">
        <f t="shared" ref="J7:J15" si="3">H7/H$6*100</f>
        <v>95.493791999999999</v>
      </c>
      <c r="K7" s="102">
        <f t="shared" ref="K7:K10" si="4">K21*$B$36/100/$B$33</f>
        <v>0.70222714177407131</v>
      </c>
      <c r="L7" s="107">
        <f t="shared" ref="L7:L15" si="5">K7-K$6</f>
        <v>-7.4876724791508642E-2</v>
      </c>
      <c r="M7" s="108">
        <f t="shared" ref="M7:M15" si="6">K7/K$6*100</f>
        <v>90.364643902439042</v>
      </c>
      <c r="N7" s="102">
        <f t="shared" ref="N7:N10" si="7">N21*$B$36/100/$B$33</f>
        <v>0.35914962092494312</v>
      </c>
      <c r="O7" s="107">
        <f t="shared" ref="O7:O15" si="8">N7-N$6</f>
        <v>-5.7832941622441292E-2</v>
      </c>
      <c r="P7" s="108">
        <f t="shared" ref="P7:P15" si="9">N7/N$6*100</f>
        <v>86.130609090909076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0.63422979529946932</v>
      </c>
      <c r="C8" s="107">
        <f t="shared" ref="C8:C12" si="11">B8-B$6</f>
        <v>-9.0751250947687656E-2</v>
      </c>
      <c r="D8" s="108">
        <f t="shared" ref="D8:D12" si="12">B8/B$6*100</f>
        <v>87.482258823529406</v>
      </c>
      <c r="E8" s="102">
        <f t="shared" si="0"/>
        <v>0.68059162244124338</v>
      </c>
      <c r="F8" s="107">
        <f t="shared" ref="F8:F15" si="13">E8-E$6</f>
        <v>-9.6512244124336566E-2</v>
      </c>
      <c r="G8" s="108">
        <f t="shared" ref="G8:G15" si="14">E8/E$6*100</f>
        <v>87.580521951219509</v>
      </c>
      <c r="H8" s="102">
        <f t="shared" si="1"/>
        <v>0.75569778241091734</v>
      </c>
      <c r="I8" s="107">
        <f t="shared" si="2"/>
        <v>-7.3528904473085799E-2</v>
      </c>
      <c r="J8" s="108">
        <f t="shared" si="3"/>
        <v>91.132834285714267</v>
      </c>
      <c r="K8" s="102">
        <f t="shared" si="4"/>
        <v>0.69496378885519339</v>
      </c>
      <c r="L8" s="107">
        <f t="shared" si="5"/>
        <v>-8.2140077710386561E-2</v>
      </c>
      <c r="M8" s="108">
        <f t="shared" si="6"/>
        <v>89.429974390243913</v>
      </c>
      <c r="N8" s="102">
        <f t="shared" si="7"/>
        <v>0.38542132297194853</v>
      </c>
      <c r="O8" s="107">
        <f t="shared" si="8"/>
        <v>-3.1561239575435884E-2</v>
      </c>
      <c r="P8" s="108">
        <f t="shared" si="9"/>
        <v>92.431040909090925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0.64288400303260052</v>
      </c>
      <c r="C9" s="107">
        <f t="shared" si="11"/>
        <v>-8.2097043214556464E-2</v>
      </c>
      <c r="D9" s="108">
        <f t="shared" si="12"/>
        <v>88.675973856209154</v>
      </c>
      <c r="E9" s="102">
        <f t="shared" si="0"/>
        <v>0.69264569749810467</v>
      </c>
      <c r="F9" s="107">
        <f t="shared" si="13"/>
        <v>-8.4458169067475275E-2</v>
      </c>
      <c r="G9" s="108">
        <f t="shared" si="14"/>
        <v>89.131675609756115</v>
      </c>
      <c r="H9" s="102">
        <f t="shared" si="1"/>
        <v>0.75183429681576963</v>
      </c>
      <c r="I9" s="107">
        <f t="shared" si="2"/>
        <v>-7.7392390068233508E-2</v>
      </c>
      <c r="J9" s="108">
        <f t="shared" si="3"/>
        <v>90.666920000000005</v>
      </c>
      <c r="K9" s="102">
        <f t="shared" si="4"/>
        <v>0.68831859363153913</v>
      </c>
      <c r="L9" s="107">
        <f t="shared" si="5"/>
        <v>-8.8785272934040815E-2</v>
      </c>
      <c r="M9" s="108">
        <f t="shared" si="6"/>
        <v>88.574851219512212</v>
      </c>
      <c r="N9" s="102">
        <f t="shared" si="7"/>
        <v>0.41416565579984849</v>
      </c>
      <c r="O9" s="107">
        <f t="shared" si="8"/>
        <v>-2.81690674753593E-3</v>
      </c>
      <c r="P9" s="108">
        <f t="shared" si="9"/>
        <v>99.324454545454572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0.64025683282790002</v>
      </c>
      <c r="C10" s="107">
        <f t="shared" si="11"/>
        <v>-8.4724213419256955E-2</v>
      </c>
      <c r="D10" s="108">
        <f t="shared" si="12"/>
        <v>88.313596078431374</v>
      </c>
      <c r="E10" s="102">
        <f t="shared" si="0"/>
        <v>0.69156392153146329</v>
      </c>
      <c r="F10" s="107">
        <f t="shared" si="13"/>
        <v>-8.553994503411666E-2</v>
      </c>
      <c r="G10" s="108">
        <f t="shared" si="14"/>
        <v>88.992469512195143</v>
      </c>
      <c r="H10" s="102">
        <f t="shared" si="1"/>
        <v>0.79525987490523131</v>
      </c>
      <c r="I10" s="107">
        <f t="shared" si="2"/>
        <v>-3.3966811978771827E-2</v>
      </c>
      <c r="J10" s="108">
        <f t="shared" si="3"/>
        <v>95.903796571428572</v>
      </c>
      <c r="K10" s="102">
        <f t="shared" si="4"/>
        <v>0.72417173995451101</v>
      </c>
      <c r="L10" s="107">
        <f t="shared" si="5"/>
        <v>-5.2932126611068941E-2</v>
      </c>
      <c r="M10" s="108">
        <f t="shared" si="6"/>
        <v>93.188539024390252</v>
      </c>
      <c r="N10" s="102">
        <f t="shared" si="7"/>
        <v>0.35775876611068991</v>
      </c>
      <c r="O10" s="107">
        <f t="shared" si="8"/>
        <v>-5.9223796436694509E-2</v>
      </c>
      <c r="P10" s="108">
        <f t="shared" si="9"/>
        <v>85.797056818181801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0.64129997393858984</v>
      </c>
      <c r="C11" s="236">
        <f t="shared" si="11"/>
        <v>-8.3681072308567139E-2</v>
      </c>
      <c r="D11" s="237">
        <f t="shared" si="12"/>
        <v>88.457481372549012</v>
      </c>
      <c r="E11" s="235">
        <f>AVERAGE(E7:E10)</f>
        <v>0.69287750663381353</v>
      </c>
      <c r="F11" s="236">
        <f t="shared" si="13"/>
        <v>-8.4226359931766415E-2</v>
      </c>
      <c r="G11" s="237">
        <f t="shared" si="14"/>
        <v>89.161505487804888</v>
      </c>
      <c r="H11" s="235">
        <f>AVERAGE(H7:H10)</f>
        <v>0.77366299042835496</v>
      </c>
      <c r="I11" s="236">
        <f t="shared" si="2"/>
        <v>-5.5563696455648182E-2</v>
      </c>
      <c r="J11" s="237">
        <f t="shared" si="3"/>
        <v>93.299335714285718</v>
      </c>
      <c r="K11" s="235">
        <f>AVERAGE(K7:K10)</f>
        <v>0.70242031605382871</v>
      </c>
      <c r="L11" s="236">
        <f t="shared" si="5"/>
        <v>-7.468355051175124E-2</v>
      </c>
      <c r="M11" s="237">
        <f t="shared" si="6"/>
        <v>90.389502134146355</v>
      </c>
      <c r="N11" s="235">
        <f>AVERAGE(N7:N10)</f>
        <v>0.37912384145185751</v>
      </c>
      <c r="O11" s="236">
        <f t="shared" si="8"/>
        <v>-3.7858721095526904E-2</v>
      </c>
      <c r="P11" s="237">
        <f t="shared" si="9"/>
        <v>90.920790340909093</v>
      </c>
      <c r="Q11" s="109"/>
    </row>
    <row r="12" spans="1:19" s="96" customFormat="1" ht="15.75" x14ac:dyDescent="0.25">
      <c r="A12" s="110" t="s">
        <v>24</v>
      </c>
      <c r="B12" s="102">
        <f>B25*$B$32/100/$B$33</f>
        <v>1.0593201715314631</v>
      </c>
      <c r="C12" s="107">
        <f t="shared" si="11"/>
        <v>0.33433912528430609</v>
      </c>
      <c r="D12" s="108">
        <f t="shared" si="12"/>
        <v>146.11694705882348</v>
      </c>
      <c r="E12" s="102">
        <f>E25*$B$32/100/$B$33</f>
        <v>1.1334990760045489</v>
      </c>
      <c r="F12" s="107">
        <f t="shared" si="13"/>
        <v>0.35639520943896896</v>
      </c>
      <c r="G12" s="108">
        <f t="shared" si="14"/>
        <v>145.86197865853657</v>
      </c>
      <c r="H12" s="102">
        <f>H25*$B$32/100/$B$33</f>
        <v>1.2863984505307053</v>
      </c>
      <c r="I12" s="107">
        <f t="shared" si="2"/>
        <v>0.4571717636467022</v>
      </c>
      <c r="J12" s="108">
        <f t="shared" si="3"/>
        <v>155.1323022857143</v>
      </c>
      <c r="K12" s="102">
        <f>K25*$B$32/100/$B$33</f>
        <v>1.0157968347232753</v>
      </c>
      <c r="L12" s="107">
        <f t="shared" si="5"/>
        <v>0.23869296815769536</v>
      </c>
      <c r="M12" s="108">
        <f t="shared" si="6"/>
        <v>130.7157097560976</v>
      </c>
      <c r="N12" s="102">
        <f>N25*$B$32/100/$B$33</f>
        <v>0.50789841736163766</v>
      </c>
      <c r="O12" s="107">
        <f t="shared" si="8"/>
        <v>9.0915854814253239E-2</v>
      </c>
      <c r="P12" s="108">
        <f t="shared" si="9"/>
        <v>121.80327500000001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1.4189428544351781</v>
      </c>
      <c r="F13" s="107">
        <f t="shared" si="13"/>
        <v>0.64183898786959814</v>
      </c>
      <c r="G13" s="108">
        <f t="shared" si="14"/>
        <v>182.59371951219512</v>
      </c>
      <c r="H13" s="102">
        <f t="shared" ref="H13:H14" si="15">H26*$B$34/$B$33</f>
        <v>1.4802001990144047</v>
      </c>
      <c r="I13" s="107">
        <f t="shared" si="2"/>
        <v>0.65097351213040155</v>
      </c>
      <c r="J13" s="108">
        <f t="shared" si="3"/>
        <v>178.50368571428567</v>
      </c>
      <c r="K13" s="102">
        <f t="shared" ref="K13:K14" si="16">K26*$B$34/$B$33</f>
        <v>1.3521166603487489</v>
      </c>
      <c r="L13" s="107">
        <f t="shared" si="5"/>
        <v>0.57501279378316894</v>
      </c>
      <c r="M13" s="108">
        <f t="shared" si="6"/>
        <v>173.99432926829269</v>
      </c>
      <c r="N13" s="102">
        <f t="shared" ref="N13:N14" si="17">N26*$B$34/$B$33</f>
        <v>0.65155539234268378</v>
      </c>
      <c r="O13" s="107">
        <f t="shared" si="8"/>
        <v>0.23457282979529936</v>
      </c>
      <c r="P13" s="108">
        <f t="shared" si="9"/>
        <v>156.2548295454545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1.3019970147839273</v>
      </c>
      <c r="F14" s="107">
        <f t="shared" si="13"/>
        <v>0.52489314821834732</v>
      </c>
      <c r="G14" s="108">
        <f t="shared" si="14"/>
        <v>167.54478658536587</v>
      </c>
      <c r="H14" s="102">
        <f t="shared" si="15"/>
        <v>1.4022363059135707</v>
      </c>
      <c r="I14" s="107">
        <f t="shared" si="2"/>
        <v>0.5730096190295676</v>
      </c>
      <c r="J14" s="108">
        <f t="shared" si="3"/>
        <v>169.10168571428568</v>
      </c>
      <c r="K14" s="102">
        <f t="shared" si="16"/>
        <v>1.2407396702047004</v>
      </c>
      <c r="L14" s="107">
        <f t="shared" si="5"/>
        <v>0.46363580363912049</v>
      </c>
      <c r="M14" s="108">
        <f t="shared" si="6"/>
        <v>159.66201219512195</v>
      </c>
      <c r="N14" s="102">
        <f t="shared" si="17"/>
        <v>0.56802264973464756</v>
      </c>
      <c r="O14" s="107">
        <f t="shared" si="8"/>
        <v>0.15104008718726314</v>
      </c>
      <c r="P14" s="108">
        <f t="shared" si="9"/>
        <v>136.22215909090912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1.3396097422289617</v>
      </c>
      <c r="F15" s="119">
        <f t="shared" si="13"/>
        <v>0.56250587566338173</v>
      </c>
      <c r="G15" s="120">
        <f t="shared" si="14"/>
        <v>172.38490243902444</v>
      </c>
      <c r="H15" s="118">
        <f>H28*$B$35/10/$B$33</f>
        <v>1.4019171721000763</v>
      </c>
      <c r="I15" s="119">
        <f t="shared" si="2"/>
        <v>0.57269048521607313</v>
      </c>
      <c r="J15" s="120">
        <f t="shared" si="3"/>
        <v>169.06320000000002</v>
      </c>
      <c r="K15" s="118">
        <f>K28*$B$35/10/$B$33</f>
        <v>1.3396097422289617</v>
      </c>
      <c r="L15" s="119">
        <f t="shared" si="5"/>
        <v>0.56250587566338173</v>
      </c>
      <c r="M15" s="120">
        <f t="shared" si="6"/>
        <v>172.38490243902444</v>
      </c>
      <c r="N15" s="118">
        <f>N28*$B$35/10/$B$33</f>
        <v>0.56595915466262325</v>
      </c>
      <c r="O15" s="119">
        <f t="shared" si="8"/>
        <v>0.14897659211523884</v>
      </c>
      <c r="P15" s="120">
        <f t="shared" si="9"/>
        <v>135.72729545454544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7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79" t="s">
        <v>214</v>
      </c>
      <c r="X19" s="279" t="s">
        <v>214</v>
      </c>
    </row>
    <row r="20" spans="1:24" s="141" customFormat="1" ht="15.75" x14ac:dyDescent="0.25">
      <c r="A20" s="133" t="s">
        <v>185</v>
      </c>
      <c r="B20" s="134">
        <v>1.53</v>
      </c>
      <c r="C20" s="135" t="s">
        <v>172</v>
      </c>
      <c r="D20" s="136" t="s">
        <v>172</v>
      </c>
      <c r="E20" s="134">
        <v>1.64</v>
      </c>
      <c r="F20" s="135" t="s">
        <v>172</v>
      </c>
      <c r="G20" s="136" t="s">
        <v>172</v>
      </c>
      <c r="H20" s="134">
        <v>1.75</v>
      </c>
      <c r="I20" s="135" t="s">
        <v>172</v>
      </c>
      <c r="J20" s="136" t="s">
        <v>172</v>
      </c>
      <c r="K20" s="134">
        <v>1.64</v>
      </c>
      <c r="L20" s="135" t="s">
        <v>172</v>
      </c>
      <c r="M20" s="136" t="s">
        <v>172</v>
      </c>
      <c r="N20" s="134">
        <v>0.88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41.92</v>
      </c>
      <c r="C21" s="144" t="s">
        <v>172</v>
      </c>
      <c r="D21" s="145" t="s">
        <v>172</v>
      </c>
      <c r="E21" s="143">
        <v>45.73</v>
      </c>
      <c r="F21" s="144" t="s">
        <v>172</v>
      </c>
      <c r="G21" s="145" t="s">
        <v>172</v>
      </c>
      <c r="H21" s="143">
        <v>51.24</v>
      </c>
      <c r="I21" s="144" t="s">
        <v>172</v>
      </c>
      <c r="J21" s="145" t="s">
        <v>172</v>
      </c>
      <c r="K21" s="143">
        <v>45.44</v>
      </c>
      <c r="L21" s="144" t="s">
        <v>172</v>
      </c>
      <c r="M21" s="145" t="s">
        <v>172</v>
      </c>
      <c r="N21" s="143">
        <v>23.24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41.04</v>
      </c>
      <c r="C22" s="144" t="s">
        <v>172</v>
      </c>
      <c r="D22" s="145" t="s">
        <v>172</v>
      </c>
      <c r="E22" s="143">
        <v>44.04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44.97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41.6</v>
      </c>
      <c r="C23" s="144" t="s">
        <v>172</v>
      </c>
      <c r="D23" s="145" t="s">
        <v>172</v>
      </c>
      <c r="E23" s="143">
        <v>44.82</v>
      </c>
      <c r="F23" s="144" t="s">
        <v>172</v>
      </c>
      <c r="G23" s="145" t="s">
        <v>172</v>
      </c>
      <c r="H23" s="143">
        <v>48.65</v>
      </c>
      <c r="I23" s="144" t="s">
        <v>172</v>
      </c>
      <c r="J23" s="145" t="s">
        <v>172</v>
      </c>
      <c r="K23" s="143">
        <v>44.54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41.43</v>
      </c>
      <c r="C24" s="144" t="s">
        <v>172</v>
      </c>
      <c r="D24" s="145" t="s">
        <v>172</v>
      </c>
      <c r="E24" s="143">
        <v>44.75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46.86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27.99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13.42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1.274</v>
      </c>
      <c r="F26" s="144" t="s">
        <v>172</v>
      </c>
      <c r="G26" s="145" t="s">
        <v>172</v>
      </c>
      <c r="H26" s="153">
        <v>1.329</v>
      </c>
      <c r="I26" s="144" t="s">
        <v>172</v>
      </c>
      <c r="J26" s="145" t="s">
        <v>172</v>
      </c>
      <c r="K26" s="153">
        <v>1.214</v>
      </c>
      <c r="L26" s="144" t="s">
        <v>172</v>
      </c>
      <c r="M26" s="145" t="s">
        <v>172</v>
      </c>
      <c r="N26" s="153">
        <v>0.58499999999999996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1.169</v>
      </c>
      <c r="F27" s="144" t="s">
        <v>172</v>
      </c>
      <c r="G27" s="145" t="s">
        <v>172</v>
      </c>
      <c r="H27" s="153">
        <v>1.2589999999999999</v>
      </c>
      <c r="I27" s="144" t="s">
        <v>172</v>
      </c>
      <c r="J27" s="145" t="s">
        <v>172</v>
      </c>
      <c r="K27" s="153">
        <v>1.1140000000000001</v>
      </c>
      <c r="L27" s="144" t="s">
        <v>172</v>
      </c>
      <c r="M27" s="145" t="s">
        <v>172</v>
      </c>
      <c r="N27" s="153">
        <v>0.51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5.16</v>
      </c>
      <c r="F28" s="158" t="s">
        <v>172</v>
      </c>
      <c r="G28" s="159" t="s">
        <v>172</v>
      </c>
      <c r="H28" s="234">
        <v>5.4</v>
      </c>
      <c r="I28" s="158" t="s">
        <v>172</v>
      </c>
      <c r="J28" s="159" t="s">
        <v>172</v>
      </c>
      <c r="K28" s="234">
        <v>5.16</v>
      </c>
      <c r="L28" s="158" t="s">
        <v>172</v>
      </c>
      <c r="M28" s="159" t="s">
        <v>172</v>
      </c>
      <c r="N28" s="234">
        <v>2.1800000000000002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7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7.9870999999999999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2.1103999999999998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2.3504999999999998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5.4789000000000003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3.2614000000000001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43595</v>
      </c>
      <c r="E2" s="493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0.73020388809862491</v>
      </c>
      <c r="C6" s="103" t="s">
        <v>172</v>
      </c>
      <c r="D6" s="104" t="s">
        <v>172</v>
      </c>
      <c r="E6" s="102">
        <f>E20/$B$33</f>
        <v>0.78236130867709808</v>
      </c>
      <c r="F6" s="103" t="s">
        <v>172</v>
      </c>
      <c r="G6" s="104" t="s">
        <v>172</v>
      </c>
      <c r="H6" s="102">
        <f>H20/$B$33</f>
        <v>0.83451872925557136</v>
      </c>
      <c r="I6" s="103" t="s">
        <v>172</v>
      </c>
      <c r="J6" s="104" t="s">
        <v>172</v>
      </c>
      <c r="K6" s="102">
        <f>K20/$B$33</f>
        <v>0.78236130867709808</v>
      </c>
      <c r="L6" s="103" t="s">
        <v>172</v>
      </c>
      <c r="M6" s="104" t="s">
        <v>172</v>
      </c>
      <c r="N6" s="102">
        <f>N20/$B$33</f>
        <v>0.42200094831673779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0.64467623518255102</v>
      </c>
      <c r="C7" s="107">
        <f>B7-B$6</f>
        <v>-8.5527652916073893E-2</v>
      </c>
      <c r="D7" s="108">
        <f>B7/B$6*100</f>
        <v>88.287154545454555</v>
      </c>
      <c r="E7" s="102">
        <f t="shared" ref="E7:E10" si="0">E21*$B$36/100/$B$33</f>
        <v>0.70402396396396394</v>
      </c>
      <c r="F7" s="107">
        <f>E7-E$6</f>
        <v>-7.8337344713134138E-2</v>
      </c>
      <c r="G7" s="108">
        <f>E7/E$6*100</f>
        <v>89.987063030303034</v>
      </c>
      <c r="H7" s="102">
        <f t="shared" ref="H7:H10" si="1">H21*$B$36/100/$B$33</f>
        <v>0.78781803698435282</v>
      </c>
      <c r="I7" s="107">
        <f t="shared" ref="I7:I15" si="2">H7-H$6</f>
        <v>-4.6700692271218536E-2</v>
      </c>
      <c r="J7" s="108">
        <f t="shared" ref="J7:J15" si="3">H7/H$6*100</f>
        <v>94.403877272727271</v>
      </c>
      <c r="K7" s="102">
        <f t="shared" ref="K7:K10" si="4">K21*$B$36/100/$B$33</f>
        <v>0.69895019440493111</v>
      </c>
      <c r="L7" s="107">
        <f t="shared" ref="L7:L15" si="5">K7-K$6</f>
        <v>-8.3411114272166964E-2</v>
      </c>
      <c r="M7" s="108">
        <f t="shared" ref="M7:M15" si="6">K7/K$6*100</f>
        <v>89.338543030303015</v>
      </c>
      <c r="N7" s="102">
        <f t="shared" ref="N7:N10" si="7">N21*$B$36/100/$B$33</f>
        <v>0.35654762446657184</v>
      </c>
      <c r="O7" s="107">
        <f t="shared" ref="O7:O15" si="8">N7-N$6</f>
        <v>-6.5453323850165945E-2</v>
      </c>
      <c r="P7" s="108">
        <f t="shared" ref="P7:P15" si="9">N7/N$6*100</f>
        <v>84.489768539325851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0.6351436984352774</v>
      </c>
      <c r="C8" s="107">
        <f t="shared" ref="C8:C12" si="11">B8-B$6</f>
        <v>-9.5060189663347505E-2</v>
      </c>
      <c r="D8" s="108">
        <f t="shared" ref="D8:D12" si="12">B8/B$6*100</f>
        <v>86.981692207792221</v>
      </c>
      <c r="E8" s="102">
        <f t="shared" si="0"/>
        <v>0.68203762920815547</v>
      </c>
      <c r="F8" s="107">
        <f t="shared" ref="F8:F15" si="13">E8-E$6</f>
        <v>-0.10032367946894261</v>
      </c>
      <c r="G8" s="108">
        <f t="shared" ref="G8:G15" si="14">E8/E$6*100</f>
        <v>87.176809696969698</v>
      </c>
      <c r="H8" s="102">
        <f t="shared" si="1"/>
        <v>0.75184039829302984</v>
      </c>
      <c r="I8" s="107">
        <f t="shared" si="2"/>
        <v>-8.2678330962541513E-2</v>
      </c>
      <c r="J8" s="108">
        <f t="shared" si="3"/>
        <v>90.092693181818191</v>
      </c>
      <c r="K8" s="102">
        <f t="shared" si="4"/>
        <v>0.69449142721669033</v>
      </c>
      <c r="L8" s="107">
        <f t="shared" si="5"/>
        <v>-8.786988146040775E-2</v>
      </c>
      <c r="M8" s="108">
        <f t="shared" si="6"/>
        <v>88.768631515151526</v>
      </c>
      <c r="N8" s="102">
        <f t="shared" si="7"/>
        <v>0.38345397818871507</v>
      </c>
      <c r="O8" s="107">
        <f t="shared" si="8"/>
        <v>-3.8546970128022717E-2</v>
      </c>
      <c r="P8" s="108">
        <f t="shared" si="9"/>
        <v>90.865667415730343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0.63960246562351819</v>
      </c>
      <c r="C9" s="107">
        <f t="shared" si="11"/>
        <v>-9.0601422475106719E-2</v>
      </c>
      <c r="D9" s="108">
        <f t="shared" si="12"/>
        <v>87.592311688311682</v>
      </c>
      <c r="E9" s="102">
        <f t="shared" si="0"/>
        <v>0.6891101564722617</v>
      </c>
      <c r="F9" s="107">
        <f t="shared" si="13"/>
        <v>-9.3251152204836374E-2</v>
      </c>
      <c r="G9" s="108">
        <f t="shared" si="14"/>
        <v>88.080807272727284</v>
      </c>
      <c r="H9" s="102">
        <f t="shared" si="1"/>
        <v>0.75030289236605019</v>
      </c>
      <c r="I9" s="107">
        <f t="shared" si="2"/>
        <v>-8.4215836889521167E-2</v>
      </c>
      <c r="J9" s="108">
        <f t="shared" si="3"/>
        <v>89.908454545454546</v>
      </c>
      <c r="K9" s="102">
        <f t="shared" si="4"/>
        <v>0.68526639165481273</v>
      </c>
      <c r="L9" s="107">
        <f t="shared" si="5"/>
        <v>-9.7094917022285343E-2</v>
      </c>
      <c r="M9" s="108">
        <f t="shared" si="6"/>
        <v>87.589504242424255</v>
      </c>
      <c r="N9" s="102">
        <f t="shared" si="7"/>
        <v>0.4120515884305358</v>
      </c>
      <c r="O9" s="107">
        <f t="shared" si="8"/>
        <v>-9.9493598862019916E-3</v>
      </c>
      <c r="P9" s="108">
        <f t="shared" si="9"/>
        <v>97.642337078651693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0.6348361972498815</v>
      </c>
      <c r="C10" s="107">
        <f t="shared" si="11"/>
        <v>-9.5367690848743414E-2</v>
      </c>
      <c r="D10" s="108">
        <f t="shared" si="12"/>
        <v>86.939580519480529</v>
      </c>
      <c r="E10" s="102">
        <f t="shared" si="0"/>
        <v>0.69110891417733522</v>
      </c>
      <c r="F10" s="107">
        <f t="shared" si="13"/>
        <v>-9.1252394499762857E-2</v>
      </c>
      <c r="G10" s="108">
        <f t="shared" si="14"/>
        <v>88.336284848484866</v>
      </c>
      <c r="H10" s="102">
        <f t="shared" si="1"/>
        <v>0.79120055002370793</v>
      </c>
      <c r="I10" s="107">
        <f t="shared" si="2"/>
        <v>-4.331817923186343E-2</v>
      </c>
      <c r="J10" s="108">
        <f t="shared" si="3"/>
        <v>94.809202272727276</v>
      </c>
      <c r="K10" s="102">
        <f t="shared" si="4"/>
        <v>0.72754780464675206</v>
      </c>
      <c r="L10" s="107">
        <f t="shared" si="5"/>
        <v>-5.4813504030346016E-2</v>
      </c>
      <c r="M10" s="108">
        <f t="shared" si="6"/>
        <v>92.993837575757581</v>
      </c>
      <c r="N10" s="102">
        <f t="shared" si="7"/>
        <v>0.35593262209577992</v>
      </c>
      <c r="O10" s="107">
        <f t="shared" si="8"/>
        <v>-6.6068326220957874E-2</v>
      </c>
      <c r="P10" s="108">
        <f t="shared" si="9"/>
        <v>84.344033707865151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0.63856464912280697</v>
      </c>
      <c r="C11" s="236">
        <f t="shared" si="11"/>
        <v>-9.1639238975817938E-2</v>
      </c>
      <c r="D11" s="237">
        <f t="shared" si="12"/>
        <v>87.450184740259743</v>
      </c>
      <c r="E11" s="235">
        <f>AVERAGE(E7:E10)</f>
        <v>0.69157016595542919</v>
      </c>
      <c r="F11" s="236">
        <f t="shared" si="13"/>
        <v>-9.0791142721668883E-2</v>
      </c>
      <c r="G11" s="237">
        <f t="shared" si="14"/>
        <v>88.395241212121235</v>
      </c>
      <c r="H11" s="235">
        <f>AVERAGE(H7:H10)</f>
        <v>0.77029046941678525</v>
      </c>
      <c r="I11" s="236">
        <f t="shared" si="2"/>
        <v>-6.4228259838786106E-2</v>
      </c>
      <c r="J11" s="237">
        <f t="shared" si="3"/>
        <v>92.303556818181818</v>
      </c>
      <c r="K11" s="235">
        <f>AVERAGE(K7:K10)</f>
        <v>0.70156395448079656</v>
      </c>
      <c r="L11" s="236">
        <f t="shared" si="5"/>
        <v>-8.0797354196301518E-2</v>
      </c>
      <c r="M11" s="237">
        <f t="shared" si="6"/>
        <v>89.672629090909098</v>
      </c>
      <c r="N11" s="235">
        <f>AVERAGE(N7:N10)</f>
        <v>0.37699645329540066</v>
      </c>
      <c r="O11" s="236">
        <f t="shared" si="8"/>
        <v>-4.5004495021337132E-2</v>
      </c>
      <c r="P11" s="237">
        <f t="shared" si="9"/>
        <v>89.335451685393252</v>
      </c>
      <c r="Q11" s="109"/>
    </row>
    <row r="12" spans="1:19" s="96" customFormat="1" ht="15.75" x14ac:dyDescent="0.25">
      <c r="A12" s="110" t="s">
        <v>24</v>
      </c>
      <c r="B12" s="102">
        <f>B25*$B$32/100/$B$33</f>
        <v>1.0695605263157895</v>
      </c>
      <c r="C12" s="107">
        <f t="shared" si="11"/>
        <v>0.33935663821716455</v>
      </c>
      <c r="D12" s="108">
        <f t="shared" si="12"/>
        <v>146.47423051948053</v>
      </c>
      <c r="E12" s="102">
        <f>E25*$B$32/100/$B$33</f>
        <v>1.1323201754385965</v>
      </c>
      <c r="F12" s="107">
        <f t="shared" si="13"/>
        <v>0.34995886676149845</v>
      </c>
      <c r="G12" s="108">
        <f t="shared" si="14"/>
        <v>144.73110606060609</v>
      </c>
      <c r="H12" s="102">
        <f>H25*$B$32/100/$B$33</f>
        <v>1.2850605263157895</v>
      </c>
      <c r="I12" s="107">
        <f t="shared" si="2"/>
        <v>0.45054179706021813</v>
      </c>
      <c r="J12" s="108">
        <f t="shared" si="3"/>
        <v>153.98821874999999</v>
      </c>
      <c r="K12" s="102">
        <f>K25*$B$32/100/$B$33</f>
        <v>1.0147403508771931</v>
      </c>
      <c r="L12" s="107">
        <f t="shared" si="5"/>
        <v>0.23237904220009498</v>
      </c>
      <c r="M12" s="108">
        <f t="shared" si="6"/>
        <v>129.70226666666667</v>
      </c>
      <c r="N12" s="102">
        <f>N25*$B$32/100/$B$33</f>
        <v>0.50850438596491221</v>
      </c>
      <c r="O12" s="107">
        <f t="shared" si="8"/>
        <v>8.6503437648174419E-2</v>
      </c>
      <c r="P12" s="108">
        <f t="shared" si="9"/>
        <v>120.49839887640448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1.4604305357989569</v>
      </c>
      <c r="F13" s="107">
        <f t="shared" si="13"/>
        <v>0.6780692271218588</v>
      </c>
      <c r="G13" s="108">
        <f t="shared" si="14"/>
        <v>186.66957575757576</v>
      </c>
      <c r="H13" s="102">
        <f t="shared" ref="H13:H14" si="15">H26*$B$34/$B$33</f>
        <v>1.5220284495021339</v>
      </c>
      <c r="I13" s="107">
        <f t="shared" si="2"/>
        <v>0.68750972024656254</v>
      </c>
      <c r="J13" s="108">
        <f t="shared" si="3"/>
        <v>182.38397727272729</v>
      </c>
      <c r="K13" s="102">
        <f t="shared" ref="K13:K14" si="16">K26*$B$34/$B$33</f>
        <v>1.3932328117591277</v>
      </c>
      <c r="L13" s="107">
        <f t="shared" si="5"/>
        <v>0.61087150308202964</v>
      </c>
      <c r="M13" s="108">
        <f t="shared" si="6"/>
        <v>178.0804848484849</v>
      </c>
      <c r="N13" s="102">
        <f t="shared" ref="N13:N14" si="17">N26*$B$34/$B$33</f>
        <v>0.63277856804172594</v>
      </c>
      <c r="O13" s="107">
        <f t="shared" si="8"/>
        <v>0.21077761972498815</v>
      </c>
      <c r="P13" s="108">
        <f t="shared" si="9"/>
        <v>149.94719101123596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1.3394746325272642</v>
      </c>
      <c r="F14" s="107">
        <f t="shared" si="13"/>
        <v>0.5571133238501661</v>
      </c>
      <c r="G14" s="108">
        <f t="shared" si="14"/>
        <v>171.20921212121215</v>
      </c>
      <c r="H14" s="102">
        <f t="shared" si="15"/>
        <v>1.4167520151730677</v>
      </c>
      <c r="I14" s="107">
        <f t="shared" si="2"/>
        <v>0.58223328591749635</v>
      </c>
      <c r="J14" s="108">
        <f t="shared" si="3"/>
        <v>169.76874999999998</v>
      </c>
      <c r="K14" s="102">
        <f t="shared" si="16"/>
        <v>1.2476377430061643</v>
      </c>
      <c r="L14" s="107">
        <f t="shared" si="5"/>
        <v>0.46527643432906618</v>
      </c>
      <c r="M14" s="108">
        <f t="shared" si="6"/>
        <v>159.47078787878792</v>
      </c>
      <c r="N14" s="102">
        <f t="shared" si="17"/>
        <v>0.58126031294452352</v>
      </c>
      <c r="O14" s="107">
        <f t="shared" si="8"/>
        <v>0.15925936462778573</v>
      </c>
      <c r="P14" s="108">
        <f t="shared" si="9"/>
        <v>137.7391011235955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1.367323186344239</v>
      </c>
      <c r="F15" s="119">
        <f t="shared" si="13"/>
        <v>0.58496187766714092</v>
      </c>
      <c r="G15" s="120">
        <f t="shared" si="14"/>
        <v>174.76876363636364</v>
      </c>
      <c r="H15" s="118">
        <f>H28*$B$35/10/$B$33</f>
        <v>1.4354274063537225</v>
      </c>
      <c r="I15" s="119">
        <f t="shared" si="2"/>
        <v>0.6009086770981511</v>
      </c>
      <c r="J15" s="120">
        <f t="shared" si="3"/>
        <v>172.00661363636368</v>
      </c>
      <c r="K15" s="118">
        <f>K28*$B$35/10/$B$33</f>
        <v>1.3594650071123757</v>
      </c>
      <c r="L15" s="119">
        <f t="shared" si="5"/>
        <v>0.57710369843527765</v>
      </c>
      <c r="M15" s="120">
        <f t="shared" si="6"/>
        <v>173.76434545454549</v>
      </c>
      <c r="N15" s="118">
        <f>N28*$B$35/10/$B$33</f>
        <v>0.58150526315789475</v>
      </c>
      <c r="O15" s="119">
        <f t="shared" si="8"/>
        <v>0.15950431484115696</v>
      </c>
      <c r="P15" s="120">
        <f t="shared" si="9"/>
        <v>137.79714606741572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3" t="s">
        <v>214</v>
      </c>
      <c r="X19" s="283" t="s">
        <v>214</v>
      </c>
    </row>
    <row r="20" spans="1:24" s="141" customFormat="1" ht="15.75" x14ac:dyDescent="0.25">
      <c r="A20" s="133" t="s">
        <v>185</v>
      </c>
      <c r="B20" s="134">
        <v>1.54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1.76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34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41.93</v>
      </c>
      <c r="C21" s="144" t="s">
        <v>172</v>
      </c>
      <c r="D21" s="145" t="s">
        <v>172</v>
      </c>
      <c r="E21" s="143">
        <v>45.79</v>
      </c>
      <c r="F21" s="144" t="s">
        <v>172</v>
      </c>
      <c r="G21" s="145" t="s">
        <v>172</v>
      </c>
      <c r="H21" s="143">
        <v>51.24</v>
      </c>
      <c r="I21" s="144" t="s">
        <v>172</v>
      </c>
      <c r="J21" s="145" t="s">
        <v>172</v>
      </c>
      <c r="K21" s="143">
        <v>45.46</v>
      </c>
      <c r="L21" s="144" t="s">
        <v>172</v>
      </c>
      <c r="M21" s="145" t="s">
        <v>172</v>
      </c>
      <c r="N21" s="143">
        <v>23.19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41.31</v>
      </c>
      <c r="C22" s="144" t="s">
        <v>172</v>
      </c>
      <c r="D22" s="145" t="s">
        <v>172</v>
      </c>
      <c r="E22" s="143">
        <v>44.36</v>
      </c>
      <c r="F22" s="144" t="s">
        <v>172</v>
      </c>
      <c r="G22" s="145" t="s">
        <v>172</v>
      </c>
      <c r="H22" s="143">
        <v>48.9</v>
      </c>
      <c r="I22" s="144" t="s">
        <v>172</v>
      </c>
      <c r="J22" s="145" t="s">
        <v>172</v>
      </c>
      <c r="K22" s="143">
        <v>45.17</v>
      </c>
      <c r="L22" s="144" t="s">
        <v>172</v>
      </c>
      <c r="M22" s="145" t="s">
        <v>172</v>
      </c>
      <c r="N22" s="143">
        <v>24.94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41.6</v>
      </c>
      <c r="C23" s="144" t="s">
        <v>172</v>
      </c>
      <c r="D23" s="145" t="s">
        <v>172</v>
      </c>
      <c r="E23" s="143">
        <v>44.82</v>
      </c>
      <c r="F23" s="144" t="s">
        <v>172</v>
      </c>
      <c r="G23" s="145" t="s">
        <v>172</v>
      </c>
      <c r="H23" s="143">
        <v>48.8</v>
      </c>
      <c r="I23" s="144" t="s">
        <v>172</v>
      </c>
      <c r="J23" s="145" t="s">
        <v>172</v>
      </c>
      <c r="K23" s="143">
        <v>44.57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41.29</v>
      </c>
      <c r="C24" s="144" t="s">
        <v>172</v>
      </c>
      <c r="D24" s="145" t="s">
        <v>172</v>
      </c>
      <c r="E24" s="143">
        <v>44.95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47.32</v>
      </c>
      <c r="L24" s="144" t="s">
        <v>172</v>
      </c>
      <c r="M24" s="145" t="s">
        <v>172</v>
      </c>
      <c r="N24" s="143">
        <v>23.15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29.95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13.45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1.304</v>
      </c>
      <c r="F26" s="144" t="s">
        <v>172</v>
      </c>
      <c r="G26" s="145" t="s">
        <v>172</v>
      </c>
      <c r="H26" s="153">
        <v>1.359</v>
      </c>
      <c r="I26" s="144" t="s">
        <v>172</v>
      </c>
      <c r="J26" s="145" t="s">
        <v>172</v>
      </c>
      <c r="K26" s="153">
        <v>1.244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1.196</v>
      </c>
      <c r="F27" s="144" t="s">
        <v>172</v>
      </c>
      <c r="G27" s="145" t="s">
        <v>172</v>
      </c>
      <c r="H27" s="153">
        <v>1.2649999999999999</v>
      </c>
      <c r="I27" s="144" t="s">
        <v>172</v>
      </c>
      <c r="J27" s="145" t="s">
        <v>172</v>
      </c>
      <c r="K27" s="153">
        <v>1.1140000000000001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5.22</v>
      </c>
      <c r="F28" s="158" t="s">
        <v>172</v>
      </c>
      <c r="G28" s="159" t="s">
        <v>172</v>
      </c>
      <c r="H28" s="234">
        <v>5.48</v>
      </c>
      <c r="I28" s="158" t="s">
        <v>172</v>
      </c>
      <c r="J28" s="159" t="s">
        <v>172</v>
      </c>
      <c r="K28" s="234">
        <v>5.19</v>
      </c>
      <c r="L28" s="158" t="s">
        <v>172</v>
      </c>
      <c r="M28" s="159" t="s">
        <v>172</v>
      </c>
      <c r="N28" s="234">
        <v>2.2200000000000002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7.9734999999999996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2.109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2.3620000000000001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5.5243000000000002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3.2425999999999999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43605</v>
      </c>
      <c r="E2" s="493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0.74805792653687553</v>
      </c>
      <c r="C6" s="103" t="s">
        <v>172</v>
      </c>
      <c r="D6" s="104" t="s">
        <v>172</v>
      </c>
      <c r="E6" s="102">
        <f>E20/$B$33</f>
        <v>0.80080560084396279</v>
      </c>
      <c r="F6" s="103" t="s">
        <v>172</v>
      </c>
      <c r="G6" s="104" t="s">
        <v>172</v>
      </c>
      <c r="H6" s="102">
        <f>H20/$B$33</f>
        <v>0.85355327515105017</v>
      </c>
      <c r="I6" s="103" t="s">
        <v>172</v>
      </c>
      <c r="J6" s="104" t="s">
        <v>172</v>
      </c>
      <c r="K6" s="102">
        <f>K20/$B$33</f>
        <v>0.80080560084396279</v>
      </c>
      <c r="L6" s="103" t="s">
        <v>172</v>
      </c>
      <c r="M6" s="104" t="s">
        <v>172</v>
      </c>
      <c r="N6" s="102">
        <f>N20/$B$33</f>
        <v>0.43157188069435121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0.64938616092835921</v>
      </c>
      <c r="C7" s="107">
        <f>B7-B$6</f>
        <v>-9.8671765608516315E-2</v>
      </c>
      <c r="D7" s="108">
        <f>B7/B$6*100</f>
        <v>86.80960897435898</v>
      </c>
      <c r="E7" s="102">
        <f t="shared" ref="E7:E10" si="0">E21*$B$36/100/$B$33</f>
        <v>0.708984175697708</v>
      </c>
      <c r="F7" s="107">
        <f>E7-E$6</f>
        <v>-9.1821425146254798E-2</v>
      </c>
      <c r="G7" s="108">
        <f>E7/E$6*100</f>
        <v>88.533868263473067</v>
      </c>
      <c r="H7" s="102">
        <f t="shared" ref="H7:H10" si="1">H21*$B$36/100/$B$33</f>
        <v>0.79319539656660598</v>
      </c>
      <c r="I7" s="107">
        <f t="shared" ref="I7:I15" si="2">H7-H$6</f>
        <v>-6.0357878584444191E-2</v>
      </c>
      <c r="J7" s="108">
        <f t="shared" ref="J7:J15" si="3">H7/H$6*100</f>
        <v>92.928633707865174</v>
      </c>
      <c r="K7" s="102">
        <f t="shared" ref="K7:K10" si="4">K21*$B$36/100/$B$33</f>
        <v>0.70356617435503988</v>
      </c>
      <c r="L7" s="107">
        <f t="shared" ref="L7:L15" si="5">K7-K$6</f>
        <v>-9.723942648892292E-2</v>
      </c>
      <c r="M7" s="108">
        <f t="shared" ref="M7:M15" si="6">K7/K$6*100</f>
        <v>87.857299401197608</v>
      </c>
      <c r="N7" s="102">
        <f t="shared" ref="N7:N10" si="7">N21*$B$36/100/$B$33</f>
        <v>0.35402768773376814</v>
      </c>
      <c r="O7" s="107">
        <f t="shared" ref="O7:O15" si="8">N7-N$6</f>
        <v>-7.7544192960583069E-2</v>
      </c>
      <c r="P7" s="108">
        <f t="shared" ref="P7:P15" si="9">N7/N$6*100</f>
        <v>82.032148888888898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0.63808575812793711</v>
      </c>
      <c r="C8" s="107">
        <f t="shared" ref="C8:C12" si="11">B8-B$6</f>
        <v>-0.10997216840893842</v>
      </c>
      <c r="D8" s="108">
        <f t="shared" ref="D8:D12" si="12">B8/B$6*100</f>
        <v>85.298976923076921</v>
      </c>
      <c r="E8" s="102">
        <f t="shared" si="0"/>
        <v>0.68560936990505417</v>
      </c>
      <c r="F8" s="107">
        <f t="shared" ref="F8:F15" si="13">E8-E$6</f>
        <v>-0.11519623093890863</v>
      </c>
      <c r="G8" s="108">
        <f t="shared" ref="G8:G15" si="14">E8/E$6*100</f>
        <v>85.614956886227546</v>
      </c>
      <c r="H8" s="102">
        <f t="shared" si="1"/>
        <v>0.76703419008343721</v>
      </c>
      <c r="I8" s="107">
        <f t="shared" si="2"/>
        <v>-8.6519085067612966E-2</v>
      </c>
      <c r="J8" s="108">
        <f t="shared" si="3"/>
        <v>89.863657303370786</v>
      </c>
      <c r="K8" s="102">
        <f t="shared" si="4"/>
        <v>0.7000057734727152</v>
      </c>
      <c r="L8" s="107">
        <f t="shared" si="5"/>
        <v>-0.1007998273712476</v>
      </c>
      <c r="M8" s="108">
        <f t="shared" si="6"/>
        <v>87.412697005988036</v>
      </c>
      <c r="N8" s="102">
        <f t="shared" si="7"/>
        <v>0.38158209456219433</v>
      </c>
      <c r="O8" s="107">
        <f t="shared" si="8"/>
        <v>-4.9989786132156877E-2</v>
      </c>
      <c r="P8" s="108">
        <f t="shared" si="9"/>
        <v>88.416811111111116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0.64319415939388125</v>
      </c>
      <c r="C9" s="107">
        <f t="shared" si="11"/>
        <v>-0.10486376714299428</v>
      </c>
      <c r="D9" s="108">
        <f t="shared" si="12"/>
        <v>85.981865384615375</v>
      </c>
      <c r="E9" s="102">
        <f t="shared" si="0"/>
        <v>0.69273017166970363</v>
      </c>
      <c r="F9" s="107">
        <f t="shared" si="13"/>
        <v>-0.10807542917425916</v>
      </c>
      <c r="G9" s="108">
        <f t="shared" si="14"/>
        <v>86.504161676646703</v>
      </c>
      <c r="H9" s="102">
        <f t="shared" si="1"/>
        <v>0.75821058789680629</v>
      </c>
      <c r="I9" s="107">
        <f t="shared" si="2"/>
        <v>-9.5342687254243885E-2</v>
      </c>
      <c r="J9" s="108">
        <f t="shared" si="3"/>
        <v>88.829907865168536</v>
      </c>
      <c r="K9" s="102">
        <f t="shared" si="4"/>
        <v>0.69180137143953202</v>
      </c>
      <c r="L9" s="107">
        <f t="shared" si="5"/>
        <v>-0.10900422940443077</v>
      </c>
      <c r="M9" s="108">
        <f t="shared" si="6"/>
        <v>86.388178443113773</v>
      </c>
      <c r="N9" s="102">
        <f t="shared" si="7"/>
        <v>0.41486410281001246</v>
      </c>
      <c r="O9" s="107">
        <f t="shared" si="8"/>
        <v>-1.6707777884338748E-2</v>
      </c>
      <c r="P9" s="108">
        <f t="shared" si="9"/>
        <v>96.128622222222219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0.64272975927879561</v>
      </c>
      <c r="C10" s="107">
        <f t="shared" si="11"/>
        <v>-0.10532816725807992</v>
      </c>
      <c r="D10" s="108">
        <f t="shared" si="12"/>
        <v>85.919784615384629</v>
      </c>
      <c r="E10" s="102">
        <f t="shared" si="0"/>
        <v>0.69350417186151336</v>
      </c>
      <c r="F10" s="107">
        <f t="shared" si="13"/>
        <v>-0.10730142898244943</v>
      </c>
      <c r="G10" s="108">
        <f t="shared" si="14"/>
        <v>86.600814371257485</v>
      </c>
      <c r="H10" s="102">
        <f t="shared" si="1"/>
        <v>0.79660099741056889</v>
      </c>
      <c r="I10" s="107">
        <f t="shared" si="2"/>
        <v>-5.6952277740481283E-2</v>
      </c>
      <c r="J10" s="108">
        <f t="shared" si="3"/>
        <v>93.327624719101138</v>
      </c>
      <c r="K10" s="102">
        <f t="shared" si="4"/>
        <v>0.72554777980243601</v>
      </c>
      <c r="L10" s="107">
        <f t="shared" si="5"/>
        <v>-7.5257821041526785E-2</v>
      </c>
      <c r="M10" s="108">
        <f t="shared" si="6"/>
        <v>90.602235928143713</v>
      </c>
      <c r="N10" s="102">
        <f t="shared" si="7"/>
        <v>0.36455409034238045</v>
      </c>
      <c r="O10" s="107">
        <f t="shared" si="8"/>
        <v>-6.7017790351970752E-2</v>
      </c>
      <c r="P10" s="108">
        <f t="shared" si="9"/>
        <v>84.471233333333345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0.64334895943224335</v>
      </c>
      <c r="C11" s="236">
        <f t="shared" si="11"/>
        <v>-0.10470896710463218</v>
      </c>
      <c r="D11" s="237">
        <f t="shared" si="12"/>
        <v>86.002558974358976</v>
      </c>
      <c r="E11" s="235">
        <f>AVERAGE(E7:E10)</f>
        <v>0.69520697228349482</v>
      </c>
      <c r="F11" s="236">
        <f t="shared" si="13"/>
        <v>-0.10559862856046798</v>
      </c>
      <c r="G11" s="237">
        <f t="shared" si="14"/>
        <v>86.813450299401211</v>
      </c>
      <c r="H11" s="235">
        <f>AVERAGE(H7:H10)</f>
        <v>0.77876029298935467</v>
      </c>
      <c r="I11" s="236">
        <f t="shared" si="2"/>
        <v>-7.4792982161695498E-2</v>
      </c>
      <c r="J11" s="237">
        <f t="shared" si="3"/>
        <v>91.237455898876419</v>
      </c>
      <c r="K11" s="235">
        <f>AVERAGE(K7:K10)</f>
        <v>0.70523027476743083</v>
      </c>
      <c r="L11" s="236">
        <f t="shared" si="5"/>
        <v>-9.5575326076531963E-2</v>
      </c>
      <c r="M11" s="237">
        <f t="shared" si="6"/>
        <v>88.0651026946108</v>
      </c>
      <c r="N11" s="235">
        <f>AVERAGE(N7:N10)</f>
        <v>0.37875699386208883</v>
      </c>
      <c r="O11" s="236">
        <f t="shared" si="8"/>
        <v>-5.2814886832262375E-2</v>
      </c>
      <c r="P11" s="237">
        <f t="shared" si="9"/>
        <v>87.762203888888891</v>
      </c>
      <c r="Q11" s="109"/>
    </row>
    <row r="12" spans="1:19" s="96" customFormat="1" ht="15.75" x14ac:dyDescent="0.25">
      <c r="A12" s="110" t="s">
        <v>24</v>
      </c>
      <c r="B12" s="102">
        <f>B25*$B$32/100/$B$33</f>
        <v>1.0728060707777884</v>
      </c>
      <c r="C12" s="107">
        <f t="shared" si="11"/>
        <v>0.32474814424091292</v>
      </c>
      <c r="D12" s="108">
        <f t="shared" si="12"/>
        <v>143.41216538461538</v>
      </c>
      <c r="E12" s="102">
        <f>E25*$B$32/100/$B$33</f>
        <v>1.1183121607365494</v>
      </c>
      <c r="F12" s="107">
        <f t="shared" si="13"/>
        <v>0.31750655989258658</v>
      </c>
      <c r="G12" s="108">
        <f t="shared" si="14"/>
        <v>139.64839401197605</v>
      </c>
      <c r="H12" s="102">
        <f>H25*$B$32/100/$B$33</f>
        <v>1.2889599980819029</v>
      </c>
      <c r="I12" s="107">
        <f t="shared" si="2"/>
        <v>0.4354067229308527</v>
      </c>
      <c r="J12" s="108">
        <f t="shared" si="3"/>
        <v>151.01107752808991</v>
      </c>
      <c r="K12" s="102">
        <f>K25*$B$32/100/$B$33</f>
        <v>1.0178195454109524</v>
      </c>
      <c r="L12" s="107">
        <f t="shared" si="5"/>
        <v>0.21701394456698964</v>
      </c>
      <c r="M12" s="108">
        <f t="shared" si="6"/>
        <v>127.09945389221558</v>
      </c>
      <c r="N12" s="102">
        <f>N25*$B$32/100/$B$33</f>
        <v>0.51459803395032133</v>
      </c>
      <c r="O12" s="107">
        <f t="shared" si="8"/>
        <v>8.3026153255970125E-2</v>
      </c>
      <c r="P12" s="108">
        <f t="shared" si="9"/>
        <v>119.23808222222223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1.4467681979476359</v>
      </c>
      <c r="F13" s="107">
        <f t="shared" si="13"/>
        <v>0.6459625971036731</v>
      </c>
      <c r="G13" s="108">
        <f t="shared" si="14"/>
        <v>180.66409580838322</v>
      </c>
      <c r="H13" s="102">
        <f t="shared" ref="H13:H14" si="15">H26*$B$34/$B$33</f>
        <v>1.5082614366548384</v>
      </c>
      <c r="I13" s="107">
        <f t="shared" si="2"/>
        <v>0.65470816150378819</v>
      </c>
      <c r="J13" s="108">
        <f t="shared" si="3"/>
        <v>176.70384269662921</v>
      </c>
      <c r="K13" s="102">
        <f t="shared" ref="K13:K14" si="16">K26*$B$34/$B$33</f>
        <v>1.3517331926728686</v>
      </c>
      <c r="L13" s="107">
        <f t="shared" si="5"/>
        <v>0.55092759182890583</v>
      </c>
      <c r="M13" s="108">
        <f t="shared" si="6"/>
        <v>168.79667065868264</v>
      </c>
      <c r="N13" s="102">
        <f t="shared" ref="N13:N14" si="17">N26*$B$34/$B$33</f>
        <v>0.63170327035580698</v>
      </c>
      <c r="O13" s="107">
        <f t="shared" si="8"/>
        <v>0.20013138966145577</v>
      </c>
      <c r="P13" s="108">
        <f t="shared" si="9"/>
        <v>146.37266666666667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1.3539693104440396</v>
      </c>
      <c r="F14" s="107">
        <f t="shared" si="13"/>
        <v>0.55316370960007677</v>
      </c>
      <c r="G14" s="108">
        <f t="shared" si="14"/>
        <v>169.07590419161679</v>
      </c>
      <c r="H14" s="102">
        <f t="shared" si="15"/>
        <v>1.4311153735494391</v>
      </c>
      <c r="I14" s="107">
        <f t="shared" si="2"/>
        <v>0.5775620983983889</v>
      </c>
      <c r="J14" s="108">
        <f t="shared" si="3"/>
        <v>167.66561797752811</v>
      </c>
      <c r="K14" s="102">
        <f t="shared" si="16"/>
        <v>1.2678787762539561</v>
      </c>
      <c r="L14" s="107">
        <f t="shared" si="5"/>
        <v>0.46707317540999327</v>
      </c>
      <c r="M14" s="108">
        <f t="shared" si="6"/>
        <v>158.32541317365269</v>
      </c>
      <c r="N14" s="102">
        <f t="shared" si="17"/>
        <v>0.58027256161887408</v>
      </c>
      <c r="O14" s="107">
        <f t="shared" si="8"/>
        <v>0.14870068092452288</v>
      </c>
      <c r="P14" s="108">
        <f t="shared" si="9"/>
        <v>134.4556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1.3526593459288387</v>
      </c>
      <c r="F15" s="119">
        <f t="shared" si="13"/>
        <v>0.55185374508487595</v>
      </c>
      <c r="G15" s="120">
        <f t="shared" si="14"/>
        <v>168.91232335329343</v>
      </c>
      <c r="H15" s="118">
        <f>H28*$B$35/10/$B$33</f>
        <v>1.3993027716505229</v>
      </c>
      <c r="I15" s="119">
        <f t="shared" si="2"/>
        <v>0.54574949649947269</v>
      </c>
      <c r="J15" s="120">
        <f t="shared" si="3"/>
        <v>163.93853932584273</v>
      </c>
      <c r="K15" s="118">
        <f>K28*$B$35/10/$B$33</f>
        <v>1.3422941402129087</v>
      </c>
      <c r="L15" s="119">
        <f t="shared" si="5"/>
        <v>0.54148853936894592</v>
      </c>
      <c r="M15" s="120">
        <f t="shared" si="6"/>
        <v>167.61797604790419</v>
      </c>
      <c r="N15" s="118">
        <f>N28*$B$35/10/$B$33</f>
        <v>0.57786021866308623</v>
      </c>
      <c r="O15" s="119">
        <f t="shared" si="8"/>
        <v>0.14628833796873503</v>
      </c>
      <c r="P15" s="120">
        <f t="shared" si="9"/>
        <v>133.89663333333331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5" t="s">
        <v>214</v>
      </c>
      <c r="X19" s="285" t="s">
        <v>214</v>
      </c>
    </row>
    <row r="20" spans="1:24" s="141" customFormat="1" ht="15.75" x14ac:dyDescent="0.25">
      <c r="A20" s="133" t="s">
        <v>185</v>
      </c>
      <c r="B20" s="134">
        <v>1.56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41.95</v>
      </c>
      <c r="C21" s="144" t="s">
        <v>172</v>
      </c>
      <c r="D21" s="145" t="s">
        <v>172</v>
      </c>
      <c r="E21" s="143">
        <v>45.8</v>
      </c>
      <c r="F21" s="144" t="s">
        <v>172</v>
      </c>
      <c r="G21" s="145" t="s">
        <v>172</v>
      </c>
      <c r="H21" s="143">
        <v>51.24</v>
      </c>
      <c r="I21" s="144" t="s">
        <v>172</v>
      </c>
      <c r="J21" s="145" t="s">
        <v>172</v>
      </c>
      <c r="K21" s="143">
        <v>45.45</v>
      </c>
      <c r="L21" s="144" t="s">
        <v>172</v>
      </c>
      <c r="M21" s="145" t="s">
        <v>172</v>
      </c>
      <c r="N21" s="143">
        <v>22.87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41.22</v>
      </c>
      <c r="C22" s="144" t="s">
        <v>172</v>
      </c>
      <c r="D22" s="145" t="s">
        <v>172</v>
      </c>
      <c r="E22" s="143">
        <v>44.29</v>
      </c>
      <c r="F22" s="144" t="s">
        <v>172</v>
      </c>
      <c r="G22" s="145" t="s">
        <v>172</v>
      </c>
      <c r="H22" s="143">
        <v>49.55</v>
      </c>
      <c r="I22" s="144" t="s">
        <v>172</v>
      </c>
      <c r="J22" s="145" t="s">
        <v>172</v>
      </c>
      <c r="K22" s="143">
        <v>45.22</v>
      </c>
      <c r="L22" s="144" t="s">
        <v>172</v>
      </c>
      <c r="M22" s="145" t="s">
        <v>172</v>
      </c>
      <c r="N22" s="143">
        <v>24.65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41.55</v>
      </c>
      <c r="C23" s="144" t="s">
        <v>172</v>
      </c>
      <c r="D23" s="145" t="s">
        <v>172</v>
      </c>
      <c r="E23" s="143">
        <v>44.75</v>
      </c>
      <c r="F23" s="144" t="s">
        <v>172</v>
      </c>
      <c r="G23" s="145" t="s">
        <v>172</v>
      </c>
      <c r="H23" s="143">
        <v>48.98</v>
      </c>
      <c r="I23" s="144" t="s">
        <v>172</v>
      </c>
      <c r="J23" s="145" t="s">
        <v>172</v>
      </c>
      <c r="K23" s="143">
        <v>44.69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41.52</v>
      </c>
      <c r="C24" s="144" t="s">
        <v>172</v>
      </c>
      <c r="D24" s="145" t="s">
        <v>172</v>
      </c>
      <c r="E24" s="143">
        <v>44.8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46.87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13.57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1.294</v>
      </c>
      <c r="F26" s="144" t="s">
        <v>172</v>
      </c>
      <c r="G26" s="145" t="s">
        <v>172</v>
      </c>
      <c r="H26" s="153">
        <v>1.349</v>
      </c>
      <c r="I26" s="144" t="s">
        <v>172</v>
      </c>
      <c r="J26" s="145" t="s">
        <v>172</v>
      </c>
      <c r="K26" s="153">
        <v>1.2090000000000001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1.2110000000000001</v>
      </c>
      <c r="F27" s="144" t="s">
        <v>172</v>
      </c>
      <c r="G27" s="145" t="s">
        <v>172</v>
      </c>
      <c r="H27" s="153">
        <v>1.28</v>
      </c>
      <c r="I27" s="144" t="s">
        <v>172</v>
      </c>
      <c r="J27" s="145" t="s">
        <v>172</v>
      </c>
      <c r="K27" s="153">
        <v>1.1339999999999999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5.22</v>
      </c>
      <c r="F28" s="158" t="s">
        <v>172</v>
      </c>
      <c r="G28" s="159" t="s">
        <v>172</v>
      </c>
      <c r="H28" s="234">
        <v>5.4</v>
      </c>
      <c r="I28" s="158" t="s">
        <v>172</v>
      </c>
      <c r="J28" s="159" t="s">
        <v>172</v>
      </c>
      <c r="K28" s="234">
        <v>5.18</v>
      </c>
      <c r="L28" s="158" t="s">
        <v>172</v>
      </c>
      <c r="M28" s="159" t="s">
        <v>172</v>
      </c>
      <c r="N28" s="234">
        <v>2.23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7.9081999999999999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2.0853999999999999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2.3315999999999999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5.4039000000000001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3.2282000000000002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7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43612</v>
      </c>
      <c r="E2" s="493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0.75506179964411102</v>
      </c>
      <c r="C6" s="103" t="s">
        <v>172</v>
      </c>
      <c r="D6" s="104" t="s">
        <v>172</v>
      </c>
      <c r="E6" s="102">
        <f>E20/$B$33</f>
        <v>0.80796421872745638</v>
      </c>
      <c r="F6" s="103" t="s">
        <v>172</v>
      </c>
      <c r="G6" s="104" t="s">
        <v>172</v>
      </c>
      <c r="H6" s="102">
        <f>H20/$B$33</f>
        <v>0.86086663781080175</v>
      </c>
      <c r="I6" s="103" t="s">
        <v>172</v>
      </c>
      <c r="J6" s="104" t="s">
        <v>172</v>
      </c>
      <c r="K6" s="102">
        <f>K20/$B$33</f>
        <v>0.80796421872745638</v>
      </c>
      <c r="L6" s="103" t="s">
        <v>172</v>
      </c>
      <c r="M6" s="104" t="s">
        <v>172</v>
      </c>
      <c r="N6" s="102">
        <f>N20/$B$33</f>
        <v>0.43283797431828019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0.64975794738613968</v>
      </c>
      <c r="C7" s="107">
        <f>B7-B$6</f>
        <v>-0.10530385225797134</v>
      </c>
      <c r="D7" s="108">
        <f>B7/B$6*100</f>
        <v>86.053611464968156</v>
      </c>
      <c r="E7" s="102">
        <f t="shared" ref="E7:E10" si="0">E21*$B$36/100/$B$33</f>
        <v>0.70892541720771429</v>
      </c>
      <c r="F7" s="107">
        <f>E7-E$6</f>
        <v>-9.9038801519742092E-2</v>
      </c>
      <c r="G7" s="108">
        <f>E7/E$6*100</f>
        <v>87.742179761904779</v>
      </c>
      <c r="H7" s="102">
        <f t="shared" ref="H7:H10" si="1">H21*$B$36/100/$B$33</f>
        <v>0.79333973933535329</v>
      </c>
      <c r="I7" s="107">
        <f t="shared" ref="I7:I15" si="2">H7-H$6</f>
        <v>-6.752689847544846E-2</v>
      </c>
      <c r="J7" s="108">
        <f t="shared" ref="J7:J15" si="3">H7/H$6*100</f>
        <v>92.155939664804478</v>
      </c>
      <c r="K7" s="102">
        <f t="shared" ref="K7:K10" si="4">K21*$B$36/100/$B$33</f>
        <v>0.70365920261626513</v>
      </c>
      <c r="L7" s="107">
        <f t="shared" ref="L7:L15" si="5">K7-K$6</f>
        <v>-0.10430501611119125</v>
      </c>
      <c r="M7" s="108">
        <f t="shared" ref="M7:M15" si="6">K7/K$6*100</f>
        <v>87.090391666666662</v>
      </c>
      <c r="N7" s="102">
        <f t="shared" ref="N7:N10" si="7">N21*$B$36/100/$B$33</f>
        <v>0.35748303756071759</v>
      </c>
      <c r="O7" s="107">
        <f t="shared" ref="O7:O15" si="8">N7-N$6</f>
        <v>-7.5354936757562607E-2</v>
      </c>
      <c r="P7" s="108">
        <f t="shared" ref="P7:P15" si="9">N7/N$6*100</f>
        <v>82.590497777777784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0.64108418217669416</v>
      </c>
      <c r="C8" s="107">
        <f t="shared" ref="C8:C12" si="11">B8-B$6</f>
        <v>-0.11397761746741686</v>
      </c>
      <c r="D8" s="108">
        <f t="shared" ref="D8:D12" si="12">B8/B$6*100</f>
        <v>84.904862420382173</v>
      </c>
      <c r="E8" s="102">
        <f t="shared" si="0"/>
        <v>0.68863500216419005</v>
      </c>
      <c r="F8" s="107">
        <f t="shared" ref="F8:F15" si="13">E8-E$6</f>
        <v>-0.11932921656326634</v>
      </c>
      <c r="G8" s="108">
        <f t="shared" ref="G8:G15" si="14">E8/E$6*100</f>
        <v>85.23087857142859</v>
      </c>
      <c r="H8" s="102">
        <f t="shared" si="1"/>
        <v>0.7674733323714712</v>
      </c>
      <c r="I8" s="107">
        <f t="shared" si="2"/>
        <v>-9.3393305439330554E-2</v>
      </c>
      <c r="J8" s="108">
        <f t="shared" si="3"/>
        <v>89.151245810055869</v>
      </c>
      <c r="K8" s="102">
        <f t="shared" si="4"/>
        <v>0.70009676333381432</v>
      </c>
      <c r="L8" s="107">
        <f t="shared" si="5"/>
        <v>-0.10786745539364206</v>
      </c>
      <c r="M8" s="108">
        <f t="shared" si="6"/>
        <v>86.649476190476193</v>
      </c>
      <c r="N8" s="102">
        <f t="shared" si="7"/>
        <v>0.38180055788005574</v>
      </c>
      <c r="O8" s="107">
        <f t="shared" si="8"/>
        <v>-5.1037416438224459E-2</v>
      </c>
      <c r="P8" s="108">
        <f t="shared" si="9"/>
        <v>88.208655555555538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0.64495639878805366</v>
      </c>
      <c r="C9" s="107">
        <f t="shared" si="11"/>
        <v>-0.11010540085605736</v>
      </c>
      <c r="D9" s="108">
        <f t="shared" si="12"/>
        <v>85.417696815286632</v>
      </c>
      <c r="E9" s="102">
        <f t="shared" si="0"/>
        <v>0.69498543740681962</v>
      </c>
      <c r="F9" s="107">
        <f t="shared" si="13"/>
        <v>-0.11297878132063677</v>
      </c>
      <c r="G9" s="108">
        <f t="shared" si="14"/>
        <v>86.016858333333332</v>
      </c>
      <c r="H9" s="102">
        <f t="shared" si="1"/>
        <v>0.75740556918193624</v>
      </c>
      <c r="I9" s="107">
        <f t="shared" si="2"/>
        <v>-0.1034610686288655</v>
      </c>
      <c r="J9" s="108">
        <f t="shared" si="3"/>
        <v>87.981754189944127</v>
      </c>
      <c r="K9" s="102">
        <f t="shared" si="4"/>
        <v>0.6923523301110952</v>
      </c>
      <c r="L9" s="107">
        <f t="shared" si="5"/>
        <v>-0.11561188861636118</v>
      </c>
      <c r="M9" s="108">
        <f t="shared" si="6"/>
        <v>85.690964285714301</v>
      </c>
      <c r="N9" s="102">
        <f t="shared" si="7"/>
        <v>0.41510162073774837</v>
      </c>
      <c r="O9" s="107">
        <f t="shared" si="8"/>
        <v>-1.7736353580531827E-2</v>
      </c>
      <c r="P9" s="108">
        <f t="shared" si="9"/>
        <v>95.902311111111132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0.64108418217669416</v>
      </c>
      <c r="C10" s="107">
        <f t="shared" si="11"/>
        <v>-0.11397761746741686</v>
      </c>
      <c r="D10" s="108">
        <f t="shared" si="12"/>
        <v>84.904862420382173</v>
      </c>
      <c r="E10" s="102">
        <f t="shared" si="0"/>
        <v>0.68383345356610403</v>
      </c>
      <c r="F10" s="107">
        <f t="shared" si="13"/>
        <v>-0.12413076516135235</v>
      </c>
      <c r="G10" s="108">
        <f t="shared" si="14"/>
        <v>84.636601190476185</v>
      </c>
      <c r="H10" s="102">
        <f t="shared" si="1"/>
        <v>0.79705706728225856</v>
      </c>
      <c r="I10" s="107">
        <f t="shared" si="2"/>
        <v>-6.3809570528543191E-2</v>
      </c>
      <c r="J10" s="108">
        <f t="shared" si="3"/>
        <v>92.587751955307269</v>
      </c>
      <c r="K10" s="102">
        <f t="shared" si="4"/>
        <v>0.70319453662290188</v>
      </c>
      <c r="L10" s="107">
        <f t="shared" si="5"/>
        <v>-0.10476968210455451</v>
      </c>
      <c r="M10" s="108">
        <f t="shared" si="6"/>
        <v>87.032880952380935</v>
      </c>
      <c r="N10" s="102">
        <f t="shared" si="7"/>
        <v>0.36476280479007367</v>
      </c>
      <c r="O10" s="107">
        <f t="shared" si="8"/>
        <v>-6.8075169528206525E-2</v>
      </c>
      <c r="P10" s="108">
        <f t="shared" si="9"/>
        <v>84.272366666666684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0.6442206776318955</v>
      </c>
      <c r="C11" s="236">
        <f t="shared" si="11"/>
        <v>-0.11084112201221552</v>
      </c>
      <c r="D11" s="237">
        <f t="shared" si="12"/>
        <v>85.320258280254791</v>
      </c>
      <c r="E11" s="235">
        <f>AVERAGE(E7:E10)</f>
        <v>0.694094827586207</v>
      </c>
      <c r="F11" s="236">
        <f t="shared" si="13"/>
        <v>-0.11386939114124939</v>
      </c>
      <c r="G11" s="237">
        <f t="shared" si="14"/>
        <v>85.906629464285729</v>
      </c>
      <c r="H11" s="235">
        <f>AVERAGE(H7:H10)</f>
        <v>0.77881892704275479</v>
      </c>
      <c r="I11" s="236">
        <f t="shared" si="2"/>
        <v>-8.2047710768046955E-2</v>
      </c>
      <c r="J11" s="237">
        <f t="shared" si="3"/>
        <v>90.469172905027932</v>
      </c>
      <c r="K11" s="235">
        <f>AVERAGE(K7:K10)</f>
        <v>0.69982570817101919</v>
      </c>
      <c r="L11" s="236">
        <f t="shared" si="5"/>
        <v>-0.1081385105564372</v>
      </c>
      <c r="M11" s="237">
        <f t="shared" si="6"/>
        <v>86.61592827380953</v>
      </c>
      <c r="N11" s="235">
        <f>AVERAGE(N7:N10)</f>
        <v>0.37978700524214887</v>
      </c>
      <c r="O11" s="236">
        <f t="shared" si="8"/>
        <v>-5.3050969076131327E-2</v>
      </c>
      <c r="P11" s="237">
        <f t="shared" si="9"/>
        <v>87.743457777777792</v>
      </c>
      <c r="Q11" s="109"/>
    </row>
    <row r="12" spans="1:19" s="96" customFormat="1" ht="15.75" x14ac:dyDescent="0.25">
      <c r="A12" s="110" t="s">
        <v>24</v>
      </c>
      <c r="B12" s="102">
        <f>B25*$B$32/100/$B$33</f>
        <v>1.0713818785168086</v>
      </c>
      <c r="C12" s="107">
        <f t="shared" si="11"/>
        <v>0.31632007887269753</v>
      </c>
      <c r="D12" s="108">
        <f t="shared" si="12"/>
        <v>141.89327006369425</v>
      </c>
      <c r="E12" s="102">
        <f>E25*$B$32/100/$B$33</f>
        <v>1.1168275573510316</v>
      </c>
      <c r="F12" s="107">
        <f t="shared" si="13"/>
        <v>0.30886333862357518</v>
      </c>
      <c r="G12" s="108">
        <f t="shared" si="14"/>
        <v>138.22735357142858</v>
      </c>
      <c r="H12" s="102">
        <f>H25*$B$32/100/$B$33</f>
        <v>1.2872488529793684</v>
      </c>
      <c r="I12" s="107">
        <f t="shared" si="2"/>
        <v>0.42638221516856667</v>
      </c>
      <c r="J12" s="108">
        <f t="shared" si="3"/>
        <v>149.52941564245813</v>
      </c>
      <c r="K12" s="102">
        <f>K25*$B$32/100/$B$33</f>
        <v>1.0164683499254556</v>
      </c>
      <c r="L12" s="107">
        <f t="shared" si="5"/>
        <v>0.20850413119799927</v>
      </c>
      <c r="M12" s="108">
        <f t="shared" si="6"/>
        <v>125.80610952380951</v>
      </c>
      <c r="N12" s="102">
        <f>N25*$B$32/100/$B$33</f>
        <v>0.50823417496272782</v>
      </c>
      <c r="O12" s="107">
        <f t="shared" si="8"/>
        <v>7.5396200644447631E-2</v>
      </c>
      <c r="P12" s="108">
        <f t="shared" si="9"/>
        <v>117.41903555555555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1.4693948925119031</v>
      </c>
      <c r="F13" s="107">
        <f t="shared" si="13"/>
        <v>0.66143067378444675</v>
      </c>
      <c r="G13" s="108">
        <f t="shared" si="14"/>
        <v>181.86385714285714</v>
      </c>
      <c r="H13" s="102">
        <f t="shared" ref="H13:H14" si="15">H26*$B$34/$B$33</f>
        <v>1.5308992449382004</v>
      </c>
      <c r="I13" s="107">
        <f t="shared" si="2"/>
        <v>0.67003260712739865</v>
      </c>
      <c r="J13" s="108">
        <f t="shared" si="3"/>
        <v>177.83233519553073</v>
      </c>
      <c r="K13" s="102">
        <f t="shared" ref="K13:K14" si="16">K26*$B$34/$B$33</f>
        <v>1.3687514067234166</v>
      </c>
      <c r="L13" s="107">
        <f t="shared" si="5"/>
        <v>0.56078718799596017</v>
      </c>
      <c r="M13" s="108">
        <f t="shared" si="6"/>
        <v>169.40742857142857</v>
      </c>
      <c r="N13" s="102">
        <f t="shared" ref="N13:N14" si="17">N26*$B$34/$B$33</f>
        <v>0.63181743856105421</v>
      </c>
      <c r="O13" s="107">
        <f t="shared" si="8"/>
        <v>0.19897946424277402</v>
      </c>
      <c r="P13" s="108">
        <f t="shared" si="9"/>
        <v>145.97088888888891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1.3463861876593084</v>
      </c>
      <c r="F14" s="107">
        <f t="shared" si="13"/>
        <v>0.53842196893185201</v>
      </c>
      <c r="G14" s="108">
        <f t="shared" si="14"/>
        <v>166.63933333333333</v>
      </c>
      <c r="H14" s="102">
        <f t="shared" si="15"/>
        <v>1.4257827153368923</v>
      </c>
      <c r="I14" s="107">
        <f t="shared" si="2"/>
        <v>0.56491607752609052</v>
      </c>
      <c r="J14" s="108">
        <f t="shared" si="3"/>
        <v>165.6217877094972</v>
      </c>
      <c r="K14" s="102">
        <f t="shared" si="16"/>
        <v>1.2457427018708223</v>
      </c>
      <c r="L14" s="107">
        <f t="shared" si="5"/>
        <v>0.43777848314336587</v>
      </c>
      <c r="M14" s="108">
        <f t="shared" si="6"/>
        <v>154.18290476190478</v>
      </c>
      <c r="N14" s="102">
        <f t="shared" si="17"/>
        <v>0.58037743471360559</v>
      </c>
      <c r="O14" s="107">
        <f t="shared" si="8"/>
        <v>0.14753946039532539</v>
      </c>
      <c r="P14" s="108">
        <f t="shared" si="9"/>
        <v>134.08653333333334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1.366848218150339</v>
      </c>
      <c r="F15" s="119">
        <f t="shared" si="13"/>
        <v>0.55888399942288258</v>
      </c>
      <c r="G15" s="120">
        <f t="shared" si="14"/>
        <v>169.171875</v>
      </c>
      <c r="H15" s="118">
        <f>H28*$B$35/10/$B$33</f>
        <v>1.4319362285384505</v>
      </c>
      <c r="I15" s="119">
        <f t="shared" si="2"/>
        <v>0.57106959072764873</v>
      </c>
      <c r="J15" s="120">
        <f t="shared" si="3"/>
        <v>166.33659217877096</v>
      </c>
      <c r="K15" s="118">
        <f>K28*$B$35/10/$B$33</f>
        <v>1.3564341364882413</v>
      </c>
      <c r="L15" s="119">
        <f t="shared" si="5"/>
        <v>0.54846991776078491</v>
      </c>
      <c r="M15" s="120">
        <f t="shared" si="6"/>
        <v>167.88294642857142</v>
      </c>
      <c r="N15" s="118">
        <f>N28*$B$35/10/$B$33</f>
        <v>0.57798153224642923</v>
      </c>
      <c r="O15" s="119">
        <f t="shared" si="8"/>
        <v>0.14514355792814904</v>
      </c>
      <c r="P15" s="120">
        <f t="shared" si="9"/>
        <v>133.53300000000004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5" t="s">
        <v>214</v>
      </c>
      <c r="X19" s="285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34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41.95</v>
      </c>
      <c r="C21" s="144" t="s">
        <v>172</v>
      </c>
      <c r="D21" s="145" t="s">
        <v>172</v>
      </c>
      <c r="E21" s="143">
        <v>45.77</v>
      </c>
      <c r="F21" s="144" t="s">
        <v>172</v>
      </c>
      <c r="G21" s="145" t="s">
        <v>172</v>
      </c>
      <c r="H21" s="143">
        <v>51.22</v>
      </c>
      <c r="I21" s="144" t="s">
        <v>172</v>
      </c>
      <c r="J21" s="145" t="s">
        <v>172</v>
      </c>
      <c r="K21" s="143">
        <v>45.43</v>
      </c>
      <c r="L21" s="144" t="s">
        <v>172</v>
      </c>
      <c r="M21" s="145" t="s">
        <v>172</v>
      </c>
      <c r="N21" s="143">
        <v>23.08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41.39</v>
      </c>
      <c r="C22" s="144" t="s">
        <v>172</v>
      </c>
      <c r="D22" s="145" t="s">
        <v>172</v>
      </c>
      <c r="E22" s="143">
        <v>44.46</v>
      </c>
      <c r="F22" s="144" t="s">
        <v>172</v>
      </c>
      <c r="G22" s="145" t="s">
        <v>172</v>
      </c>
      <c r="H22" s="143">
        <v>49.55</v>
      </c>
      <c r="I22" s="144" t="s">
        <v>172</v>
      </c>
      <c r="J22" s="145" t="s">
        <v>172</v>
      </c>
      <c r="K22" s="143">
        <v>45.2</v>
      </c>
      <c r="L22" s="144" t="s">
        <v>172</v>
      </c>
      <c r="M22" s="145" t="s">
        <v>172</v>
      </c>
      <c r="N22" s="143">
        <v>24.65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41.64</v>
      </c>
      <c r="C23" s="144" t="s">
        <v>172</v>
      </c>
      <c r="D23" s="145" t="s">
        <v>172</v>
      </c>
      <c r="E23" s="143">
        <v>44.87</v>
      </c>
      <c r="F23" s="144" t="s">
        <v>172</v>
      </c>
      <c r="G23" s="145" t="s">
        <v>172</v>
      </c>
      <c r="H23" s="143">
        <v>48.9</v>
      </c>
      <c r="I23" s="144" t="s">
        <v>172</v>
      </c>
      <c r="J23" s="145" t="s">
        <v>172</v>
      </c>
      <c r="K23" s="143">
        <v>44.7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41.39</v>
      </c>
      <c r="C24" s="144" t="s">
        <v>172</v>
      </c>
      <c r="D24" s="145" t="s">
        <v>172</v>
      </c>
      <c r="E24" s="143">
        <v>44.15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45.4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13.42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1.3140000000000001</v>
      </c>
      <c r="F26" s="144" t="s">
        <v>172</v>
      </c>
      <c r="G26" s="145" t="s">
        <v>172</v>
      </c>
      <c r="H26" s="153">
        <v>1.369</v>
      </c>
      <c r="I26" s="144" t="s">
        <v>172</v>
      </c>
      <c r="J26" s="145" t="s">
        <v>172</v>
      </c>
      <c r="K26" s="153">
        <v>1.224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1.204</v>
      </c>
      <c r="F27" s="144" t="s">
        <v>172</v>
      </c>
      <c r="G27" s="145" t="s">
        <v>172</v>
      </c>
      <c r="H27" s="153">
        <v>1.2749999999999999</v>
      </c>
      <c r="I27" s="144" t="s">
        <v>172</v>
      </c>
      <c r="J27" s="145" t="s">
        <v>172</v>
      </c>
      <c r="K27" s="153">
        <v>1.1140000000000001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5.25</v>
      </c>
      <c r="F28" s="158" t="s">
        <v>172</v>
      </c>
      <c r="G28" s="159" t="s">
        <v>172</v>
      </c>
      <c r="H28" s="234">
        <v>5.5</v>
      </c>
      <c r="I28" s="158" t="s">
        <v>172</v>
      </c>
      <c r="J28" s="159" t="s">
        <v>172</v>
      </c>
      <c r="K28" s="234">
        <v>5.21</v>
      </c>
      <c r="L28" s="158" t="s">
        <v>172</v>
      </c>
      <c r="M28" s="159" t="s">
        <v>172</v>
      </c>
      <c r="N28" s="234">
        <v>2.2200000000000002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7.8746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2.0792999999999999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2.3252000000000002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5.4135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3.2206000000000001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G1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43619</v>
      </c>
      <c r="E2" s="493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0.75277526323312216</v>
      </c>
      <c r="C6" s="103" t="s">
        <v>172</v>
      </c>
      <c r="D6" s="104" t="s">
        <v>172</v>
      </c>
      <c r="E6" s="102">
        <f>E20/$B$33</f>
        <v>0.80518366763542804</v>
      </c>
      <c r="F6" s="103" t="s">
        <v>172</v>
      </c>
      <c r="G6" s="104" t="s">
        <v>172</v>
      </c>
      <c r="H6" s="102">
        <f>H20/$B$33</f>
        <v>0.85759207203773413</v>
      </c>
      <c r="I6" s="103" t="s">
        <v>172</v>
      </c>
      <c r="J6" s="104" t="s">
        <v>172</v>
      </c>
      <c r="K6" s="102">
        <f>K20/$B$33</f>
        <v>0.80518366763542804</v>
      </c>
      <c r="L6" s="103" t="s">
        <v>172</v>
      </c>
      <c r="M6" s="104" t="s">
        <v>172</v>
      </c>
      <c r="N6" s="102">
        <f>N20/$B$33</f>
        <v>0.43356043641907666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0.64301864786316631</v>
      </c>
      <c r="C7" s="107">
        <f>B7-B$6</f>
        <v>-0.10975661536995585</v>
      </c>
      <c r="D7" s="108">
        <f>B7/B$6*100</f>
        <v>85.419736708860739</v>
      </c>
      <c r="E7" s="102">
        <f t="shared" ref="E7:E10" si="0">E21*$B$36/100/$B$33</f>
        <v>0.7026140073371766</v>
      </c>
      <c r="F7" s="107">
        <f>E7-E$6</f>
        <v>-0.10256966029825143</v>
      </c>
      <c r="G7" s="108">
        <f>E7/E$6*100</f>
        <v>87.261333727810651</v>
      </c>
      <c r="H7" s="102">
        <f t="shared" ref="H7:H10" si="1">H21*$B$36/100/$B$33</f>
        <v>0.77917112296917446</v>
      </c>
      <c r="I7" s="107">
        <f t="shared" ref="I7:I15" si="2">H7-H$6</f>
        <v>-7.8420949068559676E-2</v>
      </c>
      <c r="J7" s="108">
        <f t="shared" ref="J7:J15" si="3">H7/H$6*100</f>
        <v>90.855681666666683</v>
      </c>
      <c r="K7" s="102">
        <f t="shared" ref="K7:K10" si="4">K21*$B$36/100/$B$33</f>
        <v>0.69527919386345238</v>
      </c>
      <c r="L7" s="107">
        <f t="shared" ref="L7:L15" si="5">K7-K$6</f>
        <v>-0.10990447377197565</v>
      </c>
      <c r="M7" s="108">
        <f t="shared" ref="M7:M15" si="6">K7/K$6*100</f>
        <v>86.350384615384641</v>
      </c>
      <c r="N7" s="102">
        <f t="shared" ref="N7:N10" si="7">N21*$B$36/100/$B$33</f>
        <v>0.34595870217733099</v>
      </c>
      <c r="O7" s="107">
        <f t="shared" ref="O7:O15" si="8">N7-N$6</f>
        <v>-8.7601734241745666E-2</v>
      </c>
      <c r="P7" s="108">
        <f t="shared" ref="P7:P15" si="9">N7/N$6*100</f>
        <v>79.794804395604402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0.63369732240697507</v>
      </c>
      <c r="C8" s="107">
        <f t="shared" ref="C8:C12" si="11">B8-B$6</f>
        <v>-0.11907794082614709</v>
      </c>
      <c r="D8" s="108">
        <f t="shared" ref="D8:D12" si="12">B8/B$6*100</f>
        <v>84.181475316455689</v>
      </c>
      <c r="E8" s="102">
        <f t="shared" si="0"/>
        <v>0.68076237553003949</v>
      </c>
      <c r="F8" s="107">
        <f t="shared" ref="F8:F15" si="13">E8-E$6</f>
        <v>-0.12442129210538855</v>
      </c>
      <c r="G8" s="108">
        <f t="shared" ref="G8:G15" si="14">E8/E$6*100</f>
        <v>84.547464497041418</v>
      </c>
      <c r="H8" s="102">
        <f t="shared" si="1"/>
        <v>0.75716668254800135</v>
      </c>
      <c r="I8" s="107">
        <f t="shared" si="2"/>
        <v>-0.10042538948973279</v>
      </c>
      <c r="J8" s="108">
        <f t="shared" si="3"/>
        <v>88.289841666666661</v>
      </c>
      <c r="K8" s="102">
        <f t="shared" si="4"/>
        <v>0.6896252751441232</v>
      </c>
      <c r="L8" s="107">
        <f t="shared" si="5"/>
        <v>-0.11555839249130484</v>
      </c>
      <c r="M8" s="108">
        <f t="shared" si="6"/>
        <v>85.648194674556237</v>
      </c>
      <c r="N8" s="102">
        <f t="shared" si="7"/>
        <v>0.37132493210729434</v>
      </c>
      <c r="O8" s="107">
        <f t="shared" si="8"/>
        <v>-6.2235504311782319E-2</v>
      </c>
      <c r="P8" s="108">
        <f t="shared" si="9"/>
        <v>85.645483516483523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0.63843438944208863</v>
      </c>
      <c r="C9" s="107">
        <f t="shared" si="11"/>
        <v>-0.11434087379103353</v>
      </c>
      <c r="D9" s="108">
        <f t="shared" si="12"/>
        <v>84.810755696202506</v>
      </c>
      <c r="E9" s="102">
        <f t="shared" si="0"/>
        <v>0.68779157177569195</v>
      </c>
      <c r="F9" s="107">
        <f t="shared" si="13"/>
        <v>-0.11739209585973609</v>
      </c>
      <c r="G9" s="108">
        <f t="shared" si="14"/>
        <v>85.420457396449706</v>
      </c>
      <c r="H9" s="102">
        <f t="shared" si="1"/>
        <v>0.74723412263566635</v>
      </c>
      <c r="I9" s="107">
        <f t="shared" si="2"/>
        <v>-0.11035794940206778</v>
      </c>
      <c r="J9" s="108">
        <f t="shared" si="3"/>
        <v>87.131649999999993</v>
      </c>
      <c r="K9" s="102">
        <f t="shared" si="4"/>
        <v>0.68259607889847063</v>
      </c>
      <c r="L9" s="107">
        <f t="shared" si="5"/>
        <v>-0.12258758873695741</v>
      </c>
      <c r="M9" s="108">
        <f t="shared" si="6"/>
        <v>84.775201775147934</v>
      </c>
      <c r="N9" s="102">
        <f t="shared" si="7"/>
        <v>0.40952708561627521</v>
      </c>
      <c r="O9" s="107">
        <f t="shared" si="8"/>
        <v>-2.4033350802801445E-2</v>
      </c>
      <c r="P9" s="108">
        <f t="shared" si="9"/>
        <v>94.456747252747249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0.63614226023154985</v>
      </c>
      <c r="C10" s="107">
        <f t="shared" si="11"/>
        <v>-0.11663300300157231</v>
      </c>
      <c r="D10" s="108">
        <f t="shared" si="12"/>
        <v>84.506265189873403</v>
      </c>
      <c r="E10" s="102">
        <f t="shared" si="0"/>
        <v>0.68320731335461427</v>
      </c>
      <c r="F10" s="107">
        <f t="shared" si="13"/>
        <v>-0.12197635428081377</v>
      </c>
      <c r="G10" s="108">
        <f t="shared" si="14"/>
        <v>84.851114201183435</v>
      </c>
      <c r="H10" s="102">
        <f t="shared" si="1"/>
        <v>0.7863531278288628</v>
      </c>
      <c r="I10" s="107">
        <f t="shared" si="2"/>
        <v>-7.1238944208871335E-2</v>
      </c>
      <c r="J10" s="108">
        <f t="shared" si="3"/>
        <v>91.693143333333325</v>
      </c>
      <c r="K10" s="102">
        <f t="shared" si="4"/>
        <v>0.69802974891609892</v>
      </c>
      <c r="L10" s="107">
        <f t="shared" si="5"/>
        <v>-0.10715391871932911</v>
      </c>
      <c r="M10" s="108">
        <f t="shared" si="6"/>
        <v>86.691990532544381</v>
      </c>
      <c r="N10" s="102">
        <f t="shared" si="7"/>
        <v>0.35986428605460002</v>
      </c>
      <c r="O10" s="107">
        <f t="shared" si="8"/>
        <v>-7.3696150364476631E-2</v>
      </c>
      <c r="P10" s="108">
        <f t="shared" si="9"/>
        <v>83.002104395604391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0.637823154985945</v>
      </c>
      <c r="C11" s="236">
        <f t="shared" si="11"/>
        <v>-0.11495210824717716</v>
      </c>
      <c r="D11" s="237">
        <f t="shared" si="12"/>
        <v>84.729558227848088</v>
      </c>
      <c r="E11" s="235">
        <f>AVERAGE(E7:E10)</f>
        <v>0.68859381699938049</v>
      </c>
      <c r="F11" s="236">
        <f t="shared" si="13"/>
        <v>-0.11658985063604754</v>
      </c>
      <c r="G11" s="237">
        <f t="shared" si="14"/>
        <v>85.520092455621295</v>
      </c>
      <c r="H11" s="235">
        <f>AVERAGE(H7:H10)</f>
        <v>0.76748126399542616</v>
      </c>
      <c r="I11" s="236">
        <f t="shared" si="2"/>
        <v>-9.0110808042307977E-2</v>
      </c>
      <c r="J11" s="237">
        <f t="shared" si="3"/>
        <v>89.492579166666658</v>
      </c>
      <c r="K11" s="235">
        <f>AVERAGE(K7:K10)</f>
        <v>0.69138257420553628</v>
      </c>
      <c r="L11" s="236">
        <f t="shared" si="5"/>
        <v>-0.11380109342989175</v>
      </c>
      <c r="M11" s="237">
        <f t="shared" si="6"/>
        <v>85.866442899408284</v>
      </c>
      <c r="N11" s="235">
        <f>AVERAGE(N7:N10)</f>
        <v>0.37166875148887513</v>
      </c>
      <c r="O11" s="236">
        <f t="shared" si="8"/>
        <v>-6.1891684930201529E-2</v>
      </c>
      <c r="P11" s="237">
        <f t="shared" si="9"/>
        <v>85.724784890109902</v>
      </c>
      <c r="Q11" s="109"/>
    </row>
    <row r="12" spans="1:19" s="96" customFormat="1" ht="15.75" x14ac:dyDescent="0.25">
      <c r="A12" s="110" t="s">
        <v>24</v>
      </c>
      <c r="B12" s="102">
        <f>B25*$B$32/100/$B$33</f>
        <v>1.0529395397589214</v>
      </c>
      <c r="C12" s="107">
        <f t="shared" si="11"/>
        <v>0.30016427652579925</v>
      </c>
      <c r="D12" s="108">
        <f t="shared" si="12"/>
        <v>139.87435443037975</v>
      </c>
      <c r="E12" s="102">
        <f>E25*$B$32/100/$B$33</f>
        <v>1.0976029348706464</v>
      </c>
      <c r="F12" s="107">
        <f t="shared" si="13"/>
        <v>0.29241926723521838</v>
      </c>
      <c r="G12" s="108">
        <f t="shared" si="14"/>
        <v>136.31708875739645</v>
      </c>
      <c r="H12" s="102">
        <f>H25*$B$32/100/$B$33</f>
        <v>1.2650906665396162</v>
      </c>
      <c r="I12" s="107">
        <f t="shared" si="2"/>
        <v>0.40749859450188208</v>
      </c>
      <c r="J12" s="108">
        <f t="shared" si="3"/>
        <v>147.51660000000001</v>
      </c>
      <c r="K12" s="102">
        <f>K25*$B$32/100/$B$33</f>
        <v>0.99897127066558677</v>
      </c>
      <c r="L12" s="107">
        <f t="shared" si="5"/>
        <v>0.19378760303015874</v>
      </c>
      <c r="M12" s="108">
        <f t="shared" si="6"/>
        <v>124.06750295857989</v>
      </c>
      <c r="N12" s="102">
        <f>N25*$B$32/100/$B$33</f>
        <v>0.50209100004764406</v>
      </c>
      <c r="O12" s="107">
        <f t="shared" si="8"/>
        <v>6.8530563628567409E-2</v>
      </c>
      <c r="P12" s="108">
        <f t="shared" si="9"/>
        <v>115.80646153846155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1.4639371099147174</v>
      </c>
      <c r="F13" s="107">
        <f t="shared" si="13"/>
        <v>0.65875344227928934</v>
      </c>
      <c r="G13" s="108">
        <f t="shared" si="14"/>
        <v>181.81405917159765</v>
      </c>
      <c r="H13" s="102">
        <f t="shared" ref="H13:H14" si="15">H26*$B$34/$B$33</f>
        <v>1.5252130163418933</v>
      </c>
      <c r="I13" s="107">
        <f t="shared" si="2"/>
        <v>0.66762094430415919</v>
      </c>
      <c r="J13" s="108">
        <f t="shared" si="3"/>
        <v>177.84831111111109</v>
      </c>
      <c r="K13" s="102">
        <f t="shared" ref="K13:K14" si="16">K26*$B$34/$B$33</f>
        <v>1.3636674448520654</v>
      </c>
      <c r="L13" s="107">
        <f t="shared" si="5"/>
        <v>0.55848377721663733</v>
      </c>
      <c r="M13" s="108">
        <f t="shared" si="6"/>
        <v>169.36104142011837</v>
      </c>
      <c r="N13" s="102">
        <f t="shared" ref="N13:N14" si="17">N26*$B$34/$B$33</f>
        <v>0.64061174901138684</v>
      </c>
      <c r="O13" s="107">
        <f t="shared" si="8"/>
        <v>0.20705131259231019</v>
      </c>
      <c r="P13" s="108">
        <f t="shared" si="9"/>
        <v>147.75604395604392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1.341385297060365</v>
      </c>
      <c r="F14" s="107">
        <f t="shared" si="13"/>
        <v>0.53620162942493699</v>
      </c>
      <c r="G14" s="108">
        <f t="shared" si="14"/>
        <v>166.59370414201186</v>
      </c>
      <c r="H14" s="102">
        <f t="shared" si="15"/>
        <v>1.4204869217209013</v>
      </c>
      <c r="I14" s="107">
        <f t="shared" si="2"/>
        <v>0.56289484968316716</v>
      </c>
      <c r="J14" s="108">
        <f t="shared" si="3"/>
        <v>165.63666666666663</v>
      </c>
      <c r="K14" s="102">
        <f t="shared" si="16"/>
        <v>1.2522567058935634</v>
      </c>
      <c r="L14" s="107">
        <f t="shared" si="5"/>
        <v>0.44707303825813538</v>
      </c>
      <c r="M14" s="108">
        <f t="shared" si="6"/>
        <v>155.52435502958582</v>
      </c>
      <c r="N14" s="102">
        <f t="shared" si="17"/>
        <v>0.57822173519462572</v>
      </c>
      <c r="O14" s="107">
        <f t="shared" si="8"/>
        <v>0.14466129877554906</v>
      </c>
      <c r="P14" s="108">
        <f t="shared" si="9"/>
        <v>133.3658901098901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1.3651150602696651</v>
      </c>
      <c r="F15" s="119">
        <f t="shared" si="13"/>
        <v>0.55993139263423708</v>
      </c>
      <c r="G15" s="120">
        <f t="shared" si="14"/>
        <v>169.54082840236688</v>
      </c>
      <c r="H15" s="118">
        <f>H28*$B$35/10/$B$33</f>
        <v>1.4223198818428702</v>
      </c>
      <c r="I15" s="119">
        <f t="shared" si="2"/>
        <v>0.56472780980513604</v>
      </c>
      <c r="J15" s="120">
        <f t="shared" si="3"/>
        <v>165.85040000000001</v>
      </c>
      <c r="K15" s="118">
        <f>K28*$B$35/10/$B$33</f>
        <v>1.3521139644575733</v>
      </c>
      <c r="L15" s="119">
        <f t="shared" si="5"/>
        <v>0.54693029682214522</v>
      </c>
      <c r="M15" s="120">
        <f t="shared" si="6"/>
        <v>167.92615384615388</v>
      </c>
      <c r="N15" s="118">
        <f>N28*$B$35/10/$B$33</f>
        <v>0.57204821573205022</v>
      </c>
      <c r="O15" s="119">
        <f t="shared" si="8"/>
        <v>0.13848777931297357</v>
      </c>
      <c r="P15" s="120">
        <f t="shared" si="9"/>
        <v>131.94197802197806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5" t="s">
        <v>214</v>
      </c>
      <c r="X19" s="285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1.69</v>
      </c>
      <c r="F20" s="135" t="s">
        <v>172</v>
      </c>
      <c r="G20" s="136" t="s">
        <v>172</v>
      </c>
      <c r="H20" s="134">
        <v>1.8</v>
      </c>
      <c r="I20" s="135" t="s">
        <v>172</v>
      </c>
      <c r="J20" s="136" t="s">
        <v>172</v>
      </c>
      <c r="K20" s="134">
        <v>1.69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42.08</v>
      </c>
      <c r="C21" s="144" t="s">
        <v>172</v>
      </c>
      <c r="D21" s="145" t="s">
        <v>172</v>
      </c>
      <c r="E21" s="143">
        <v>45.98</v>
      </c>
      <c r="F21" s="144" t="s">
        <v>172</v>
      </c>
      <c r="G21" s="145" t="s">
        <v>172</v>
      </c>
      <c r="H21" s="143">
        <v>50.99</v>
      </c>
      <c r="I21" s="144" t="s">
        <v>172</v>
      </c>
      <c r="J21" s="145" t="s">
        <v>172</v>
      </c>
      <c r="K21" s="143">
        <v>45.5</v>
      </c>
      <c r="L21" s="144" t="s">
        <v>172</v>
      </c>
      <c r="M21" s="145" t="s">
        <v>172</v>
      </c>
      <c r="N21" s="143">
        <v>22.64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41.47</v>
      </c>
      <c r="C22" s="144" t="s">
        <v>172</v>
      </c>
      <c r="D22" s="145" t="s">
        <v>172</v>
      </c>
      <c r="E22" s="143">
        <v>44.55</v>
      </c>
      <c r="F22" s="144" t="s">
        <v>172</v>
      </c>
      <c r="G22" s="145" t="s">
        <v>172</v>
      </c>
      <c r="H22" s="143">
        <v>49.55</v>
      </c>
      <c r="I22" s="144" t="s">
        <v>172</v>
      </c>
      <c r="J22" s="145" t="s">
        <v>172</v>
      </c>
      <c r="K22" s="143">
        <v>45.13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41.78</v>
      </c>
      <c r="C23" s="144" t="s">
        <v>172</v>
      </c>
      <c r="D23" s="145" t="s">
        <v>172</v>
      </c>
      <c r="E23" s="143">
        <v>45.01</v>
      </c>
      <c r="F23" s="144" t="s">
        <v>172</v>
      </c>
      <c r="G23" s="145" t="s">
        <v>172</v>
      </c>
      <c r="H23" s="143">
        <v>48.9</v>
      </c>
      <c r="I23" s="144" t="s">
        <v>172</v>
      </c>
      <c r="J23" s="145" t="s">
        <v>172</v>
      </c>
      <c r="K23" s="143">
        <v>44.67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41.63</v>
      </c>
      <c r="C24" s="144" t="s">
        <v>172</v>
      </c>
      <c r="D24" s="145" t="s">
        <v>172</v>
      </c>
      <c r="E24" s="143">
        <v>44.71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45.68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13.49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1.3140000000000001</v>
      </c>
      <c r="F26" s="144" t="s">
        <v>172</v>
      </c>
      <c r="G26" s="145" t="s">
        <v>172</v>
      </c>
      <c r="H26" s="153">
        <v>1.369</v>
      </c>
      <c r="I26" s="144" t="s">
        <v>172</v>
      </c>
      <c r="J26" s="145" t="s">
        <v>172</v>
      </c>
      <c r="K26" s="153">
        <v>1.224</v>
      </c>
      <c r="L26" s="144" t="s">
        <v>172</v>
      </c>
      <c r="M26" s="145" t="s">
        <v>172</v>
      </c>
      <c r="N26" s="153">
        <v>0.57499999999999996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1.204</v>
      </c>
      <c r="F27" s="144" t="s">
        <v>172</v>
      </c>
      <c r="G27" s="145" t="s">
        <v>172</v>
      </c>
      <c r="H27" s="153">
        <v>1.2749999999999999</v>
      </c>
      <c r="I27" s="144" t="s">
        <v>172</v>
      </c>
      <c r="J27" s="145" t="s">
        <v>172</v>
      </c>
      <c r="K27" s="153">
        <v>1.1240000000000001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5.25</v>
      </c>
      <c r="F28" s="158" t="s">
        <v>172</v>
      </c>
      <c r="G28" s="159" t="s">
        <v>172</v>
      </c>
      <c r="H28" s="234">
        <v>5.47</v>
      </c>
      <c r="I28" s="158" t="s">
        <v>172</v>
      </c>
      <c r="J28" s="159" t="s">
        <v>172</v>
      </c>
      <c r="K28" s="234">
        <v>5.2</v>
      </c>
      <c r="L28" s="158" t="s">
        <v>172</v>
      </c>
      <c r="M28" s="159" t="s">
        <v>172</v>
      </c>
      <c r="N28" s="234">
        <v>2.2000000000000002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7.8120000000000003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2.0989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2.3384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5.4576000000000002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3.2073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43626</v>
      </c>
      <c r="E2" s="493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0.75507765830346485</v>
      </c>
      <c r="C6" s="103" t="s">
        <v>172</v>
      </c>
      <c r="D6" s="104" t="s">
        <v>172</v>
      </c>
      <c r="E6" s="102">
        <f>E20/$B$33</f>
        <v>0.80286738351254483</v>
      </c>
      <c r="F6" s="103" t="s">
        <v>172</v>
      </c>
      <c r="G6" s="104" t="s">
        <v>172</v>
      </c>
      <c r="H6" s="102">
        <f>H20/$B$33</f>
        <v>0.86021505376344098</v>
      </c>
      <c r="I6" s="103" t="s">
        <v>172</v>
      </c>
      <c r="J6" s="104" t="s">
        <v>172</v>
      </c>
      <c r="K6" s="102">
        <f>K20/$B$33</f>
        <v>0.80286738351254483</v>
      </c>
      <c r="L6" s="103" t="s">
        <v>172</v>
      </c>
      <c r="M6" s="104" t="s">
        <v>172</v>
      </c>
      <c r="N6" s="102">
        <f>N20/$B$33</f>
        <v>0.43488649940262847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0.65016454002389501</v>
      </c>
      <c r="C7" s="107">
        <f>B7-B$6</f>
        <v>-0.10491311827956984</v>
      </c>
      <c r="D7" s="108">
        <f>B7/B$6*100</f>
        <v>86.10565189873418</v>
      </c>
      <c r="E7" s="102">
        <f t="shared" ref="E7:E10" si="0">E21*$B$36/100/$B$33</f>
        <v>0.70966174432497009</v>
      </c>
      <c r="F7" s="107">
        <f>E7-E$6</f>
        <v>-9.320563918757474E-2</v>
      </c>
      <c r="G7" s="108">
        <f>E7/E$6*100</f>
        <v>88.39090476190475</v>
      </c>
      <c r="H7" s="102">
        <f t="shared" ref="H7:H10" si="1">H21*$B$36/100/$B$33</f>
        <v>0.78560908004778984</v>
      </c>
      <c r="I7" s="107">
        <f t="shared" ref="I7:I15" si="2">H7-H$6</f>
        <v>-7.4605973715651142E-2</v>
      </c>
      <c r="J7" s="108">
        <f t="shared" ref="J7:J15" si="3">H7/H$6*100</f>
        <v>91.32705555555556</v>
      </c>
      <c r="K7" s="102">
        <f t="shared" ref="K7:K10" si="4">K21*$B$36/100/$B$33</f>
        <v>0.69997615292712068</v>
      </c>
      <c r="L7" s="107">
        <f t="shared" ref="L7:L15" si="5">K7-K$6</f>
        <v>-0.10289123058542415</v>
      </c>
      <c r="M7" s="108">
        <f t="shared" ref="M7:M15" si="6">K7/K$6*100</f>
        <v>87.184529761904756</v>
      </c>
      <c r="N7" s="102">
        <f t="shared" ref="N7:N10" si="7">N21*$B$36/100/$B$33</f>
        <v>0.34406910394265233</v>
      </c>
      <c r="O7" s="107">
        <f t="shared" ref="O7:O15" si="8">N7-N$6</f>
        <v>-9.0817395459976136E-2</v>
      </c>
      <c r="P7" s="108">
        <f t="shared" ref="P7:P15" si="9">N7/N$6*100</f>
        <v>79.116989010989002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0.63940277180406224</v>
      </c>
      <c r="C8" s="107">
        <f t="shared" ref="C8:C12" si="11">B8-B$6</f>
        <v>-0.11567488649940261</v>
      </c>
      <c r="D8" s="108">
        <f t="shared" ref="D8:D12" si="12">B8/B$6*100</f>
        <v>84.680398734177217</v>
      </c>
      <c r="E8" s="102">
        <f t="shared" si="0"/>
        <v>0.6869082915173238</v>
      </c>
      <c r="F8" s="107">
        <f t="shared" ref="F8:F15" si="13">E8-E$6</f>
        <v>-0.11595909199522103</v>
      </c>
      <c r="G8" s="108">
        <f t="shared" ref="G8:G15" si="14">E8/E$6*100</f>
        <v>85.556880952380951</v>
      </c>
      <c r="H8" s="102">
        <f t="shared" si="1"/>
        <v>0.76177945041816009</v>
      </c>
      <c r="I8" s="107">
        <f t="shared" si="2"/>
        <v>-9.8435603345280898E-2</v>
      </c>
      <c r="J8" s="108">
        <f t="shared" si="3"/>
        <v>88.55686111111109</v>
      </c>
      <c r="K8" s="102">
        <f t="shared" si="4"/>
        <v>0.69720884109916381</v>
      </c>
      <c r="L8" s="107">
        <f t="shared" si="5"/>
        <v>-0.10565854241338102</v>
      </c>
      <c r="M8" s="108">
        <f t="shared" si="6"/>
        <v>86.839851190476196</v>
      </c>
      <c r="N8" s="102">
        <f t="shared" si="7"/>
        <v>0.37358709677419361</v>
      </c>
      <c r="O8" s="107">
        <f t="shared" si="8"/>
        <v>-6.1299402628434863E-2</v>
      </c>
      <c r="P8" s="108">
        <f t="shared" si="9"/>
        <v>85.9045054945055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0.64632105137395468</v>
      </c>
      <c r="C9" s="107">
        <f t="shared" si="11"/>
        <v>-0.10875660692951017</v>
      </c>
      <c r="D9" s="108">
        <f t="shared" si="12"/>
        <v>85.596632911392405</v>
      </c>
      <c r="E9" s="102">
        <f t="shared" si="0"/>
        <v>0.69628640382317819</v>
      </c>
      <c r="F9" s="107">
        <f t="shared" si="13"/>
        <v>-0.10658097968936664</v>
      </c>
      <c r="G9" s="108">
        <f t="shared" si="14"/>
        <v>86.724958333333362</v>
      </c>
      <c r="H9" s="102">
        <f t="shared" si="1"/>
        <v>0.75486117084826776</v>
      </c>
      <c r="I9" s="107">
        <f t="shared" si="2"/>
        <v>-0.10535388291517322</v>
      </c>
      <c r="J9" s="108">
        <f t="shared" si="3"/>
        <v>87.752611111111108</v>
      </c>
      <c r="K9" s="102">
        <f t="shared" si="4"/>
        <v>0.69059804062126651</v>
      </c>
      <c r="L9" s="107">
        <f t="shared" si="5"/>
        <v>-0.11226934289127832</v>
      </c>
      <c r="M9" s="108">
        <f t="shared" si="6"/>
        <v>86.016452380952387</v>
      </c>
      <c r="N9" s="102">
        <f t="shared" si="7"/>
        <v>0.41202198327359629</v>
      </c>
      <c r="O9" s="107">
        <f t="shared" si="8"/>
        <v>-2.2864516129032175E-2</v>
      </c>
      <c r="P9" s="108">
        <f t="shared" si="9"/>
        <v>94.742417582417602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0.64247756272401446</v>
      </c>
      <c r="C10" s="107">
        <f t="shared" si="11"/>
        <v>-0.11260009557945039</v>
      </c>
      <c r="D10" s="108">
        <f t="shared" si="12"/>
        <v>85.087613924050643</v>
      </c>
      <c r="E10" s="102">
        <f t="shared" si="0"/>
        <v>0.68613959378733591</v>
      </c>
      <c r="F10" s="107">
        <f t="shared" si="13"/>
        <v>-0.11672778972520892</v>
      </c>
      <c r="G10" s="108">
        <f t="shared" si="14"/>
        <v>85.461136904761929</v>
      </c>
      <c r="H10" s="102">
        <f t="shared" si="1"/>
        <v>0.79114370370370379</v>
      </c>
      <c r="I10" s="107">
        <f t="shared" si="2"/>
        <v>-6.9071350059737191E-2</v>
      </c>
      <c r="J10" s="108">
        <f t="shared" si="3"/>
        <v>91.970455555555546</v>
      </c>
      <c r="K10" s="102">
        <f t="shared" si="4"/>
        <v>0.70381964157706101</v>
      </c>
      <c r="L10" s="107">
        <f t="shared" si="5"/>
        <v>-9.9047741935483824E-2</v>
      </c>
      <c r="M10" s="108">
        <f t="shared" si="6"/>
        <v>87.663250000000005</v>
      </c>
      <c r="N10" s="102">
        <f t="shared" si="7"/>
        <v>0.36205663082437278</v>
      </c>
      <c r="O10" s="107">
        <f t="shared" si="8"/>
        <v>-7.2829868578255685E-2</v>
      </c>
      <c r="P10" s="108">
        <f t="shared" si="9"/>
        <v>83.253131868131874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0.6445914814814816</v>
      </c>
      <c r="C11" s="236">
        <f t="shared" si="11"/>
        <v>-0.11048617682198325</v>
      </c>
      <c r="D11" s="237">
        <f t="shared" si="12"/>
        <v>85.367574367088622</v>
      </c>
      <c r="E11" s="235">
        <f>AVERAGE(E7:E10)</f>
        <v>0.69474900836320208</v>
      </c>
      <c r="F11" s="236">
        <f t="shared" si="13"/>
        <v>-0.10811837514934275</v>
      </c>
      <c r="G11" s="237">
        <f t="shared" si="14"/>
        <v>86.533470238095262</v>
      </c>
      <c r="H11" s="235">
        <f>AVERAGE(H7:H10)</f>
        <v>0.77334835125448043</v>
      </c>
      <c r="I11" s="236">
        <f t="shared" si="2"/>
        <v>-8.6866702508960558E-2</v>
      </c>
      <c r="J11" s="237">
        <f t="shared" si="3"/>
        <v>89.901745833333337</v>
      </c>
      <c r="K11" s="235">
        <f>AVERAGE(K7:K10)</f>
        <v>0.697900669056153</v>
      </c>
      <c r="L11" s="236">
        <f t="shared" si="5"/>
        <v>-0.10496671445639183</v>
      </c>
      <c r="M11" s="237">
        <f t="shared" si="6"/>
        <v>86.92602083333334</v>
      </c>
      <c r="N11" s="235">
        <f>AVERAGE(N7:N10)</f>
        <v>0.37293370370370371</v>
      </c>
      <c r="O11" s="236">
        <f t="shared" si="8"/>
        <v>-6.1952795698924756E-2</v>
      </c>
      <c r="P11" s="237">
        <f t="shared" si="9"/>
        <v>85.754260989010987</v>
      </c>
      <c r="Q11" s="109"/>
    </row>
    <row r="12" spans="1:19" s="96" customFormat="1" ht="15.75" x14ac:dyDescent="0.25">
      <c r="A12" s="110" t="s">
        <v>24</v>
      </c>
      <c r="B12" s="102">
        <f>B25*$B$32/100/$B$33</f>
        <v>1.0652317275985663</v>
      </c>
      <c r="C12" s="107">
        <f t="shared" si="11"/>
        <v>0.31015406929510148</v>
      </c>
      <c r="D12" s="108">
        <f t="shared" si="12"/>
        <v>141.07578417721518</v>
      </c>
      <c r="E12" s="102">
        <f>E25*$B$32/100/$B$33</f>
        <v>1.1104165304659499</v>
      </c>
      <c r="F12" s="107">
        <f t="shared" si="13"/>
        <v>0.30754914695340507</v>
      </c>
      <c r="G12" s="108">
        <f t="shared" si="14"/>
        <v>138.30634464285714</v>
      </c>
      <c r="H12" s="102">
        <f>H25*$B$32/100/$B$33</f>
        <v>1.2798595412186382</v>
      </c>
      <c r="I12" s="107">
        <f t="shared" si="2"/>
        <v>0.41964448745519722</v>
      </c>
      <c r="J12" s="108">
        <f t="shared" si="3"/>
        <v>148.78367166666666</v>
      </c>
      <c r="K12" s="102">
        <f>K25*$B$32/100/$B$33</f>
        <v>1.0106334241338113</v>
      </c>
      <c r="L12" s="107">
        <f t="shared" si="5"/>
        <v>0.20776604062126647</v>
      </c>
      <c r="M12" s="108">
        <f t="shared" si="6"/>
        <v>125.8780023809524</v>
      </c>
      <c r="N12" s="102">
        <f>N25*$B$32/100/$B$33</f>
        <v>0.51284751254480287</v>
      </c>
      <c r="O12" s="107">
        <f t="shared" si="8"/>
        <v>7.7961013142174407E-2</v>
      </c>
      <c r="P12" s="108">
        <f t="shared" si="9"/>
        <v>117.92674945054944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1.4518113261648744</v>
      </c>
      <c r="F13" s="107">
        <f t="shared" si="13"/>
        <v>0.64894394265232958</v>
      </c>
      <c r="G13" s="108">
        <f t="shared" si="14"/>
        <v>180.8282857142857</v>
      </c>
      <c r="H13" s="102">
        <f t="shared" ref="H13:H14" si="15">H26*$B$34/$B$33</f>
        <v>1.5137582795698925</v>
      </c>
      <c r="I13" s="107">
        <f t="shared" si="2"/>
        <v>0.65354322580645152</v>
      </c>
      <c r="J13" s="108">
        <f t="shared" si="3"/>
        <v>175.97439999999997</v>
      </c>
      <c r="K13" s="102">
        <f t="shared" ref="K13:K14" si="16">K26*$B$34/$B$33</f>
        <v>1.3504435842293907</v>
      </c>
      <c r="L13" s="107">
        <f t="shared" si="5"/>
        <v>0.54757620071684587</v>
      </c>
      <c r="M13" s="108">
        <f t="shared" si="6"/>
        <v>168.20257142857142</v>
      </c>
      <c r="N13" s="102">
        <f t="shared" ref="N13:N14" si="17">N26*$B$34/$B$33</f>
        <v>0.63636415770609311</v>
      </c>
      <c r="O13" s="107">
        <f t="shared" si="8"/>
        <v>0.20147765830346465</v>
      </c>
      <c r="P13" s="108">
        <f t="shared" si="9"/>
        <v>146.32879120879119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1.3234121863799284</v>
      </c>
      <c r="F14" s="107">
        <f t="shared" si="13"/>
        <v>0.52054480286738358</v>
      </c>
      <c r="G14" s="108">
        <f t="shared" si="14"/>
        <v>164.83571428571429</v>
      </c>
      <c r="H14" s="102">
        <f t="shared" si="15"/>
        <v>1.4011274551971327</v>
      </c>
      <c r="I14" s="107">
        <f t="shared" si="2"/>
        <v>0.54091240143369168</v>
      </c>
      <c r="J14" s="108">
        <f t="shared" si="3"/>
        <v>162.88106666666664</v>
      </c>
      <c r="K14" s="102">
        <f t="shared" si="16"/>
        <v>1.2502021505376346</v>
      </c>
      <c r="L14" s="107">
        <f t="shared" si="5"/>
        <v>0.44733476702508979</v>
      </c>
      <c r="M14" s="108">
        <f t="shared" si="6"/>
        <v>155.71714285714287</v>
      </c>
      <c r="N14" s="102">
        <f t="shared" si="17"/>
        <v>0.58455397849462365</v>
      </c>
      <c r="O14" s="107">
        <f t="shared" si="8"/>
        <v>0.14966747909199518</v>
      </c>
      <c r="P14" s="108">
        <f t="shared" si="9"/>
        <v>134.41529670329669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1.3825878136200718</v>
      </c>
      <c r="F15" s="119">
        <f t="shared" si="13"/>
        <v>0.57972043010752694</v>
      </c>
      <c r="G15" s="120">
        <f t="shared" si="14"/>
        <v>172.20625000000001</v>
      </c>
      <c r="H15" s="118">
        <f>H28*$B$35/10/$B$33</f>
        <v>1.4457918279569892</v>
      </c>
      <c r="I15" s="119">
        <f t="shared" si="2"/>
        <v>0.58557677419354826</v>
      </c>
      <c r="J15" s="120">
        <f t="shared" si="3"/>
        <v>168.07329999999999</v>
      </c>
      <c r="K15" s="118">
        <f>K28*$B$35/10/$B$33</f>
        <v>1.3641533094384708</v>
      </c>
      <c r="L15" s="119">
        <f t="shared" si="5"/>
        <v>0.56128592592592597</v>
      </c>
      <c r="M15" s="120">
        <f t="shared" si="6"/>
        <v>169.91016666666667</v>
      </c>
      <c r="N15" s="118">
        <f>N28*$B$35/10/$B$33</f>
        <v>0.57673663082437276</v>
      </c>
      <c r="O15" s="119">
        <f t="shared" si="8"/>
        <v>0.1418501314217443</v>
      </c>
      <c r="P15" s="120">
        <f t="shared" si="9"/>
        <v>132.61773626373625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5" t="s">
        <v>214</v>
      </c>
      <c r="X19" s="285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42.29</v>
      </c>
      <c r="C21" s="144" t="s">
        <v>172</v>
      </c>
      <c r="D21" s="145" t="s">
        <v>172</v>
      </c>
      <c r="E21" s="143">
        <v>46.16</v>
      </c>
      <c r="F21" s="144" t="s">
        <v>172</v>
      </c>
      <c r="G21" s="145" t="s">
        <v>172</v>
      </c>
      <c r="H21" s="143">
        <v>51.1</v>
      </c>
      <c r="I21" s="144" t="s">
        <v>172</v>
      </c>
      <c r="J21" s="145" t="s">
        <v>172</v>
      </c>
      <c r="K21" s="143">
        <v>45.53</v>
      </c>
      <c r="L21" s="144" t="s">
        <v>172</v>
      </c>
      <c r="M21" s="145" t="s">
        <v>172</v>
      </c>
      <c r="N21" s="143">
        <v>22.38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41.59</v>
      </c>
      <c r="C22" s="144" t="s">
        <v>172</v>
      </c>
      <c r="D22" s="145" t="s">
        <v>172</v>
      </c>
      <c r="E22" s="143">
        <v>44.68</v>
      </c>
      <c r="F22" s="144" t="s">
        <v>172</v>
      </c>
      <c r="G22" s="145" t="s">
        <v>172</v>
      </c>
      <c r="H22" s="143">
        <v>49.55</v>
      </c>
      <c r="I22" s="144" t="s">
        <v>172</v>
      </c>
      <c r="J22" s="145" t="s">
        <v>172</v>
      </c>
      <c r="K22" s="143">
        <v>45.35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42.04</v>
      </c>
      <c r="C23" s="144" t="s">
        <v>172</v>
      </c>
      <c r="D23" s="145" t="s">
        <v>172</v>
      </c>
      <c r="E23" s="143">
        <v>45.29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44.92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41.79</v>
      </c>
      <c r="C24" s="144" t="s">
        <v>172</v>
      </c>
      <c r="D24" s="145" t="s">
        <v>172</v>
      </c>
      <c r="E24" s="143">
        <v>44.63</v>
      </c>
      <c r="F24" s="144" t="s">
        <v>172</v>
      </c>
      <c r="G24" s="145" t="s">
        <v>172</v>
      </c>
      <c r="H24" s="143">
        <v>51.46</v>
      </c>
      <c r="I24" s="144" t="s">
        <v>172</v>
      </c>
      <c r="J24" s="145" t="s">
        <v>172</v>
      </c>
      <c r="K24" s="143">
        <v>45.78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13.62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1.2889999999999999</v>
      </c>
      <c r="F26" s="144" t="s">
        <v>172</v>
      </c>
      <c r="G26" s="145" t="s">
        <v>172</v>
      </c>
      <c r="H26" s="153">
        <v>1.3440000000000001</v>
      </c>
      <c r="I26" s="144" t="s">
        <v>172</v>
      </c>
      <c r="J26" s="145" t="s">
        <v>172</v>
      </c>
      <c r="K26" s="153">
        <v>1.1990000000000001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</v>
      </c>
      <c r="F27" s="144" t="s">
        <v>172</v>
      </c>
      <c r="G27" s="145" t="s">
        <v>172</v>
      </c>
      <c r="H27" s="153">
        <v>1.244</v>
      </c>
      <c r="I27" s="144" t="s">
        <v>172</v>
      </c>
      <c r="J27" s="145" t="s">
        <v>172</v>
      </c>
      <c r="K27" s="153">
        <v>1.1100000000000001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5.25</v>
      </c>
      <c r="F28" s="158" t="s">
        <v>172</v>
      </c>
      <c r="G28" s="159" t="s">
        <v>172</v>
      </c>
      <c r="H28" s="234">
        <v>5.49</v>
      </c>
      <c r="I28" s="158" t="s">
        <v>172</v>
      </c>
      <c r="J28" s="159" t="s">
        <v>172</v>
      </c>
      <c r="K28" s="234">
        <v>5.18</v>
      </c>
      <c r="L28" s="158" t="s">
        <v>172</v>
      </c>
      <c r="M28" s="159" t="s">
        <v>172</v>
      </c>
      <c r="N28" s="234">
        <v>2.19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7.8791000000000002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2.0924999999999998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2.3567999999999998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5.5106000000000002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3.2170000000000001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topLeftCell="A18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43633</v>
      </c>
      <c r="E2" s="493"/>
      <c r="F2" s="286"/>
      <c r="G2" s="286"/>
      <c r="H2" s="286"/>
      <c r="I2" s="286"/>
      <c r="J2" s="286"/>
      <c r="K2" s="286"/>
      <c r="L2" s="286"/>
      <c r="M2" s="286"/>
      <c r="N2" s="286"/>
      <c r="O2" s="286"/>
      <c r="P2" s="286"/>
      <c r="Q2" s="286"/>
      <c r="R2" s="28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0.7601065117404987</v>
      </c>
      <c r="C6" s="103" t="s">
        <v>172</v>
      </c>
      <c r="D6" s="104" t="s">
        <v>172</v>
      </c>
      <c r="E6" s="102">
        <f>E20/$B$33</f>
        <v>0.80852093923989343</v>
      </c>
      <c r="F6" s="103" t="s">
        <v>172</v>
      </c>
      <c r="G6" s="104" t="s">
        <v>172</v>
      </c>
      <c r="H6" s="102">
        <f>H20/$B$33</f>
        <v>0.86661825223916722</v>
      </c>
      <c r="I6" s="103" t="s">
        <v>172</v>
      </c>
      <c r="J6" s="104" t="s">
        <v>172</v>
      </c>
      <c r="K6" s="102">
        <f>K20/$B$33</f>
        <v>0.80852093923989343</v>
      </c>
      <c r="L6" s="103" t="s">
        <v>172</v>
      </c>
      <c r="M6" s="104" t="s">
        <v>172</v>
      </c>
      <c r="N6" s="102">
        <f>N20/$B$33</f>
        <v>0.44057129024449287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0.65738049382716035</v>
      </c>
      <c r="C7" s="107">
        <f>B7-B$6</f>
        <v>-0.10272601791333835</v>
      </c>
      <c r="D7" s="108">
        <f>B7/B$6*100</f>
        <v>86.48531273885348</v>
      </c>
      <c r="E7" s="102">
        <f t="shared" ref="E7:E10" si="0">E21*$B$36/100/$B$33</f>
        <v>0.71748119099491647</v>
      </c>
      <c r="F7" s="107">
        <f>E7-E$6</f>
        <v>-9.1039748244976959E-2</v>
      </c>
      <c r="G7" s="108">
        <f>E7/E$6*100</f>
        <v>88.739964071856292</v>
      </c>
      <c r="H7" s="102">
        <f t="shared" ref="H7:H10" si="1">H21*$B$36/100/$B$33</f>
        <v>0.79249058823529406</v>
      </c>
      <c r="I7" s="107">
        <f t="shared" ref="I7:I15" si="2">H7-H$6</f>
        <v>-7.4127664003873162E-2</v>
      </c>
      <c r="J7" s="108">
        <f t="shared" ref="J7:J15" si="3">H7/H$6*100</f>
        <v>91.446330167597765</v>
      </c>
      <c r="K7" s="102">
        <f t="shared" ref="K7:K10" si="4">K21*$B$36/100/$B$33</f>
        <v>0.70847385136770746</v>
      </c>
      <c r="L7" s="107">
        <f t="shared" ref="L7:L15" si="5">K7-K$6</f>
        <v>-0.10004708787218597</v>
      </c>
      <c r="M7" s="108">
        <f t="shared" ref="M7:M15" si="6">K7/K$6*100</f>
        <v>87.62591257485029</v>
      </c>
      <c r="N7" s="102">
        <f t="shared" ref="N7:N10" si="7">N21*$B$36/100/$B$33</f>
        <v>0.34196830791575888</v>
      </c>
      <c r="O7" s="107">
        <f t="shared" ref="O7:O15" si="8">N7-N$6</f>
        <v>-9.860298232873399E-2</v>
      </c>
      <c r="P7" s="108">
        <f t="shared" ref="P7:P15" si="9">N7/N$6*100</f>
        <v>77.619290109890102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0.64790725732268217</v>
      </c>
      <c r="C8" s="107">
        <f t="shared" ref="C8:C12" si="11">B8-B$6</f>
        <v>-0.11219925441781653</v>
      </c>
      <c r="D8" s="108">
        <f t="shared" ref="D8:D12" si="12">B8/B$6*100</f>
        <v>85.239008917197452</v>
      </c>
      <c r="E8" s="102">
        <f t="shared" si="0"/>
        <v>0.69604993464052289</v>
      </c>
      <c r="F8" s="107">
        <f t="shared" ref="F8:F15" si="13">E8-E$6</f>
        <v>-0.11247100459937054</v>
      </c>
      <c r="G8" s="108">
        <f t="shared" ref="G8:G15" si="14">E8/E$6*100</f>
        <v>86.089289820359298</v>
      </c>
      <c r="H8" s="102">
        <f t="shared" si="1"/>
        <v>0.77789248608085204</v>
      </c>
      <c r="I8" s="107">
        <f t="shared" si="2"/>
        <v>-8.8725766158315178E-2</v>
      </c>
      <c r="J8" s="108">
        <f t="shared" si="3"/>
        <v>89.761839664804469</v>
      </c>
      <c r="K8" s="102">
        <f t="shared" si="4"/>
        <v>0.70319368675865401</v>
      </c>
      <c r="L8" s="107">
        <f t="shared" si="5"/>
        <v>-0.10532725248123942</v>
      </c>
      <c r="M8" s="108">
        <f t="shared" si="6"/>
        <v>86.972847904191624</v>
      </c>
      <c r="N8" s="102">
        <f t="shared" si="7"/>
        <v>0.37209630597918175</v>
      </c>
      <c r="O8" s="107">
        <f t="shared" si="8"/>
        <v>-6.8474984265311123E-2</v>
      </c>
      <c r="P8" s="108">
        <f t="shared" si="9"/>
        <v>84.457683516483513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0.65318742193173562</v>
      </c>
      <c r="C9" s="107">
        <f t="shared" si="11"/>
        <v>-0.10691908980876308</v>
      </c>
      <c r="D9" s="108">
        <f t="shared" si="12"/>
        <v>85.933670063694251</v>
      </c>
      <c r="E9" s="102">
        <f t="shared" si="0"/>
        <v>0.70334898571774396</v>
      </c>
      <c r="F9" s="107">
        <f t="shared" si="13"/>
        <v>-0.10517195352214948</v>
      </c>
      <c r="G9" s="108">
        <f t="shared" si="14"/>
        <v>86.99205568862277</v>
      </c>
      <c r="H9" s="102">
        <f t="shared" si="1"/>
        <v>0.76251788913096108</v>
      </c>
      <c r="I9" s="107">
        <f t="shared" si="2"/>
        <v>-0.10410036310820614</v>
      </c>
      <c r="J9" s="108">
        <f t="shared" si="3"/>
        <v>87.987748603351974</v>
      </c>
      <c r="K9" s="102">
        <f t="shared" si="4"/>
        <v>0.69636053255870245</v>
      </c>
      <c r="L9" s="107">
        <f t="shared" si="5"/>
        <v>-0.11216040668119098</v>
      </c>
      <c r="M9" s="108">
        <f t="shared" si="6"/>
        <v>86.12770538922156</v>
      </c>
      <c r="N9" s="102">
        <f t="shared" si="7"/>
        <v>0.41620121036068752</v>
      </c>
      <c r="O9" s="107">
        <f t="shared" si="8"/>
        <v>-2.4370079883805351E-2</v>
      </c>
      <c r="P9" s="108">
        <f t="shared" si="9"/>
        <v>94.46852747252747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0.64946024691358029</v>
      </c>
      <c r="C10" s="107">
        <f t="shared" si="11"/>
        <v>-0.11064626482691842</v>
      </c>
      <c r="D10" s="108">
        <f t="shared" si="12"/>
        <v>85.443321019108282</v>
      </c>
      <c r="E10" s="102">
        <f t="shared" si="0"/>
        <v>0.69744762527233106</v>
      </c>
      <c r="F10" s="107">
        <f t="shared" si="13"/>
        <v>-0.11107331396756237</v>
      </c>
      <c r="G10" s="108">
        <f t="shared" si="14"/>
        <v>86.262159880239523</v>
      </c>
      <c r="H10" s="102">
        <f t="shared" si="1"/>
        <v>0.80739928830791585</v>
      </c>
      <c r="I10" s="107">
        <f t="shared" si="2"/>
        <v>-5.9218963931251367E-2</v>
      </c>
      <c r="J10" s="108">
        <f t="shared" si="3"/>
        <v>93.166660893854768</v>
      </c>
      <c r="K10" s="102">
        <f t="shared" si="4"/>
        <v>0.72679912854030482</v>
      </c>
      <c r="L10" s="107">
        <f t="shared" si="5"/>
        <v>-8.1721810699588615E-2</v>
      </c>
      <c r="M10" s="108">
        <f t="shared" si="6"/>
        <v>89.892431137724543</v>
      </c>
      <c r="N10" s="102">
        <f t="shared" si="7"/>
        <v>0.36572904865649963</v>
      </c>
      <c r="O10" s="107">
        <f t="shared" si="8"/>
        <v>-7.4842241587993241E-2</v>
      </c>
      <c r="P10" s="108">
        <f t="shared" si="9"/>
        <v>83.012456043956036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0.65198385499878964</v>
      </c>
      <c r="C11" s="236">
        <f t="shared" si="11"/>
        <v>-0.10812265674170907</v>
      </c>
      <c r="D11" s="237">
        <f t="shared" si="12"/>
        <v>85.775328184713374</v>
      </c>
      <c r="E11" s="235">
        <f>AVERAGE(E7:E10)</f>
        <v>0.7035819341563786</v>
      </c>
      <c r="F11" s="236">
        <f t="shared" si="13"/>
        <v>-0.10493900508351484</v>
      </c>
      <c r="G11" s="237">
        <f t="shared" si="14"/>
        <v>87.020867365269467</v>
      </c>
      <c r="H11" s="235">
        <f>AVERAGE(H7:H10)</f>
        <v>0.78507506293875584</v>
      </c>
      <c r="I11" s="236">
        <f t="shared" si="2"/>
        <v>-8.1543189300411378E-2</v>
      </c>
      <c r="J11" s="237">
        <f t="shared" si="3"/>
        <v>90.590644832402262</v>
      </c>
      <c r="K11" s="235">
        <f>AVERAGE(K7:K10)</f>
        <v>0.70870679980634221</v>
      </c>
      <c r="L11" s="236">
        <f t="shared" si="5"/>
        <v>-9.9814139433551219E-2</v>
      </c>
      <c r="M11" s="237">
        <f t="shared" si="6"/>
        <v>87.654724251497001</v>
      </c>
      <c r="N11" s="235">
        <f>AVERAGE(N7:N10)</f>
        <v>0.37399871822803199</v>
      </c>
      <c r="O11" s="236">
        <f t="shared" si="8"/>
        <v>-6.6572572016460885E-2</v>
      </c>
      <c r="P11" s="237">
        <f t="shared" si="9"/>
        <v>84.889489285714291</v>
      </c>
      <c r="Q11" s="109"/>
    </row>
    <row r="12" spans="1:19" s="96" customFormat="1" ht="15.75" x14ac:dyDescent="0.25">
      <c r="A12" s="110" t="s">
        <v>24</v>
      </c>
      <c r="B12" s="102">
        <f>B25*$B$32/100/$B$33</f>
        <v>1.0710891212781408</v>
      </c>
      <c r="C12" s="107">
        <f t="shared" si="11"/>
        <v>0.31098260953764212</v>
      </c>
      <c r="D12" s="108">
        <f t="shared" si="12"/>
        <v>140.91303057324839</v>
      </c>
      <c r="E12" s="102">
        <f>E25*$B$32/100/$B$33</f>
        <v>1.1165223819898329</v>
      </c>
      <c r="F12" s="107">
        <f t="shared" si="13"/>
        <v>0.30800144274993946</v>
      </c>
      <c r="G12" s="108">
        <f t="shared" si="14"/>
        <v>138.09442994011977</v>
      </c>
      <c r="H12" s="102">
        <f>H25*$B$32/100/$B$33</f>
        <v>1.2868971096586783</v>
      </c>
      <c r="I12" s="107">
        <f t="shared" si="2"/>
        <v>0.4202788574195111</v>
      </c>
      <c r="J12" s="108">
        <f t="shared" si="3"/>
        <v>148.49642346368717</v>
      </c>
      <c r="K12" s="102">
        <f>K25*$B$32/100/$B$33</f>
        <v>1.0161905979181798</v>
      </c>
      <c r="L12" s="107">
        <f t="shared" si="5"/>
        <v>0.20766965867828635</v>
      </c>
      <c r="M12" s="108">
        <f t="shared" si="6"/>
        <v>125.68513053892218</v>
      </c>
      <c r="N12" s="102">
        <f>N25*$B$32/100/$B$33</f>
        <v>0.51377445654805132</v>
      </c>
      <c r="O12" s="107">
        <f t="shared" si="8"/>
        <v>7.3203166303558442E-2</v>
      </c>
      <c r="P12" s="108">
        <f t="shared" si="9"/>
        <v>116.61550989010989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1.4601432098765432</v>
      </c>
      <c r="F13" s="107">
        <f t="shared" si="13"/>
        <v>0.65162227063664979</v>
      </c>
      <c r="G13" s="108">
        <f t="shared" si="14"/>
        <v>180.59435928143714</v>
      </c>
      <c r="H13" s="102">
        <f t="shared" ref="H13:H14" si="15">H26*$B$34/$B$33</f>
        <v>1.522204938271605</v>
      </c>
      <c r="I13" s="107">
        <f t="shared" si="2"/>
        <v>0.65558668603243775</v>
      </c>
      <c r="J13" s="108">
        <f t="shared" si="3"/>
        <v>175.64884357541902</v>
      </c>
      <c r="K13" s="102">
        <f t="shared" ref="K13:K14" si="16">K26*$B$34/$B$33</f>
        <v>1.3698716049382715</v>
      </c>
      <c r="L13" s="107">
        <f t="shared" si="5"/>
        <v>0.5613506656983781</v>
      </c>
      <c r="M13" s="108">
        <f t="shared" si="6"/>
        <v>169.42932934131736</v>
      </c>
      <c r="N13" s="102">
        <f t="shared" ref="N13:N14" si="17">N26*$B$34/$B$33</f>
        <v>0.63754320987654312</v>
      </c>
      <c r="O13" s="107">
        <f t="shared" si="8"/>
        <v>0.19697191963205024</v>
      </c>
      <c r="P13" s="108">
        <f t="shared" si="9"/>
        <v>144.70829670329667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1.3258641975308645</v>
      </c>
      <c r="F14" s="107">
        <f t="shared" si="13"/>
        <v>0.51734325829097105</v>
      </c>
      <c r="G14" s="108">
        <f t="shared" si="14"/>
        <v>163.986377245509</v>
      </c>
      <c r="H14" s="102">
        <f t="shared" si="15"/>
        <v>1.4037234567901236</v>
      </c>
      <c r="I14" s="107">
        <f t="shared" si="2"/>
        <v>0.53710520455095634</v>
      </c>
      <c r="J14" s="108">
        <f t="shared" si="3"/>
        <v>161.9771396648045</v>
      </c>
      <c r="K14" s="102">
        <f t="shared" si="16"/>
        <v>1.2243086419753086</v>
      </c>
      <c r="L14" s="107">
        <f t="shared" si="5"/>
        <v>0.41578770273541521</v>
      </c>
      <c r="M14" s="108">
        <f t="shared" si="6"/>
        <v>151.42571856287427</v>
      </c>
      <c r="N14" s="102">
        <f t="shared" si="17"/>
        <v>0.58563703703703707</v>
      </c>
      <c r="O14" s="107">
        <f t="shared" si="8"/>
        <v>0.14506574679254419</v>
      </c>
      <c r="P14" s="108">
        <f t="shared" si="9"/>
        <v>132.92673626373625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1.3849435003631083</v>
      </c>
      <c r="F15" s="119">
        <f t="shared" si="13"/>
        <v>0.57642256112321488</v>
      </c>
      <c r="G15" s="120">
        <f t="shared" si="14"/>
        <v>171.29346107784434</v>
      </c>
      <c r="H15" s="118">
        <f>H28*$B$35/10/$B$33</f>
        <v>1.4617376906318078</v>
      </c>
      <c r="I15" s="119">
        <f t="shared" si="2"/>
        <v>0.59511943839264059</v>
      </c>
      <c r="J15" s="120">
        <f t="shared" si="3"/>
        <v>168.6714636871508</v>
      </c>
      <c r="K15" s="118">
        <f>K28*$B$35/10/$B$33</f>
        <v>1.36640697167756</v>
      </c>
      <c r="L15" s="119">
        <f t="shared" si="5"/>
        <v>0.55788603243766655</v>
      </c>
      <c r="M15" s="120">
        <f t="shared" si="6"/>
        <v>169.00081437125752</v>
      </c>
      <c r="N15" s="118">
        <f>N28*$B$35/10/$B$33</f>
        <v>0.574632389251997</v>
      </c>
      <c r="O15" s="119">
        <f t="shared" si="8"/>
        <v>0.13406109900750413</v>
      </c>
      <c r="P15" s="120">
        <f t="shared" si="9"/>
        <v>130.42892307692304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5" t="s">
        <v>214</v>
      </c>
      <c r="X19" s="285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42.33</v>
      </c>
      <c r="C21" s="144" t="s">
        <v>172</v>
      </c>
      <c r="D21" s="145" t="s">
        <v>172</v>
      </c>
      <c r="E21" s="143">
        <v>46.2</v>
      </c>
      <c r="F21" s="144" t="s">
        <v>172</v>
      </c>
      <c r="G21" s="145" t="s">
        <v>172</v>
      </c>
      <c r="H21" s="143">
        <v>51.03</v>
      </c>
      <c r="I21" s="144" t="s">
        <v>172</v>
      </c>
      <c r="J21" s="145" t="s">
        <v>172</v>
      </c>
      <c r="K21" s="143">
        <v>45.62</v>
      </c>
      <c r="L21" s="144" t="s">
        <v>172</v>
      </c>
      <c r="M21" s="145" t="s">
        <v>172</v>
      </c>
      <c r="N21" s="143">
        <v>22.02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41.72</v>
      </c>
      <c r="C22" s="144" t="s">
        <v>172</v>
      </c>
      <c r="D22" s="145" t="s">
        <v>172</v>
      </c>
      <c r="E22" s="143">
        <v>44.82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45.28</v>
      </c>
      <c r="L22" s="144" t="s">
        <v>172</v>
      </c>
      <c r="M22" s="145" t="s">
        <v>172</v>
      </c>
      <c r="N22" s="143">
        <v>23.96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42.06</v>
      </c>
      <c r="C23" s="144" t="s">
        <v>172</v>
      </c>
      <c r="D23" s="145" t="s">
        <v>172</v>
      </c>
      <c r="E23" s="143">
        <v>45.29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44.84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41.82</v>
      </c>
      <c r="C24" s="144" t="s">
        <v>172</v>
      </c>
      <c r="D24" s="145" t="s">
        <v>172</v>
      </c>
      <c r="E24" s="143">
        <v>44.91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46.8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13.57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1.294</v>
      </c>
      <c r="F26" s="144" t="s">
        <v>172</v>
      </c>
      <c r="G26" s="145" t="s">
        <v>172</v>
      </c>
      <c r="H26" s="153">
        <v>1.349</v>
      </c>
      <c r="I26" s="144" t="s">
        <v>172</v>
      </c>
      <c r="J26" s="145" t="s">
        <v>172</v>
      </c>
      <c r="K26" s="153">
        <v>1.214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</v>
      </c>
      <c r="F27" s="144" t="s">
        <v>172</v>
      </c>
      <c r="G27" s="145" t="s">
        <v>172</v>
      </c>
      <c r="H27" s="153">
        <v>1.244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5.23</v>
      </c>
      <c r="F28" s="158" t="s">
        <v>172</v>
      </c>
      <c r="G28" s="159" t="s">
        <v>172</v>
      </c>
      <c r="H28" s="234">
        <v>5.52</v>
      </c>
      <c r="I28" s="158" t="s">
        <v>172</v>
      </c>
      <c r="J28" s="159" t="s">
        <v>172</v>
      </c>
      <c r="K28" s="234">
        <v>5.16</v>
      </c>
      <c r="L28" s="158" t="s">
        <v>172</v>
      </c>
      <c r="M28" s="159" t="s">
        <v>172</v>
      </c>
      <c r="N28" s="234">
        <v>2.17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7.8201999999999998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2.0655000000000001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2.3307000000000002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5.4695999999999998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3.2077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S26" r:id="rId8"/>
    <hyperlink ref="S25" r:id="rId9"/>
    <hyperlink ref="T26" r:id="rId10"/>
    <hyperlink ref="U26" r:id="rId11"/>
    <hyperlink ref="U27" r:id="rId12"/>
    <hyperlink ref="U28" r:id="rId13"/>
    <hyperlink ref="V25" r:id="rId14"/>
    <hyperlink ref="V26" r:id="rId15"/>
    <hyperlink ref="V27" r:id="rId16"/>
    <hyperlink ref="V28" r:id="rId17"/>
    <hyperlink ref="W25" r:id="rId18"/>
    <hyperlink ref="W26" r:id="rId19"/>
    <hyperlink ref="W27" r:id="rId20"/>
    <hyperlink ref="W28" r:id="rId21"/>
    <hyperlink ref="R25" r:id="rId22"/>
    <hyperlink ref="Q24" r:id="rId23"/>
    <hyperlink ref="Q25" r:id="rId24"/>
    <hyperlink ref="Q22" r:id="rId25"/>
    <hyperlink ref="Q23" r:id="rId26"/>
    <hyperlink ref="S27" r:id="rId27" location=".WOOTMl7SnSs" display="http://autotraveler.ru/latvia/#.WOOTMl7SnSs"/>
    <hyperlink ref="O23" r:id="rId28" display="www.benzin-price.ru/price.php?region_id=32"/>
    <hyperlink ref="P12" r:id="rId29" display="www.nbrb.by"/>
    <hyperlink ref="R23" r:id="rId30"/>
    <hyperlink ref="R22" r:id="rId31" display="http://natrakte.ru/"/>
    <hyperlink ref="S28" r:id="rId32" location=".Vs2LGH2LRkg" display="http://autotraveler.ru/lithuania/#.Vs2LGH2LRkg"/>
    <hyperlink ref="Q27" r:id="rId33" display="http://www.fuel-prices-europe.info/"/>
    <hyperlink ref="O29" r:id="rId34" display="www.e-petrol.ru/rynek-krajowy/ceny-stacje-paliw"/>
    <hyperlink ref="B78" r:id="rId35" display="http://www.lukoil.lt/ru/avtozapravochnye_stancii_azs_/karta_azs?filterID=65"/>
    <hyperlink ref="B74" r:id="rId36" display="http://www.lukoil.lt/ru/avtozapravochnye_stancii_azs_/karta_azs?filterID=86,87,111"/>
    <hyperlink ref="B71" r:id="rId37" display="http://www.lukoil.lt/ru/avtozapravochnye_stancii_azs_/karta_azs?filterID=67"/>
    <hyperlink ref="B67" r:id="rId38" display="http://www.lukoil.lt/ru/avtozapravochnye_stancii_azs_/karta_azs?filterID=22,77,104,110,117,118,119"/>
    <hyperlink ref="B63" r:id="rId39" display="http://www.lukoil.lt/ru/avtozapravochnye_stancii_azs_/karta_azs?filterID=32,87"/>
    <hyperlink ref="B60" r:id="rId40" display="http://www.lukoil.lt/ru/avtozapravochnye_stancii_azs_/karta_azs?filterID=33"/>
    <hyperlink ref="B57" r:id="rId41" display="http://www.lukoil.lt/ru/avtozapravochnye_stancii_azs_/karta_azs?filterID=54"/>
    <hyperlink ref="B54" r:id="rId42" display="http://www.lukoil.lt/ru/avtozapravochnye_stancii_azs_/karta_azs?filterID=67"/>
    <hyperlink ref="B51" r:id="rId43" display="http://www.lukoil.lt/ru/avtozapravochnye_stancii_azs_/karta_azs?filterID=65"/>
    <hyperlink ref="O28" r:id="rId44" display="www.lukoil.lt/ru/osnovnaja_stranica"/>
    <hyperlink ref="O27" r:id="rId45" display="www.lukoil.lv/lv/galvena_lapa"/>
    <hyperlink ref="O26" r:id="rId46" display="www.vseazs.com/"/>
    <hyperlink ref="M43" r:id="rId47" display="http://www.benzin-price.ru/price.php?region_id=60&amp;sort=11&amp;brand_id=0&amp;price_mode="/>
    <hyperlink ref="L43" r:id="rId48" display="http://www.benzin-price.ru/price.php?region_id=60&amp;sort=10&amp;brand_id=0&amp;price_mode="/>
    <hyperlink ref="K43" r:id="rId49" display="http://www.benzin-price.ru/price.php?region_id=60&amp;sort=9&amp;brand_id=0&amp;price_mode="/>
    <hyperlink ref="J43" r:id="rId50" display="http://www.benzin-price.ru/price.php?region_id=60&amp;sort=8&amp;brand_id=0&amp;price_mode="/>
    <hyperlink ref="I43" r:id="rId51" display="http://www.benzin-price.ru/price.php?region_id=60&amp;sort=7&amp;brand_id=0&amp;price_mode="/>
    <hyperlink ref="H43" r:id="rId52" display="http://www.benzin-price.ru/price.php?region_id=60&amp;sort=6&amp;brand_id=0&amp;price_mode="/>
    <hyperlink ref="G43" r:id="rId53" display="http://www.benzin-price.ru/price.php?region_id=60&amp;sort=5&amp;brand_id=0&amp;price_mode="/>
    <hyperlink ref="E43" r:id="rId54" display="http://www.benzin-price.ru/price.php?region_id=60&amp;sort=3&amp;brand_id=0&amp;price_mode="/>
    <hyperlink ref="D43" r:id="rId55" display="http://www.benzin-price.ru/price.php?region_id=60&amp;sort=2&amp;brand_id=0&amp;price_mode="/>
    <hyperlink ref="C43" r:id="rId56" display="http://www.benzin-price.ru/price.php?region_id=60&amp;sort=1&amp;brand_id=0&amp;price_mode="/>
    <hyperlink ref="O25" r:id="rId57" display="www.benzin-price.ru/price.php?region_id=60"/>
    <hyperlink ref="O24" r:id="rId58" display="www.benzin-price.ru/price.php?region_id=67"/>
    <hyperlink ref="O22" r:id="rId59" display="www.benzin-price.ru/price.php?region_id=77"/>
    <hyperlink ref="O21" r:id="rId60" display="www.belorusneft.by/sitebeloil/ru/center/azs/"/>
    <hyperlink ref="Q29" r:id="rId61" location=".VyhQfdKLTcs" display="http://autotraveler.ru/poland/#.VyhQfdKLTcs"/>
    <hyperlink ref="S23" r:id="rId62"/>
    <hyperlink ref="T23" r:id="rId63"/>
    <hyperlink ref="R21" r:id="rId64"/>
    <hyperlink ref="T25" r:id="rId65"/>
    <hyperlink ref="X26" r:id="rId66"/>
    <hyperlink ref="X27" r:id="rId67"/>
    <hyperlink ref="X28" r:id="rId68"/>
    <hyperlink ref="Q21" r:id="rId69"/>
  </hyperlinks>
  <pageMargins left="0.7" right="0.7" top="0.75" bottom="0.75" header="0.3" footer="0.3"/>
  <pageSetup paperSize="9" orientation="portrait" r:id="rId70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43640</v>
      </c>
      <c r="E2" s="493"/>
      <c r="F2" s="287"/>
      <c r="G2" s="287"/>
      <c r="H2" s="287"/>
      <c r="I2" s="287"/>
      <c r="J2" s="287"/>
      <c r="K2" s="287"/>
      <c r="L2" s="287"/>
      <c r="M2" s="287"/>
      <c r="N2" s="287"/>
      <c r="O2" s="287"/>
      <c r="P2" s="287"/>
      <c r="Q2" s="287"/>
      <c r="R2" s="287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0.76896703727286086</v>
      </c>
      <c r="C6" s="103" t="s">
        <v>172</v>
      </c>
      <c r="D6" s="104" t="s">
        <v>172</v>
      </c>
      <c r="E6" s="102">
        <f>E20/$B$33</f>
        <v>0.8179458294558456</v>
      </c>
      <c r="F6" s="103" t="s">
        <v>172</v>
      </c>
      <c r="G6" s="104" t="s">
        <v>172</v>
      </c>
      <c r="H6" s="102">
        <f>H20/$B$33</f>
        <v>0.8767203800754273</v>
      </c>
      <c r="I6" s="103" t="s">
        <v>172</v>
      </c>
      <c r="J6" s="104" t="s">
        <v>172</v>
      </c>
      <c r="K6" s="102">
        <f>K20/$B$33</f>
        <v>0.8179458294558456</v>
      </c>
      <c r="L6" s="103" t="s">
        <v>172</v>
      </c>
      <c r="M6" s="104" t="s">
        <v>172</v>
      </c>
      <c r="N6" s="102">
        <f>N20/$B$33</f>
        <v>0.4457070088651614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0.67090350198364124</v>
      </c>
      <c r="C7" s="107">
        <f>B7-B$6</f>
        <v>-9.8063535289219628E-2</v>
      </c>
      <c r="D7" s="108">
        <f>B7/B$6*100</f>
        <v>87.247368152866258</v>
      </c>
      <c r="E7" s="102">
        <f t="shared" ref="E7:E10" si="0">E21*$B$36/100/$B$33</f>
        <v>0.73222604692168292</v>
      </c>
      <c r="F7" s="107">
        <f>E7-E$6</f>
        <v>-8.5719782534162681E-2</v>
      </c>
      <c r="G7" s="108">
        <f>E7/E$6*100</f>
        <v>89.520114970059879</v>
      </c>
      <c r="H7" s="102">
        <f t="shared" ref="H7:H10" si="1">H21*$B$36/100/$B$33</f>
        <v>0.80860192976441192</v>
      </c>
      <c r="I7" s="107">
        <f t="shared" ref="I7:I15" si="2">H7-H$6</f>
        <v>-6.8118450311015377E-2</v>
      </c>
      <c r="J7" s="108">
        <f t="shared" ref="J7:J15" si="3">H7/H$6*100</f>
        <v>92.230310614525138</v>
      </c>
      <c r="K7" s="102">
        <f t="shared" ref="K7:K10" si="4">K21*$B$36/100/$B$33</f>
        <v>0.72303558799040013</v>
      </c>
      <c r="L7" s="107">
        <f t="shared" ref="L7:L15" si="5">K7-K$6</f>
        <v>-9.4910241465445466E-2</v>
      </c>
      <c r="M7" s="108">
        <f t="shared" ref="M7:M15" si="6">K7/K$6*100</f>
        <v>88.396512574850291</v>
      </c>
      <c r="N7" s="102">
        <f t="shared" ref="N7:N10" si="7">N21*$B$36/100/$B$33</f>
        <v>0.34987126414262615</v>
      </c>
      <c r="O7" s="107">
        <f t="shared" ref="O7:O15" si="8">N7-N$6</f>
        <v>-9.5835744722535254E-2</v>
      </c>
      <c r="P7" s="108">
        <f t="shared" ref="P7:P15" si="9">N7/N$6*100</f>
        <v>78.498039560439537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0.65997002497918389</v>
      </c>
      <c r="C8" s="107">
        <f t="shared" ref="C8:C12" si="11">B8-B$6</f>
        <v>-0.10899701229367698</v>
      </c>
      <c r="D8" s="108">
        <f t="shared" ref="D8:D12" si="12">B8/B$6*100</f>
        <v>85.825528662420368</v>
      </c>
      <c r="E8" s="102">
        <f t="shared" si="0"/>
        <v>0.70940835578194639</v>
      </c>
      <c r="F8" s="107">
        <f t="shared" ref="F8:F15" si="13">E8-E$6</f>
        <v>-0.10853747367389921</v>
      </c>
      <c r="G8" s="108">
        <f t="shared" ref="G8:G15" si="14">E8/E$6*100</f>
        <v>86.730481437125746</v>
      </c>
      <c r="H8" s="102">
        <f t="shared" si="1"/>
        <v>0.79370704804819503</v>
      </c>
      <c r="I8" s="107">
        <f t="shared" si="2"/>
        <v>-8.3013332027232267E-2</v>
      </c>
      <c r="J8" s="108">
        <f t="shared" si="3"/>
        <v>90.531378770949715</v>
      </c>
      <c r="K8" s="102">
        <f t="shared" si="4"/>
        <v>0.71859881471322906</v>
      </c>
      <c r="L8" s="107">
        <f t="shared" si="5"/>
        <v>-9.9347014742616535E-2</v>
      </c>
      <c r="M8" s="108">
        <f t="shared" si="6"/>
        <v>87.85408383233532</v>
      </c>
      <c r="N8" s="102">
        <f t="shared" si="7"/>
        <v>0.37966102757505998</v>
      </c>
      <c r="O8" s="107">
        <f t="shared" si="8"/>
        <v>-6.6045981290101419E-2</v>
      </c>
      <c r="P8" s="108">
        <f t="shared" si="9"/>
        <v>85.181749450549447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0.66614981632952919</v>
      </c>
      <c r="C9" s="107">
        <f t="shared" si="11"/>
        <v>-0.10281722094333168</v>
      </c>
      <c r="D9" s="108">
        <f t="shared" si="12"/>
        <v>86.629177070063676</v>
      </c>
      <c r="E9" s="102">
        <f t="shared" si="0"/>
        <v>0.71780653377087711</v>
      </c>
      <c r="F9" s="107">
        <f t="shared" si="13"/>
        <v>-0.10013929568496849</v>
      </c>
      <c r="G9" s="108">
        <f t="shared" si="14"/>
        <v>87.757221556886222</v>
      </c>
      <c r="H9" s="102">
        <f t="shared" si="1"/>
        <v>0.7780198853896263</v>
      </c>
      <c r="I9" s="107">
        <f t="shared" si="2"/>
        <v>-9.8700494685800999E-2</v>
      </c>
      <c r="J9" s="108">
        <f t="shared" si="3"/>
        <v>88.742078212290508</v>
      </c>
      <c r="K9" s="102">
        <f t="shared" si="4"/>
        <v>0.71146828623206149</v>
      </c>
      <c r="L9" s="107">
        <f t="shared" si="5"/>
        <v>-0.10647754322378411</v>
      </c>
      <c r="M9" s="108">
        <f t="shared" si="6"/>
        <v>86.98232335329341</v>
      </c>
      <c r="N9" s="102">
        <f t="shared" si="7"/>
        <v>0.42466258510065141</v>
      </c>
      <c r="O9" s="107">
        <f t="shared" si="8"/>
        <v>-2.104442376450999E-2</v>
      </c>
      <c r="P9" s="108">
        <f t="shared" si="9"/>
        <v>95.278417582417575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0.66187149924082878</v>
      </c>
      <c r="C10" s="107">
        <f t="shared" si="11"/>
        <v>-0.10709553803203209</v>
      </c>
      <c r="D10" s="108">
        <f t="shared" si="12"/>
        <v>86.072805095541412</v>
      </c>
      <c r="E10" s="102">
        <f t="shared" si="0"/>
        <v>0.70560540725865706</v>
      </c>
      <c r="F10" s="107">
        <f t="shared" si="13"/>
        <v>-0.11234042219718854</v>
      </c>
      <c r="G10" s="108">
        <f t="shared" si="14"/>
        <v>86.265542514970079</v>
      </c>
      <c r="H10" s="102">
        <f t="shared" si="1"/>
        <v>0.82381372385756968</v>
      </c>
      <c r="I10" s="107">
        <f t="shared" si="2"/>
        <v>-5.2906656217857617E-2</v>
      </c>
      <c r="J10" s="108">
        <f t="shared" si="3"/>
        <v>93.965389944134074</v>
      </c>
      <c r="K10" s="102">
        <f t="shared" si="4"/>
        <v>0.72477860606357447</v>
      </c>
      <c r="L10" s="107">
        <f t="shared" si="5"/>
        <v>-9.3167223392271126E-2</v>
      </c>
      <c r="M10" s="108">
        <f t="shared" si="6"/>
        <v>88.609609580838324</v>
      </c>
      <c r="N10" s="102">
        <f t="shared" si="7"/>
        <v>0.37316432384777387</v>
      </c>
      <c r="O10" s="107">
        <f t="shared" si="8"/>
        <v>-7.2542685017387531E-2</v>
      </c>
      <c r="P10" s="108">
        <f t="shared" si="9"/>
        <v>83.724131868131863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0.66472371063329572</v>
      </c>
      <c r="C11" s="236">
        <f t="shared" si="11"/>
        <v>-0.10424332663956515</v>
      </c>
      <c r="D11" s="237">
        <f t="shared" si="12"/>
        <v>86.443719745222921</v>
      </c>
      <c r="E11" s="235">
        <f>AVERAGE(E7:E10)</f>
        <v>0.71626158593329081</v>
      </c>
      <c r="F11" s="236">
        <f t="shared" si="13"/>
        <v>-0.10168424352255478</v>
      </c>
      <c r="G11" s="237">
        <f t="shared" si="14"/>
        <v>87.568340119760464</v>
      </c>
      <c r="H11" s="235">
        <f>AVERAGE(H7:H10)</f>
        <v>0.80103564676495076</v>
      </c>
      <c r="I11" s="236">
        <f t="shared" si="2"/>
        <v>-7.5684733310476537E-2</v>
      </c>
      <c r="J11" s="237">
        <f t="shared" si="3"/>
        <v>91.367289385474862</v>
      </c>
      <c r="K11" s="235">
        <f>AVERAGE(K7:K10)</f>
        <v>0.71947032374981634</v>
      </c>
      <c r="L11" s="236">
        <f t="shared" si="5"/>
        <v>-9.8475505706029254E-2</v>
      </c>
      <c r="M11" s="237">
        <f t="shared" si="6"/>
        <v>87.96063233532935</v>
      </c>
      <c r="N11" s="235">
        <f>AVERAGE(N7:N10)</f>
        <v>0.38183980016652785</v>
      </c>
      <c r="O11" s="236">
        <f t="shared" si="8"/>
        <v>-6.3867208698633549E-2</v>
      </c>
      <c r="P11" s="237">
        <f t="shared" si="9"/>
        <v>85.670584615384598</v>
      </c>
      <c r="Q11" s="109"/>
    </row>
    <row r="12" spans="1:19" s="96" customFormat="1" ht="15.75" x14ac:dyDescent="0.25">
      <c r="A12" s="110" t="s">
        <v>24</v>
      </c>
      <c r="B12" s="102">
        <f>B25*$B$32/100/$B$33</f>
        <v>1.0793625018367046</v>
      </c>
      <c r="C12" s="107">
        <f t="shared" si="11"/>
        <v>0.3103954645638437</v>
      </c>
      <c r="D12" s="108">
        <f t="shared" si="12"/>
        <v>140.36524968152864</v>
      </c>
      <c r="E12" s="102">
        <f>E25*$B$32/100/$B$33</f>
        <v>1.1251467012783465</v>
      </c>
      <c r="F12" s="107">
        <f t="shared" si="13"/>
        <v>0.30720087182250089</v>
      </c>
      <c r="G12" s="108">
        <f t="shared" si="14"/>
        <v>137.55760598802397</v>
      </c>
      <c r="H12" s="102">
        <f>H25*$B$32/100/$B$33</f>
        <v>1.2968374491845032</v>
      </c>
      <c r="I12" s="107">
        <f t="shared" si="2"/>
        <v>0.42011706910907587</v>
      </c>
      <c r="J12" s="108">
        <f t="shared" si="3"/>
        <v>147.91916312849162</v>
      </c>
      <c r="K12" s="102">
        <f>K25*$B$32/100/$B$33</f>
        <v>1.0240399275113874</v>
      </c>
      <c r="L12" s="107">
        <f t="shared" si="5"/>
        <v>0.2060940980555418</v>
      </c>
      <c r="M12" s="108">
        <f t="shared" si="6"/>
        <v>125.19654610778441</v>
      </c>
      <c r="N12" s="102">
        <f>N25*$B$32/100/$B$33</f>
        <v>0.51392763873242886</v>
      </c>
      <c r="O12" s="107">
        <f t="shared" si="8"/>
        <v>6.8220629867267457E-2</v>
      </c>
      <c r="P12" s="108">
        <f t="shared" si="9"/>
        <v>115.30616043956043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1.4508439045893127</v>
      </c>
      <c r="F13" s="107">
        <f t="shared" si="13"/>
        <v>0.63289807513346708</v>
      </c>
      <c r="G13" s="108">
        <f t="shared" si="14"/>
        <v>177.37652694610776</v>
      </c>
      <c r="H13" s="102">
        <f t="shared" ref="H13:H14" si="15">H26*$B$34/$B$33</f>
        <v>1.5129906450506929</v>
      </c>
      <c r="I13" s="107">
        <f t="shared" si="2"/>
        <v>0.63627026497526562</v>
      </c>
      <c r="J13" s="108">
        <f t="shared" si="3"/>
        <v>172.57391061452515</v>
      </c>
      <c r="K13" s="102">
        <f t="shared" ref="K13:K14" si="16">K26*$B$34/$B$33</f>
        <v>1.3491492383797814</v>
      </c>
      <c r="L13" s="107">
        <f t="shared" si="5"/>
        <v>0.5312034089239358</v>
      </c>
      <c r="M13" s="108">
        <f t="shared" si="6"/>
        <v>164.94359281437124</v>
      </c>
      <c r="N13" s="102">
        <f t="shared" ref="N13:N14" si="17">N26*$B$34/$B$33</f>
        <v>0.63841651564872404</v>
      </c>
      <c r="O13" s="107">
        <f t="shared" si="8"/>
        <v>0.19270950678356263</v>
      </c>
      <c r="P13" s="108">
        <f t="shared" si="9"/>
        <v>143.23681318681315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1.3163809570455991</v>
      </c>
      <c r="F14" s="107">
        <f t="shared" si="13"/>
        <v>0.4984351275897535</v>
      </c>
      <c r="G14" s="108">
        <f t="shared" si="14"/>
        <v>160.93742514970057</v>
      </c>
      <c r="H14" s="102">
        <f t="shared" si="15"/>
        <v>1.3943468678062398</v>
      </c>
      <c r="I14" s="107">
        <f t="shared" si="2"/>
        <v>0.51762648773081255</v>
      </c>
      <c r="J14" s="108">
        <f t="shared" si="3"/>
        <v>159.04122905027933</v>
      </c>
      <c r="K14" s="102">
        <f t="shared" si="16"/>
        <v>1.2259856981926827</v>
      </c>
      <c r="L14" s="107">
        <f t="shared" si="5"/>
        <v>0.40803986873683706</v>
      </c>
      <c r="M14" s="108">
        <f t="shared" si="6"/>
        <v>149.88592814371259</v>
      </c>
      <c r="N14" s="102">
        <f t="shared" si="17"/>
        <v>0.57965959739432826</v>
      </c>
      <c r="O14" s="107">
        <f t="shared" si="8"/>
        <v>0.13395258852916686</v>
      </c>
      <c r="P14" s="108">
        <f t="shared" si="9"/>
        <v>130.05395604395605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1.3709350051427731</v>
      </c>
      <c r="F15" s="119">
        <f t="shared" si="13"/>
        <v>0.55298917568692751</v>
      </c>
      <c r="G15" s="120">
        <f t="shared" si="14"/>
        <v>167.60706586826345</v>
      </c>
      <c r="H15" s="118">
        <f>H28*$B$35/10/$B$33</f>
        <v>1.4531380712151638</v>
      </c>
      <c r="I15" s="119">
        <f t="shared" si="2"/>
        <v>0.57641769113973651</v>
      </c>
      <c r="J15" s="120">
        <f t="shared" si="3"/>
        <v>165.74703910614525</v>
      </c>
      <c r="K15" s="118">
        <f>K28*$B$35/10/$B$33</f>
        <v>1.3576764460988393</v>
      </c>
      <c r="L15" s="119">
        <f t="shared" si="5"/>
        <v>0.53973061664299371</v>
      </c>
      <c r="M15" s="120">
        <f t="shared" si="6"/>
        <v>165.98610778443114</v>
      </c>
      <c r="N15" s="118">
        <f>N28*$B$35/10/$B$33</f>
        <v>0.56746632708037414</v>
      </c>
      <c r="O15" s="119">
        <f t="shared" si="8"/>
        <v>0.12175931821521274</v>
      </c>
      <c r="P15" s="120">
        <f t="shared" si="9"/>
        <v>127.31824175824174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8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89" t="s">
        <v>214</v>
      </c>
      <c r="X19" s="289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42.34</v>
      </c>
      <c r="C21" s="144" t="s">
        <v>172</v>
      </c>
      <c r="D21" s="145" t="s">
        <v>172</v>
      </c>
      <c r="E21" s="143">
        <v>46.21</v>
      </c>
      <c r="F21" s="144" t="s">
        <v>172</v>
      </c>
      <c r="G21" s="145" t="s">
        <v>172</v>
      </c>
      <c r="H21" s="143">
        <v>51.03</v>
      </c>
      <c r="I21" s="144" t="s">
        <v>172</v>
      </c>
      <c r="J21" s="145" t="s">
        <v>172</v>
      </c>
      <c r="K21" s="143">
        <v>45.63</v>
      </c>
      <c r="L21" s="144" t="s">
        <v>172</v>
      </c>
      <c r="M21" s="145" t="s">
        <v>172</v>
      </c>
      <c r="N21" s="143">
        <v>22.08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41.65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45.35</v>
      </c>
      <c r="L22" s="144" t="s">
        <v>172</v>
      </c>
      <c r="M22" s="145" t="s">
        <v>172</v>
      </c>
      <c r="N22" s="143">
        <v>23.96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42.04</v>
      </c>
      <c r="C23" s="144" t="s">
        <v>172</v>
      </c>
      <c r="D23" s="145" t="s">
        <v>172</v>
      </c>
      <c r="E23" s="143">
        <v>45.3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41.77</v>
      </c>
      <c r="C24" s="144" t="s">
        <v>172</v>
      </c>
      <c r="D24" s="145" t="s">
        <v>172</v>
      </c>
      <c r="E24" s="143">
        <v>44.53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45.74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13.47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1.165</v>
      </c>
      <c r="F27" s="144" t="s">
        <v>172</v>
      </c>
      <c r="G27" s="145" t="s">
        <v>172</v>
      </c>
      <c r="H27" s="153">
        <v>1.234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0.51300000000000001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5.17</v>
      </c>
      <c r="F28" s="158" t="s">
        <v>172</v>
      </c>
      <c r="G28" s="159" t="s">
        <v>172</v>
      </c>
      <c r="H28" s="234">
        <v>5.48</v>
      </c>
      <c r="I28" s="158" t="s">
        <v>172</v>
      </c>
      <c r="J28" s="159" t="s">
        <v>172</v>
      </c>
      <c r="K28" s="234">
        <v>5.12</v>
      </c>
      <c r="L28" s="158" t="s">
        <v>172</v>
      </c>
      <c r="M28" s="159" t="s">
        <v>172</v>
      </c>
      <c r="N28" s="234">
        <v>2.14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8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7.7897999999999996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2.0417000000000001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2.3069999999999999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5.4139999999999997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3.2351999999999999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43647</v>
      </c>
      <c r="E2" s="493"/>
      <c r="F2" s="292"/>
      <c r="G2" s="292"/>
      <c r="H2" s="292"/>
      <c r="I2" s="292"/>
      <c r="J2" s="292"/>
      <c r="K2" s="292"/>
      <c r="L2" s="292"/>
      <c r="M2" s="292"/>
      <c r="N2" s="292"/>
      <c r="O2" s="292"/>
      <c r="P2" s="292"/>
      <c r="Q2" s="292"/>
      <c r="R2" s="292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0.76836489991680135</v>
      </c>
      <c r="C6" s="103" t="s">
        <v>172</v>
      </c>
      <c r="D6" s="104" t="s">
        <v>172</v>
      </c>
      <c r="E6" s="102">
        <f>E20/$B$33</f>
        <v>0.81730533940194783</v>
      </c>
      <c r="F6" s="103" t="s">
        <v>172</v>
      </c>
      <c r="G6" s="104" t="s">
        <v>172</v>
      </c>
      <c r="H6" s="102">
        <f>H20/$B$33</f>
        <v>0.87603386678412376</v>
      </c>
      <c r="I6" s="103" t="s">
        <v>172</v>
      </c>
      <c r="J6" s="104" t="s">
        <v>172</v>
      </c>
      <c r="K6" s="102">
        <f>K20/$B$33</f>
        <v>0.81730533940194783</v>
      </c>
      <c r="L6" s="103" t="s">
        <v>172</v>
      </c>
      <c r="M6" s="104" t="s">
        <v>172</v>
      </c>
      <c r="N6" s="102">
        <f>N20/$B$33</f>
        <v>0.44535799931483389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0.67142040816326543</v>
      </c>
      <c r="C7" s="107">
        <f>B7-B$6</f>
        <v>-9.6944491753535922E-2</v>
      </c>
      <c r="D7" s="108">
        <f>B7/B$6*100</f>
        <v>87.383014012738855</v>
      </c>
      <c r="E7" s="102">
        <f t="shared" ref="E7:E10" si="0">E21*$B$36/100/$B$33</f>
        <v>0.73276122448979597</v>
      </c>
      <c r="F7" s="107">
        <f>E7-E$6</f>
        <v>-8.4544114912151858E-2</v>
      </c>
      <c r="G7" s="108">
        <f>E7/E$6*100</f>
        <v>89.655749101796417</v>
      </c>
      <c r="H7" s="102">
        <f t="shared" ref="H7:H10" si="1">H21*$B$36/100/$B$33</f>
        <v>0.81882857142857135</v>
      </c>
      <c r="I7" s="107">
        <f t="shared" ref="I7:I15" si="2">H7-H$6</f>
        <v>-5.720529535555241E-2</v>
      </c>
      <c r="J7" s="108">
        <f t="shared" ref="J7:J15" si="3">H7/H$6*100</f>
        <v>93.469967597765347</v>
      </c>
      <c r="K7" s="102">
        <f t="shared" ref="K7:K10" si="4">K21*$B$36/100/$B$33</f>
        <v>0.72325102040816347</v>
      </c>
      <c r="L7" s="107">
        <f t="shared" ref="L7:L15" si="5">K7-K$6</f>
        <v>-9.4054318993784358E-2</v>
      </c>
      <c r="M7" s="108">
        <f t="shared" ref="M7:M15" si="6">K7/K$6*100</f>
        <v>88.492144311377274</v>
      </c>
      <c r="N7" s="102">
        <f t="shared" ref="N7:N10" si="7">N21*$B$36/100/$B$33</f>
        <v>0.34632993197278916</v>
      </c>
      <c r="O7" s="107">
        <f t="shared" ref="O7:O15" si="8">N7-N$6</f>
        <v>-9.9028067342044723E-2</v>
      </c>
      <c r="P7" s="108">
        <f t="shared" ref="P7:P15" si="9">N7/N$6*100</f>
        <v>77.764390109890115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0.65953265306122455</v>
      </c>
      <c r="C8" s="107">
        <f t="shared" ref="C8:C12" si="11">B8-B$6</f>
        <v>-0.1088322468555768</v>
      </c>
      <c r="D8" s="108">
        <f t="shared" ref="D8:D12" si="12">B8/B$6*100</f>
        <v>85.835864331210189</v>
      </c>
      <c r="E8" s="102">
        <f t="shared" si="0"/>
        <v>0.70961972789115646</v>
      </c>
      <c r="F8" s="107">
        <f t="shared" ref="F8:F15" si="13">E8-E$6</f>
        <v>-0.10768561151079137</v>
      </c>
      <c r="G8" s="108">
        <f t="shared" ref="G8:G15" si="14">E8/E$6*100</f>
        <v>86.82431077844312</v>
      </c>
      <c r="H8" s="102">
        <f t="shared" si="1"/>
        <v>0.79394353741496615</v>
      </c>
      <c r="I8" s="107">
        <f t="shared" si="2"/>
        <v>-8.2090329369157611E-2</v>
      </c>
      <c r="J8" s="108">
        <f t="shared" si="3"/>
        <v>90.629320111731857</v>
      </c>
      <c r="K8" s="102">
        <f t="shared" si="4"/>
        <v>0.71881292517006801</v>
      </c>
      <c r="L8" s="107">
        <f t="shared" si="5"/>
        <v>-9.8492414231879821E-2</v>
      </c>
      <c r="M8" s="108">
        <f t="shared" si="6"/>
        <v>87.949128742514972</v>
      </c>
      <c r="N8" s="102">
        <f t="shared" si="7"/>
        <v>0.38516326530612249</v>
      </c>
      <c r="O8" s="107">
        <f t="shared" si="8"/>
        <v>-6.0194734008711392E-2</v>
      </c>
      <c r="P8" s="108">
        <f t="shared" si="9"/>
        <v>86.48396703296703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0.66634829931972783</v>
      </c>
      <c r="C9" s="107">
        <f t="shared" si="11"/>
        <v>-0.10201660059707351</v>
      </c>
      <c r="D9" s="108">
        <f t="shared" si="12"/>
        <v>86.722896815286603</v>
      </c>
      <c r="E9" s="102">
        <f t="shared" si="0"/>
        <v>0.71770340136054422</v>
      </c>
      <c r="F9" s="107">
        <f t="shared" si="13"/>
        <v>-9.9601938041403604E-2</v>
      </c>
      <c r="G9" s="108">
        <f t="shared" si="14"/>
        <v>87.813374850299397</v>
      </c>
      <c r="H9" s="102">
        <f t="shared" si="1"/>
        <v>0.77825170068027227</v>
      </c>
      <c r="I9" s="107">
        <f t="shared" si="2"/>
        <v>-9.7782166103851487E-2</v>
      </c>
      <c r="J9" s="108">
        <f t="shared" si="3"/>
        <v>88.838083798882693</v>
      </c>
      <c r="K9" s="102">
        <f t="shared" si="4"/>
        <v>0.7121557823129252</v>
      </c>
      <c r="L9" s="107">
        <f t="shared" si="5"/>
        <v>-0.10514955708902263</v>
      </c>
      <c r="M9" s="108">
        <f t="shared" si="6"/>
        <v>87.134605389221562</v>
      </c>
      <c r="N9" s="102">
        <f t="shared" si="7"/>
        <v>0.42478911564625854</v>
      </c>
      <c r="O9" s="107">
        <f t="shared" si="8"/>
        <v>-2.0568883668575344E-2</v>
      </c>
      <c r="P9" s="108">
        <f t="shared" si="9"/>
        <v>95.381494505494501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0.66206870748299329</v>
      </c>
      <c r="C10" s="107">
        <f t="shared" si="11"/>
        <v>-0.10629619243380806</v>
      </c>
      <c r="D10" s="108">
        <f t="shared" si="12"/>
        <v>86.165922929936315</v>
      </c>
      <c r="E10" s="102">
        <f t="shared" si="0"/>
        <v>0.70534013605442192</v>
      </c>
      <c r="F10" s="107">
        <f t="shared" si="13"/>
        <v>-0.11196520334752591</v>
      </c>
      <c r="G10" s="108">
        <f t="shared" si="14"/>
        <v>86.300688622754507</v>
      </c>
      <c r="H10" s="102">
        <f t="shared" si="1"/>
        <v>0.82405918367346953</v>
      </c>
      <c r="I10" s="107">
        <f t="shared" si="2"/>
        <v>-5.197468311065423E-2</v>
      </c>
      <c r="J10" s="108">
        <f t="shared" si="3"/>
        <v>94.067046368715097</v>
      </c>
      <c r="K10" s="102">
        <f t="shared" si="4"/>
        <v>0.72499455782312938</v>
      </c>
      <c r="L10" s="107">
        <f t="shared" si="5"/>
        <v>-9.2310781578818446E-2</v>
      </c>
      <c r="M10" s="108">
        <f t="shared" si="6"/>
        <v>88.705471856287446</v>
      </c>
      <c r="N10" s="102">
        <f t="shared" si="7"/>
        <v>0.37327551020408173</v>
      </c>
      <c r="O10" s="107">
        <f t="shared" si="8"/>
        <v>-7.2082489110752157E-2</v>
      </c>
      <c r="P10" s="108">
        <f t="shared" si="9"/>
        <v>83.814708791208801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0.66484251700680275</v>
      </c>
      <c r="C11" s="236">
        <f t="shared" si="11"/>
        <v>-0.1035223829099986</v>
      </c>
      <c r="D11" s="237">
        <f t="shared" si="12"/>
        <v>86.526924522292987</v>
      </c>
      <c r="E11" s="235">
        <f>AVERAGE(E7:E10)</f>
        <v>0.71635612244897962</v>
      </c>
      <c r="F11" s="236">
        <f t="shared" si="13"/>
        <v>-0.10094921695296821</v>
      </c>
      <c r="G11" s="237">
        <f t="shared" si="14"/>
        <v>87.648530838323353</v>
      </c>
      <c r="H11" s="235">
        <f>AVERAGE(H7:H10)</f>
        <v>0.80377074829931972</v>
      </c>
      <c r="I11" s="236">
        <f t="shared" si="2"/>
        <v>-7.2263118484804045E-2</v>
      </c>
      <c r="J11" s="237">
        <f t="shared" si="3"/>
        <v>91.751104469273741</v>
      </c>
      <c r="K11" s="235">
        <f>AVERAGE(K7:K10)</f>
        <v>0.71980357142857154</v>
      </c>
      <c r="L11" s="236">
        <f t="shared" si="5"/>
        <v>-9.7501767973376285E-2</v>
      </c>
      <c r="M11" s="237">
        <f t="shared" si="6"/>
        <v>88.070337574850313</v>
      </c>
      <c r="N11" s="235">
        <f>AVERAGE(N7:N10)</f>
        <v>0.38238945578231298</v>
      </c>
      <c r="O11" s="236">
        <f t="shared" si="8"/>
        <v>-6.2968543532520904E-2</v>
      </c>
      <c r="P11" s="237">
        <f t="shared" si="9"/>
        <v>85.861140109890115</v>
      </c>
      <c r="Q11" s="109"/>
    </row>
    <row r="12" spans="1:19" s="96" customFormat="1" ht="15.75" x14ac:dyDescent="0.25">
      <c r="A12" s="110" t="s">
        <v>24</v>
      </c>
      <c r="B12" s="102">
        <f>B25*$B$32/100/$B$33</f>
        <v>1.0816324915577742</v>
      </c>
      <c r="C12" s="107">
        <f t="shared" si="11"/>
        <v>0.31326759164097284</v>
      </c>
      <c r="D12" s="108">
        <f t="shared" si="12"/>
        <v>140.77067961783439</v>
      </c>
      <c r="E12" s="102">
        <f>E25*$B$32/100/$B$33</f>
        <v>1.1275129790045515</v>
      </c>
      <c r="F12" s="107">
        <f t="shared" si="13"/>
        <v>0.31020763960260367</v>
      </c>
      <c r="G12" s="108">
        <f t="shared" si="14"/>
        <v>137.95492634730539</v>
      </c>
      <c r="H12" s="102">
        <f>H25*$B$32/100/$B$33</f>
        <v>1.2995648069299663</v>
      </c>
      <c r="I12" s="107">
        <f t="shared" si="2"/>
        <v>0.42353094014584258</v>
      </c>
      <c r="J12" s="108">
        <f t="shared" si="3"/>
        <v>148.34641173184357</v>
      </c>
      <c r="K12" s="102">
        <f>K25*$B$32/100/$B$33</f>
        <v>1.0261935692262518</v>
      </c>
      <c r="L12" s="107">
        <f t="shared" si="5"/>
        <v>0.20888822982430399</v>
      </c>
      <c r="M12" s="108">
        <f t="shared" si="6"/>
        <v>125.55816287425152</v>
      </c>
      <c r="N12" s="102">
        <f>N25*$B$32/100/$B$33</f>
        <v>0.48939186609895757</v>
      </c>
      <c r="O12" s="107">
        <f t="shared" si="8"/>
        <v>4.4033866784123687E-2</v>
      </c>
      <c r="P12" s="108">
        <f t="shared" si="9"/>
        <v>109.88729670329668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1.4610817794743798</v>
      </c>
      <c r="F13" s="107">
        <f t="shared" si="13"/>
        <v>0.64377644007243195</v>
      </c>
      <c r="G13" s="108">
        <f t="shared" si="14"/>
        <v>178.76816766467067</v>
      </c>
      <c r="H13" s="102">
        <f t="shared" ref="H13:H14" si="15">H26*$B$34/$B$33</f>
        <v>1.5236670581901826</v>
      </c>
      <c r="I13" s="107">
        <f t="shared" si="2"/>
        <v>0.64763319140605879</v>
      </c>
      <c r="J13" s="108">
        <f t="shared" si="3"/>
        <v>173.92787150837987</v>
      </c>
      <c r="K13" s="102">
        <f t="shared" ref="K13:K14" si="16">K26*$B$34/$B$33</f>
        <v>1.3586695052121567</v>
      </c>
      <c r="L13" s="107">
        <f t="shared" si="5"/>
        <v>0.54136416581020885</v>
      </c>
      <c r="M13" s="108">
        <f t="shared" si="6"/>
        <v>166.23768862275449</v>
      </c>
      <c r="N13" s="102">
        <f t="shared" ref="N13:N14" si="17">N26*$B$34/$B$33</f>
        <v>0.64292149953506583</v>
      </c>
      <c r="O13" s="107">
        <f t="shared" si="8"/>
        <v>0.19756350022023195</v>
      </c>
      <c r="P13" s="108">
        <f t="shared" si="9"/>
        <v>144.36060439560438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1.3370491362012431</v>
      </c>
      <c r="F14" s="107">
        <f t="shared" si="13"/>
        <v>0.51974379679929528</v>
      </c>
      <c r="G14" s="108">
        <f t="shared" si="14"/>
        <v>163.59236526946108</v>
      </c>
      <c r="H14" s="102">
        <f t="shared" si="15"/>
        <v>1.415565213135614</v>
      </c>
      <c r="I14" s="107">
        <f t="shared" si="2"/>
        <v>0.53953134635149025</v>
      </c>
      <c r="J14" s="108">
        <f t="shared" si="3"/>
        <v>161.58795530726258</v>
      </c>
      <c r="K14" s="102">
        <f t="shared" si="16"/>
        <v>1.2175681495619832</v>
      </c>
      <c r="L14" s="107">
        <f t="shared" si="5"/>
        <v>0.4002628101600354</v>
      </c>
      <c r="M14" s="108">
        <f t="shared" si="6"/>
        <v>148.97347305389223</v>
      </c>
      <c r="N14" s="102">
        <f t="shared" si="17"/>
        <v>0.53368174032202809</v>
      </c>
      <c r="O14" s="107">
        <f t="shared" si="8"/>
        <v>8.8323741007194201E-2</v>
      </c>
      <c r="P14" s="108">
        <f t="shared" si="9"/>
        <v>119.83207692307691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1.3760247638623795</v>
      </c>
      <c r="F15" s="119">
        <f t="shared" si="13"/>
        <v>0.55871942446043166</v>
      </c>
      <c r="G15" s="120">
        <f t="shared" si="14"/>
        <v>168.3611616766467</v>
      </c>
      <c r="H15" s="118">
        <f>H28*$B$35/10/$B$33</f>
        <v>1.4295665834679196</v>
      </c>
      <c r="I15" s="119">
        <f t="shared" si="2"/>
        <v>0.55353271668379589</v>
      </c>
      <c r="J15" s="120">
        <f t="shared" si="3"/>
        <v>163.18622346368716</v>
      </c>
      <c r="K15" s="118">
        <f>K28*$B$35/10/$B$33</f>
        <v>1.3572851270004407</v>
      </c>
      <c r="L15" s="119">
        <f t="shared" si="5"/>
        <v>0.53997978759849286</v>
      </c>
      <c r="M15" s="120">
        <f t="shared" si="6"/>
        <v>166.06830538922159</v>
      </c>
      <c r="N15" s="118">
        <f>N28*$B$35/10/$B$33</f>
        <v>0.5568349238976168</v>
      </c>
      <c r="O15" s="119">
        <f t="shared" si="8"/>
        <v>0.11147692458278291</v>
      </c>
      <c r="P15" s="120">
        <f t="shared" si="9"/>
        <v>125.03085714285717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9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91" t="s">
        <v>214</v>
      </c>
      <c r="X19" s="291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42.36</v>
      </c>
      <c r="C21" s="144" t="s">
        <v>172</v>
      </c>
      <c r="D21" s="145" t="s">
        <v>172</v>
      </c>
      <c r="E21" s="143">
        <v>46.23</v>
      </c>
      <c r="F21" s="144" t="s">
        <v>172</v>
      </c>
      <c r="G21" s="145" t="s">
        <v>172</v>
      </c>
      <c r="H21" s="143">
        <v>51.66</v>
      </c>
      <c r="I21" s="144" t="s">
        <v>172</v>
      </c>
      <c r="J21" s="145" t="s">
        <v>172</v>
      </c>
      <c r="K21" s="143">
        <v>45.63</v>
      </c>
      <c r="L21" s="144" t="s">
        <v>172</v>
      </c>
      <c r="M21" s="145" t="s">
        <v>172</v>
      </c>
      <c r="N21" s="143">
        <v>21.85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41.61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42.04</v>
      </c>
      <c r="C23" s="144" t="s">
        <v>172</v>
      </c>
      <c r="D23" s="145" t="s">
        <v>172</v>
      </c>
      <c r="E23" s="143">
        <v>45.28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44.93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41.77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45.74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12.8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</v>
      </c>
      <c r="F27" s="144" t="s">
        <v>172</v>
      </c>
      <c r="G27" s="145" t="s">
        <v>172</v>
      </c>
      <c r="H27" s="153">
        <v>1.244</v>
      </c>
      <c r="I27" s="144" t="s">
        <v>172</v>
      </c>
      <c r="J27" s="145" t="s">
        <v>172</v>
      </c>
      <c r="K27" s="153">
        <v>1.07</v>
      </c>
      <c r="L27" s="144" t="s">
        <v>172</v>
      </c>
      <c r="M27" s="145" t="s">
        <v>172</v>
      </c>
      <c r="N27" s="153">
        <v>0.46899999999999997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5.14</v>
      </c>
      <c r="F28" s="158" t="s">
        <v>172</v>
      </c>
      <c r="G28" s="159" t="s">
        <v>172</v>
      </c>
      <c r="H28" s="234">
        <v>5.34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2.08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9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7.8122999999999996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2.0432999999999999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2.3250999999999999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5.4701000000000004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3.2387000000000001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B1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43654</v>
      </c>
      <c r="E2" s="4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0.7663022256930887</v>
      </c>
      <c r="C6" s="103" t="s">
        <v>172</v>
      </c>
      <c r="D6" s="104" t="s">
        <v>172</v>
      </c>
      <c r="E6" s="102">
        <f>E20/$B$33</f>
        <v>0.81511128465443183</v>
      </c>
      <c r="F6" s="103" t="s">
        <v>172</v>
      </c>
      <c r="G6" s="104" t="s">
        <v>172</v>
      </c>
      <c r="H6" s="102">
        <f>H20/$B$33</f>
        <v>0.87368215540804373</v>
      </c>
      <c r="I6" s="103" t="s">
        <v>172</v>
      </c>
      <c r="J6" s="104" t="s">
        <v>172</v>
      </c>
      <c r="K6" s="102">
        <f>K20/$B$33</f>
        <v>0.81511128465443183</v>
      </c>
      <c r="L6" s="103" t="s">
        <v>172</v>
      </c>
      <c r="M6" s="104" t="s">
        <v>172</v>
      </c>
      <c r="N6" s="102">
        <f>N20/$B$33</f>
        <v>0.44416243654822335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0.66641327606403755</v>
      </c>
      <c r="C7" s="107">
        <f>B7-B$6</f>
        <v>-9.9888949629051149E-2</v>
      </c>
      <c r="D7" s="108">
        <f>B7/B$6*100</f>
        <v>86.964810191082805</v>
      </c>
      <c r="E7" s="102">
        <f t="shared" ref="E7:E10" si="0">E21*$B$36/100/$B$33</f>
        <v>0.72761128465443181</v>
      </c>
      <c r="F7" s="107">
        <f>E7-E$6</f>
        <v>-8.7500000000000022E-2</v>
      </c>
      <c r="G7" s="108">
        <f>E7/E$6*100</f>
        <v>89.26526946107785</v>
      </c>
      <c r="H7" s="102">
        <f t="shared" ref="H7:H10" si="1">H21*$B$36/100/$B$33</f>
        <v>0.81272213978914476</v>
      </c>
      <c r="I7" s="107">
        <f t="shared" ref="I7:I15" si="2">H7-H$6</f>
        <v>-6.0960015618898966E-2</v>
      </c>
      <c r="J7" s="108">
        <f t="shared" ref="J7:J15" si="3">H7/H$6*100</f>
        <v>93.022632402234635</v>
      </c>
      <c r="K7" s="102">
        <f t="shared" ref="K7:K10" si="4">K21*$B$36/100/$B$33</f>
        <v>0.71785736040609138</v>
      </c>
      <c r="L7" s="107">
        <f t="shared" ref="L7:L15" si="5">K7-K$6</f>
        <v>-9.7253924248340451E-2</v>
      </c>
      <c r="M7" s="108">
        <f t="shared" ref="M7:M15" si="6">K7/K$6*100</f>
        <v>88.06863233532934</v>
      </c>
      <c r="N7" s="102">
        <f t="shared" ref="N7:N10" si="7">N21*$B$36/100/$B$33</f>
        <v>0.3424885982038266</v>
      </c>
      <c r="O7" s="107">
        <f t="shared" ref="O7:O15" si="8">N7-N$6</f>
        <v>-0.10167383834439675</v>
      </c>
      <c r="P7" s="108">
        <f t="shared" ref="P7:P15" si="9">N7/N$6*100</f>
        <v>77.108861538461539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0.65540078094494336</v>
      </c>
      <c r="C8" s="107">
        <f t="shared" ref="C8:C12" si="11">B8-B$6</f>
        <v>-0.11090144474814534</v>
      </c>
      <c r="D8" s="108">
        <f t="shared" ref="D8:D12" si="12">B8/B$6*100</f>
        <v>85.527714649681513</v>
      </c>
      <c r="E8" s="102">
        <f t="shared" si="0"/>
        <v>0.70432772354549011</v>
      </c>
      <c r="F8" s="107">
        <f t="shared" ref="F8:F15" si="13">E8-E$6</f>
        <v>-0.11078356110894172</v>
      </c>
      <c r="G8" s="108">
        <f t="shared" ref="G8:G15" si="14">E8/E$6*100</f>
        <v>86.408780838323366</v>
      </c>
      <c r="H8" s="102">
        <f t="shared" si="1"/>
        <v>0.78802268645060525</v>
      </c>
      <c r="I8" s="107">
        <f t="shared" si="2"/>
        <v>-8.5659468957438478E-2</v>
      </c>
      <c r="J8" s="108">
        <f t="shared" si="3"/>
        <v>90.195579888268156</v>
      </c>
      <c r="K8" s="102">
        <f t="shared" si="4"/>
        <v>0.71329504099960961</v>
      </c>
      <c r="L8" s="107">
        <f t="shared" si="5"/>
        <v>-0.10181624365482222</v>
      </c>
      <c r="M8" s="108">
        <f t="shared" si="6"/>
        <v>87.508914970059891</v>
      </c>
      <c r="N8" s="102">
        <f t="shared" si="7"/>
        <v>0.38229090199140958</v>
      </c>
      <c r="O8" s="107">
        <f t="shared" si="8"/>
        <v>-6.1871534556813768E-2</v>
      </c>
      <c r="P8" s="108">
        <f t="shared" si="9"/>
        <v>86.070065934065937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0.66106434986333462</v>
      </c>
      <c r="C9" s="107">
        <f t="shared" si="11"/>
        <v>-0.10523787582975408</v>
      </c>
      <c r="D9" s="108">
        <f t="shared" si="12"/>
        <v>86.266792356687887</v>
      </c>
      <c r="E9" s="102">
        <f t="shared" si="0"/>
        <v>0.7123511128465444</v>
      </c>
      <c r="F9" s="107">
        <f t="shared" si="13"/>
        <v>-0.10276017180788743</v>
      </c>
      <c r="G9" s="108">
        <f t="shared" si="14"/>
        <v>87.393111377245532</v>
      </c>
      <c r="H9" s="102">
        <f t="shared" si="1"/>
        <v>0.77229055056618512</v>
      </c>
      <c r="I9" s="107">
        <f t="shared" si="2"/>
        <v>-0.10139160484185861</v>
      </c>
      <c r="J9" s="108">
        <f t="shared" si="3"/>
        <v>88.394909497206712</v>
      </c>
      <c r="K9" s="102">
        <f t="shared" si="4"/>
        <v>0.7068448652869973</v>
      </c>
      <c r="L9" s="107">
        <f t="shared" si="5"/>
        <v>-0.10826641936743453</v>
      </c>
      <c r="M9" s="108">
        <f t="shared" si="6"/>
        <v>86.717590419161681</v>
      </c>
      <c r="N9" s="102">
        <f t="shared" si="7"/>
        <v>0.42162124170245996</v>
      </c>
      <c r="O9" s="107">
        <f t="shared" si="8"/>
        <v>-2.254119484576339E-2</v>
      </c>
      <c r="P9" s="108">
        <f t="shared" si="9"/>
        <v>94.925010989010985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0.65713131589222962</v>
      </c>
      <c r="C10" s="107">
        <f t="shared" si="11"/>
        <v>-0.10917090980085908</v>
      </c>
      <c r="D10" s="108">
        <f t="shared" si="12"/>
        <v>85.753543949044584</v>
      </c>
      <c r="E10" s="102">
        <f t="shared" si="0"/>
        <v>0.70055201093322927</v>
      </c>
      <c r="F10" s="107">
        <f t="shared" si="13"/>
        <v>-0.11455927372120256</v>
      </c>
      <c r="G10" s="108">
        <f t="shared" si="14"/>
        <v>85.945566467065888</v>
      </c>
      <c r="H10" s="102">
        <f t="shared" si="1"/>
        <v>0.81791374463100341</v>
      </c>
      <c r="I10" s="107">
        <f t="shared" si="2"/>
        <v>-5.5768410777040311E-2</v>
      </c>
      <c r="J10" s="108">
        <f t="shared" si="3"/>
        <v>93.616853631284897</v>
      </c>
      <c r="K10" s="102">
        <f t="shared" si="4"/>
        <v>0.72037450214759868</v>
      </c>
      <c r="L10" s="107">
        <f t="shared" si="5"/>
        <v>-9.473678250683315E-2</v>
      </c>
      <c r="M10" s="108">
        <f t="shared" si="6"/>
        <v>88.377441916167669</v>
      </c>
      <c r="N10" s="102">
        <f t="shared" si="7"/>
        <v>0.37049180007809446</v>
      </c>
      <c r="O10" s="107">
        <f t="shared" si="8"/>
        <v>-7.3670636470128892E-2</v>
      </c>
      <c r="P10" s="108">
        <f t="shared" si="9"/>
        <v>83.413582417582404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0.66000243069113629</v>
      </c>
      <c r="C11" s="236">
        <f t="shared" si="11"/>
        <v>-0.10629979500195241</v>
      </c>
      <c r="D11" s="237">
        <f t="shared" si="12"/>
        <v>86.128215286624197</v>
      </c>
      <c r="E11" s="235">
        <f>AVERAGE(E7:E10)</f>
        <v>0.71121053299492387</v>
      </c>
      <c r="F11" s="236">
        <f t="shared" si="13"/>
        <v>-0.10390075165950796</v>
      </c>
      <c r="G11" s="237">
        <f t="shared" si="14"/>
        <v>87.253182035928148</v>
      </c>
      <c r="H11" s="235">
        <f>AVERAGE(H7:H10)</f>
        <v>0.79773728035923464</v>
      </c>
      <c r="I11" s="236">
        <f t="shared" si="2"/>
        <v>-7.5944875048809091E-2</v>
      </c>
      <c r="J11" s="237">
        <f t="shared" si="3"/>
        <v>91.3074938547486</v>
      </c>
      <c r="K11" s="235">
        <f>AVERAGE(K7:K10)</f>
        <v>0.7145929422100743</v>
      </c>
      <c r="L11" s="236">
        <f t="shared" si="5"/>
        <v>-0.10051834244435753</v>
      </c>
      <c r="M11" s="237">
        <f t="shared" si="6"/>
        <v>87.668144910179663</v>
      </c>
      <c r="N11" s="235">
        <f>AVERAGE(N7:N10)</f>
        <v>0.37922313549394759</v>
      </c>
      <c r="O11" s="236">
        <f t="shared" si="8"/>
        <v>-6.4939301054275755E-2</v>
      </c>
      <c r="P11" s="237">
        <f t="shared" si="9"/>
        <v>85.379380219780202</v>
      </c>
      <c r="Q11" s="109"/>
    </row>
    <row r="12" spans="1:19" s="96" customFormat="1" ht="15.75" x14ac:dyDescent="0.25">
      <c r="A12" s="110" t="s">
        <v>24</v>
      </c>
      <c r="B12" s="102">
        <f>B25*$B$32/100/$B$33</f>
        <v>1.101539803787583</v>
      </c>
      <c r="C12" s="107">
        <f t="shared" si="11"/>
        <v>0.33523757809449428</v>
      </c>
      <c r="D12" s="108">
        <f t="shared" si="12"/>
        <v>143.74743630573249</v>
      </c>
      <c r="E12" s="102">
        <f>E25*$B$32/100/$B$33</f>
        <v>1.1482647159312769</v>
      </c>
      <c r="F12" s="107">
        <f t="shared" si="13"/>
        <v>0.33315343127684505</v>
      </c>
      <c r="G12" s="108">
        <f t="shared" si="14"/>
        <v>140.87214071856289</v>
      </c>
      <c r="H12" s="102">
        <f>H25*$B$32/100/$B$33</f>
        <v>1.2923331950409995</v>
      </c>
      <c r="I12" s="107">
        <f t="shared" si="2"/>
        <v>0.4186510396329558</v>
      </c>
      <c r="J12" s="108">
        <f t="shared" si="3"/>
        <v>147.91800279329607</v>
      </c>
      <c r="K12" s="102">
        <f>K25*$B$32/100/$B$33</f>
        <v>1.0450805349472863</v>
      </c>
      <c r="L12" s="107">
        <f t="shared" si="5"/>
        <v>0.22996925029285442</v>
      </c>
      <c r="M12" s="108">
        <f t="shared" si="6"/>
        <v>128.21323353293414</v>
      </c>
      <c r="N12" s="102">
        <f>N25*$B$32/100/$B$33</f>
        <v>0.51008029090199136</v>
      </c>
      <c r="O12" s="107">
        <f t="shared" si="8"/>
        <v>6.5917854353768013E-2</v>
      </c>
      <c r="P12" s="108">
        <f t="shared" si="9"/>
        <v>114.84093406593405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1.4460667707926591</v>
      </c>
      <c r="F13" s="107">
        <f t="shared" si="13"/>
        <v>0.63095548613822727</v>
      </c>
      <c r="G13" s="108">
        <f t="shared" si="14"/>
        <v>177.40728143712576</v>
      </c>
      <c r="H13" s="102">
        <f t="shared" ref="H13:H14" si="15">H26*$B$34/$B$33</f>
        <v>1.5080088832487308</v>
      </c>
      <c r="I13" s="107">
        <f t="shared" si="2"/>
        <v>0.63432672784068711</v>
      </c>
      <c r="J13" s="108">
        <f t="shared" si="3"/>
        <v>172.60383240223462</v>
      </c>
      <c r="K13" s="102">
        <f t="shared" ref="K13:K14" si="16">K26*$B$34/$B$33</f>
        <v>1.344706950409996</v>
      </c>
      <c r="L13" s="107">
        <f t="shared" si="5"/>
        <v>0.52959566575556416</v>
      </c>
      <c r="M13" s="108">
        <f t="shared" si="6"/>
        <v>164.97219161676645</v>
      </c>
      <c r="N13" s="102">
        <f t="shared" ref="N13:N14" si="17">N26*$B$34/$B$33</f>
        <v>0.63631442795782889</v>
      </c>
      <c r="O13" s="107">
        <f t="shared" si="8"/>
        <v>0.19215199140960554</v>
      </c>
      <c r="P13" s="108">
        <f t="shared" si="9"/>
        <v>143.26164835164835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1.3007843615775088</v>
      </c>
      <c r="F14" s="107">
        <f t="shared" si="13"/>
        <v>0.48567307692307693</v>
      </c>
      <c r="G14" s="108">
        <f t="shared" si="14"/>
        <v>159.58365269461078</v>
      </c>
      <c r="H14" s="102">
        <f t="shared" si="15"/>
        <v>1.378493557204217</v>
      </c>
      <c r="I14" s="107">
        <f t="shared" si="2"/>
        <v>0.50481140179617323</v>
      </c>
      <c r="J14" s="108">
        <f t="shared" si="3"/>
        <v>157.77975418994413</v>
      </c>
      <c r="K14" s="102">
        <f t="shared" si="16"/>
        <v>1.1994245411948457</v>
      </c>
      <c r="L14" s="107">
        <f t="shared" si="5"/>
        <v>0.38431325654041382</v>
      </c>
      <c r="M14" s="108">
        <f t="shared" si="6"/>
        <v>147.1485628742515</v>
      </c>
      <c r="N14" s="102">
        <f t="shared" si="17"/>
        <v>0.52819728621632178</v>
      </c>
      <c r="O14" s="107">
        <f t="shared" si="8"/>
        <v>8.4034849668098432E-2</v>
      </c>
      <c r="P14" s="108">
        <f t="shared" si="9"/>
        <v>118.91984615384617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1.361122608356111</v>
      </c>
      <c r="F15" s="119">
        <f t="shared" si="13"/>
        <v>0.54601132370167915</v>
      </c>
      <c r="G15" s="120">
        <f t="shared" si="14"/>
        <v>166.98610778443114</v>
      </c>
      <c r="H15" s="118">
        <f>H28*$B$35/10/$B$33</f>
        <v>1.4380671612651308</v>
      </c>
      <c r="I15" s="119">
        <f t="shared" si="2"/>
        <v>0.56438500585708706</v>
      </c>
      <c r="J15" s="120">
        <f t="shared" si="3"/>
        <v>164.59843575418995</v>
      </c>
      <c r="K15" s="118">
        <f>K28*$B$35/10/$B$33</f>
        <v>1.3452030456852793</v>
      </c>
      <c r="L15" s="119">
        <f t="shared" si="5"/>
        <v>0.53009176103084743</v>
      </c>
      <c r="M15" s="120">
        <f t="shared" si="6"/>
        <v>165.03305389221558</v>
      </c>
      <c r="N15" s="118">
        <f>N28*$B$35/10/$B$33</f>
        <v>0.55187817258883243</v>
      </c>
      <c r="O15" s="119">
        <f t="shared" si="8"/>
        <v>0.10771573604060908</v>
      </c>
      <c r="P15" s="120">
        <f t="shared" si="9"/>
        <v>124.25142857142856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9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95" t="s">
        <v>214</v>
      </c>
      <c r="X19" s="295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42.36</v>
      </c>
      <c r="C21" s="144" t="s">
        <v>172</v>
      </c>
      <c r="D21" s="145" t="s">
        <v>172</v>
      </c>
      <c r="E21" s="143">
        <v>46.25</v>
      </c>
      <c r="F21" s="144" t="s">
        <v>172</v>
      </c>
      <c r="G21" s="145" t="s">
        <v>172</v>
      </c>
      <c r="H21" s="143">
        <v>51.66</v>
      </c>
      <c r="I21" s="144" t="s">
        <v>172</v>
      </c>
      <c r="J21" s="145" t="s">
        <v>172</v>
      </c>
      <c r="K21" s="143">
        <v>45.63</v>
      </c>
      <c r="L21" s="144" t="s">
        <v>172</v>
      </c>
      <c r="M21" s="145" t="s">
        <v>172</v>
      </c>
      <c r="N21" s="143">
        <v>21.77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41.66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45.34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42.02</v>
      </c>
      <c r="C23" s="144" t="s">
        <v>172</v>
      </c>
      <c r="D23" s="145" t="s">
        <v>172</v>
      </c>
      <c r="E23" s="143">
        <v>45.28</v>
      </c>
      <c r="F23" s="144" t="s">
        <v>172</v>
      </c>
      <c r="G23" s="145" t="s">
        <v>172</v>
      </c>
      <c r="H23" s="143">
        <v>49.09</v>
      </c>
      <c r="I23" s="144" t="s">
        <v>172</v>
      </c>
      <c r="J23" s="145" t="s">
        <v>172</v>
      </c>
      <c r="K23" s="143">
        <v>44.93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41.77</v>
      </c>
      <c r="C24" s="144" t="s">
        <v>172</v>
      </c>
      <c r="D24" s="145" t="s">
        <v>172</v>
      </c>
      <c r="E24" s="143">
        <v>44.53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45.79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29.49</v>
      </c>
      <c r="F25" s="144" t="s">
        <v>172</v>
      </c>
      <c r="G25" s="145" t="s">
        <v>172</v>
      </c>
      <c r="H25" s="143">
        <v>33.19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13.1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1.155</v>
      </c>
      <c r="F27" s="144" t="s">
        <v>172</v>
      </c>
      <c r="G27" s="145" t="s">
        <v>172</v>
      </c>
      <c r="H27" s="153">
        <v>1.224</v>
      </c>
      <c r="I27" s="144" t="s">
        <v>172</v>
      </c>
      <c r="J27" s="145" t="s">
        <v>172</v>
      </c>
      <c r="K27" s="153">
        <v>1.0649999999999999</v>
      </c>
      <c r="L27" s="144" t="s">
        <v>172</v>
      </c>
      <c r="M27" s="145" t="s">
        <v>172</v>
      </c>
      <c r="N27" s="153">
        <v>0.46899999999999997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5.13</v>
      </c>
      <c r="F28" s="158" t="s">
        <v>172</v>
      </c>
      <c r="G28" s="159" t="s">
        <v>172</v>
      </c>
      <c r="H28" s="234">
        <v>5.42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2.08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9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7.9775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2.0488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2.3073999999999999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5.4359999999999999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3.2231999999999998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43661</v>
      </c>
      <c r="E2" s="49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0.77184012585418615</v>
      </c>
      <c r="C6" s="103" t="s">
        <v>172</v>
      </c>
      <c r="D6" s="104" t="s">
        <v>172</v>
      </c>
      <c r="E6" s="102">
        <f>E20/$B$33</f>
        <v>0.82100191730986671</v>
      </c>
      <c r="F6" s="103" t="s">
        <v>172</v>
      </c>
      <c r="G6" s="104" t="s">
        <v>172</v>
      </c>
      <c r="H6" s="102">
        <f>H20/$B$33</f>
        <v>0.87999606705668354</v>
      </c>
      <c r="I6" s="103" t="s">
        <v>172</v>
      </c>
      <c r="J6" s="104" t="s">
        <v>172</v>
      </c>
      <c r="K6" s="102">
        <f>K20/$B$33</f>
        <v>0.82100191730986671</v>
      </c>
      <c r="L6" s="103" t="s">
        <v>172</v>
      </c>
      <c r="M6" s="104" t="s">
        <v>172</v>
      </c>
      <c r="N6" s="102">
        <f>N20/$B$33</f>
        <v>0.44737230224669389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0.672874470281697</v>
      </c>
      <c r="C7" s="107">
        <f>B7-B$6</f>
        <v>-9.8965655572489153E-2</v>
      </c>
      <c r="D7" s="108">
        <f>B7/B$6*100</f>
        <v>87.17795923566878</v>
      </c>
      <c r="E7" s="102">
        <f t="shared" ref="E7:E10" si="0">E21*$B$36/100/$B$33</f>
        <v>0.73450697605820758</v>
      </c>
      <c r="F7" s="107">
        <f>E7-E$6</f>
        <v>-8.649494125165913E-2</v>
      </c>
      <c r="G7" s="108">
        <f>E7/E$6*100</f>
        <v>89.46470898203593</v>
      </c>
      <c r="H7" s="102">
        <f t="shared" ref="H7:H10" si="1">H21*$B$36/100/$B$33</f>
        <v>0.8147245415662947</v>
      </c>
      <c r="I7" s="107">
        <f t="shared" ref="I7:I15" si="2">H7-H$6</f>
        <v>-6.5271525490388838E-2</v>
      </c>
      <c r="J7" s="108">
        <f t="shared" ref="J7:J15" si="3">H7/H$6*100</f>
        <v>92.582748044692735</v>
      </c>
      <c r="K7" s="102">
        <f t="shared" ref="K7:K10" si="4">K21*$B$36/100/$B$33</f>
        <v>0.72449963620274327</v>
      </c>
      <c r="L7" s="107">
        <f t="shared" ref="L7:L15" si="5">K7-K$6</f>
        <v>-9.6502281107123444E-2</v>
      </c>
      <c r="M7" s="108">
        <f t="shared" ref="M7:M15" si="6">K7/K$6*100</f>
        <v>88.245791017964081</v>
      </c>
      <c r="N7" s="102">
        <f t="shared" ref="N7:N10" si="7">N21*$B$36/100/$B$33</f>
        <v>0.3416791750651394</v>
      </c>
      <c r="O7" s="107">
        <f t="shared" ref="O7:O15" si="8">N7-N$6</f>
        <v>-0.10569312718155449</v>
      </c>
      <c r="P7" s="108">
        <f t="shared" ref="P7:P15" si="9">N7/N$6*100</f>
        <v>76.37468241758242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0.66175520377562547</v>
      </c>
      <c r="C8" s="107">
        <f t="shared" ref="C8:C12" si="11">B8-B$6</f>
        <v>-0.11008492207856069</v>
      </c>
      <c r="D8" s="108">
        <f t="shared" ref="D8:D12" si="12">B8/B$6*100</f>
        <v>85.737341401273866</v>
      </c>
      <c r="E8" s="102">
        <f t="shared" si="0"/>
        <v>0.71115651639545752</v>
      </c>
      <c r="F8" s="107">
        <f t="shared" ref="F8:F15" si="13">E8-E$6</f>
        <v>-0.1098454009144092</v>
      </c>
      <c r="G8" s="108">
        <f t="shared" ref="G8:G15" si="14">E8/E$6*100</f>
        <v>86.620567065868286</v>
      </c>
      <c r="H8" s="102">
        <f t="shared" si="1"/>
        <v>0.7956629418416008</v>
      </c>
      <c r="I8" s="107">
        <f t="shared" si="2"/>
        <v>-8.4333125215082738E-2</v>
      </c>
      <c r="J8" s="108">
        <f t="shared" si="3"/>
        <v>90.416647486033526</v>
      </c>
      <c r="K8" s="102">
        <f t="shared" si="4"/>
        <v>0.7202107762646871</v>
      </c>
      <c r="L8" s="107">
        <f t="shared" si="5"/>
        <v>-0.10079114104517961</v>
      </c>
      <c r="M8" s="108">
        <f t="shared" si="6"/>
        <v>87.723397604790435</v>
      </c>
      <c r="N8" s="102">
        <f t="shared" si="7"/>
        <v>0.38599739442505288</v>
      </c>
      <c r="O8" s="107">
        <f t="shared" si="8"/>
        <v>-6.1374907821641012E-2</v>
      </c>
      <c r="P8" s="108">
        <f t="shared" si="9"/>
        <v>86.281021978021982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0.66683829703554387</v>
      </c>
      <c r="C9" s="107">
        <f t="shared" si="11"/>
        <v>-0.10500182881864228</v>
      </c>
      <c r="D9" s="108">
        <f t="shared" si="12"/>
        <v>86.395909554140118</v>
      </c>
      <c r="E9" s="102">
        <f t="shared" si="0"/>
        <v>0.71814576962784527</v>
      </c>
      <c r="F9" s="107">
        <f t="shared" si="13"/>
        <v>-0.10285614768202145</v>
      </c>
      <c r="G9" s="108">
        <f t="shared" si="14"/>
        <v>87.471874850299415</v>
      </c>
      <c r="H9" s="102">
        <f t="shared" si="1"/>
        <v>0.77993712206872812</v>
      </c>
      <c r="I9" s="107">
        <f t="shared" si="2"/>
        <v>-0.10005894498795542</v>
      </c>
      <c r="J9" s="108">
        <f t="shared" si="3"/>
        <v>88.629614525139658</v>
      </c>
      <c r="K9" s="102">
        <f t="shared" si="4"/>
        <v>0.7125861363748095</v>
      </c>
      <c r="L9" s="107">
        <f t="shared" si="5"/>
        <v>-0.10841578093505722</v>
      </c>
      <c r="M9" s="108">
        <f t="shared" si="6"/>
        <v>86.79469820359283</v>
      </c>
      <c r="N9" s="102">
        <f t="shared" si="7"/>
        <v>0.42570906051816526</v>
      </c>
      <c r="O9" s="107">
        <f t="shared" si="8"/>
        <v>-2.1663241728528626E-2</v>
      </c>
      <c r="P9" s="108">
        <f t="shared" si="9"/>
        <v>95.157670329670324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0.66350251708372254</v>
      </c>
      <c r="C10" s="107">
        <f t="shared" si="11"/>
        <v>-0.10833760877046361</v>
      </c>
      <c r="D10" s="108">
        <f t="shared" si="12"/>
        <v>85.963724203821656</v>
      </c>
      <c r="E10" s="102">
        <f t="shared" si="0"/>
        <v>0.70988574308047769</v>
      </c>
      <c r="F10" s="107">
        <f t="shared" si="13"/>
        <v>-0.11111617422938902</v>
      </c>
      <c r="G10" s="108">
        <f t="shared" si="14"/>
        <v>86.465783832335319</v>
      </c>
      <c r="H10" s="102">
        <f t="shared" si="1"/>
        <v>0.82584380807236624</v>
      </c>
      <c r="I10" s="107">
        <f t="shared" si="2"/>
        <v>-5.4152258984317303E-2</v>
      </c>
      <c r="J10" s="108">
        <f t="shared" si="3"/>
        <v>93.846306703910614</v>
      </c>
      <c r="K10" s="102">
        <f t="shared" si="4"/>
        <v>0.72656464283958511</v>
      </c>
      <c r="L10" s="107">
        <f t="shared" si="5"/>
        <v>-9.4437274470281607E-2</v>
      </c>
      <c r="M10" s="108">
        <f t="shared" si="6"/>
        <v>88.497313772455101</v>
      </c>
      <c r="N10" s="102">
        <f t="shared" si="7"/>
        <v>0.3740838945971191</v>
      </c>
      <c r="O10" s="107">
        <f t="shared" si="8"/>
        <v>-7.3288407649574783E-2</v>
      </c>
      <c r="P10" s="108">
        <f t="shared" si="9"/>
        <v>83.618027472527473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0.6662426220441473</v>
      </c>
      <c r="C11" s="236">
        <f t="shared" si="11"/>
        <v>-0.10559750381003885</v>
      </c>
      <c r="D11" s="237">
        <f t="shared" si="12"/>
        <v>86.318733598726112</v>
      </c>
      <c r="E11" s="235">
        <f>AVERAGE(E7:E10)</f>
        <v>0.71842375129049696</v>
      </c>
      <c r="F11" s="236">
        <f t="shared" si="13"/>
        <v>-0.10257816601936975</v>
      </c>
      <c r="G11" s="237">
        <f t="shared" si="14"/>
        <v>87.505733682634727</v>
      </c>
      <c r="H11" s="235">
        <f>AVERAGE(H7:H10)</f>
        <v>0.80404210338724746</v>
      </c>
      <c r="I11" s="236">
        <f t="shared" si="2"/>
        <v>-7.5953963669436075E-2</v>
      </c>
      <c r="J11" s="237">
        <f t="shared" si="3"/>
        <v>91.368829189944137</v>
      </c>
      <c r="K11" s="235">
        <f>AVERAGE(K7:K10)</f>
        <v>0.72096529792045616</v>
      </c>
      <c r="L11" s="236">
        <f t="shared" si="5"/>
        <v>-0.10003661938941055</v>
      </c>
      <c r="M11" s="237">
        <f t="shared" si="6"/>
        <v>87.81530014970059</v>
      </c>
      <c r="N11" s="235">
        <f>AVERAGE(N7:N10)</f>
        <v>0.3818673811513692</v>
      </c>
      <c r="O11" s="236">
        <f t="shared" si="8"/>
        <v>-6.5504921095324686E-2</v>
      </c>
      <c r="P11" s="237">
        <f t="shared" si="9"/>
        <v>85.357850549450546</v>
      </c>
      <c r="Q11" s="109"/>
    </row>
    <row r="12" spans="1:19" s="96" customFormat="1" ht="15.75" x14ac:dyDescent="0.25">
      <c r="A12" s="110" t="s">
        <v>24</v>
      </c>
      <c r="B12" s="102">
        <f>B25*$B$32/100/$B$33</f>
        <v>1.0941878275404355</v>
      </c>
      <c r="C12" s="107">
        <f t="shared" si="11"/>
        <v>0.32234770168624938</v>
      </c>
      <c r="D12" s="108">
        <f t="shared" si="12"/>
        <v>141.76353248407642</v>
      </c>
      <c r="E12" s="102">
        <f>E25*$B$32/100/$B$33</f>
        <v>1.1328653753502778</v>
      </c>
      <c r="F12" s="107">
        <f t="shared" si="13"/>
        <v>0.31186345804041105</v>
      </c>
      <c r="G12" s="108">
        <f t="shared" si="14"/>
        <v>137.98571616766469</v>
      </c>
      <c r="H12" s="102">
        <f>H25*$B$32/100/$B$33</f>
        <v>1.277906179637186</v>
      </c>
      <c r="I12" s="107">
        <f t="shared" si="2"/>
        <v>0.39791011258050246</v>
      </c>
      <c r="J12" s="108">
        <f t="shared" si="3"/>
        <v>145.21726033519553</v>
      </c>
      <c r="K12" s="102">
        <f>K25*$B$32/100/$B$33</f>
        <v>1.0381053832161642</v>
      </c>
      <c r="L12" s="107">
        <f t="shared" si="5"/>
        <v>0.21710346590629748</v>
      </c>
      <c r="M12" s="108">
        <f t="shared" si="6"/>
        <v>126.4437221556886</v>
      </c>
      <c r="N12" s="102">
        <f>N25*$B$32/100/$B$33</f>
        <v>0.50590232535273583</v>
      </c>
      <c r="O12" s="107">
        <f t="shared" si="8"/>
        <v>5.853002310604194E-2</v>
      </c>
      <c r="P12" s="108">
        <f t="shared" si="9"/>
        <v>113.08306813186813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1.4384006686003639</v>
      </c>
      <c r="F13" s="107">
        <f t="shared" si="13"/>
        <v>0.61739875129049715</v>
      </c>
      <c r="G13" s="108">
        <f t="shared" si="14"/>
        <v>175.20064670658684</v>
      </c>
      <c r="H13" s="102">
        <f t="shared" ref="H13:H14" si="15">H26*$B$34/$B$33</f>
        <v>1.5000144044048966</v>
      </c>
      <c r="I13" s="107">
        <f t="shared" si="2"/>
        <v>0.6200183373482131</v>
      </c>
      <c r="J13" s="108">
        <f t="shared" si="3"/>
        <v>170.45694413407824</v>
      </c>
      <c r="K13" s="102">
        <f t="shared" ref="K13:K14" si="16">K26*$B$34/$B$33</f>
        <v>1.3263756944103042</v>
      </c>
      <c r="L13" s="107">
        <f t="shared" si="5"/>
        <v>0.50537377710043752</v>
      </c>
      <c r="M13" s="108">
        <f t="shared" si="6"/>
        <v>161.55573652694611</v>
      </c>
      <c r="N13" s="102">
        <f t="shared" ref="N13:N14" si="17">N26*$B$34/$B$33</f>
        <v>0.63294110417383609</v>
      </c>
      <c r="O13" s="107">
        <f t="shared" si="8"/>
        <v>0.1855688019271422</v>
      </c>
      <c r="P13" s="108">
        <f t="shared" si="9"/>
        <v>141.47972527472527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1.3274959441522052</v>
      </c>
      <c r="F14" s="107">
        <f t="shared" si="13"/>
        <v>0.50649402684233846</v>
      </c>
      <c r="G14" s="108">
        <f t="shared" si="14"/>
        <v>161.69218562874258</v>
      </c>
      <c r="H14" s="102">
        <f t="shared" si="15"/>
        <v>1.4047931763433461</v>
      </c>
      <c r="I14" s="107">
        <f t="shared" si="2"/>
        <v>0.52479710928666257</v>
      </c>
      <c r="J14" s="108">
        <f t="shared" si="3"/>
        <v>159.63630167597768</v>
      </c>
      <c r="K14" s="102">
        <f t="shared" si="16"/>
        <v>1.2188317191878473</v>
      </c>
      <c r="L14" s="107">
        <f t="shared" si="5"/>
        <v>0.39782980187798056</v>
      </c>
      <c r="M14" s="108">
        <f t="shared" si="6"/>
        <v>148.45662275449104</v>
      </c>
      <c r="N14" s="102">
        <f t="shared" si="17"/>
        <v>0.5041123838552678</v>
      </c>
      <c r="O14" s="107">
        <f t="shared" si="8"/>
        <v>5.6740081608573911E-2</v>
      </c>
      <c r="P14" s="108">
        <f t="shared" si="9"/>
        <v>112.68296703296706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1.3504805073496877</v>
      </c>
      <c r="F15" s="119">
        <f t="shared" si="13"/>
        <v>0.52947859003982101</v>
      </c>
      <c r="G15" s="120">
        <f t="shared" si="14"/>
        <v>164.49176047904191</v>
      </c>
      <c r="H15" s="118">
        <f>H28*$B$35/10/$B$33</f>
        <v>1.4241909443980139</v>
      </c>
      <c r="I15" s="119">
        <f t="shared" si="2"/>
        <v>0.54419487734133032</v>
      </c>
      <c r="J15" s="120">
        <f t="shared" si="3"/>
        <v>161.84060335195531</v>
      </c>
      <c r="K15" s="118">
        <f>K28*$B$35/10/$B$33</f>
        <v>1.3346854136964752</v>
      </c>
      <c r="L15" s="119">
        <f t="shared" si="5"/>
        <v>0.51368349638660848</v>
      </c>
      <c r="M15" s="120">
        <f t="shared" si="6"/>
        <v>162.56788023952097</v>
      </c>
      <c r="N15" s="118">
        <f>N28*$B$35/10/$B$33</f>
        <v>0.54493073103583878</v>
      </c>
      <c r="O15" s="119">
        <f t="shared" si="8"/>
        <v>9.7558428789144891E-2</v>
      </c>
      <c r="P15" s="120">
        <f t="shared" si="9"/>
        <v>121.80698901098896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97" t="s">
        <v>214</v>
      </c>
      <c r="X19" s="297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34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42.36</v>
      </c>
      <c r="C21" s="144" t="s">
        <v>172</v>
      </c>
      <c r="D21" s="145" t="s">
        <v>172</v>
      </c>
      <c r="E21" s="143">
        <v>46.24</v>
      </c>
      <c r="F21" s="144" t="s">
        <v>172</v>
      </c>
      <c r="G21" s="145" t="s">
        <v>172</v>
      </c>
      <c r="H21" s="143">
        <v>51.29</v>
      </c>
      <c r="I21" s="144" t="s">
        <v>172</v>
      </c>
      <c r="J21" s="145" t="s">
        <v>172</v>
      </c>
      <c r="K21" s="143">
        <v>45.61</v>
      </c>
      <c r="L21" s="144" t="s">
        <v>172</v>
      </c>
      <c r="M21" s="145" t="s">
        <v>172</v>
      </c>
      <c r="N21" s="143">
        <v>21.51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41.66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45.34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41.98</v>
      </c>
      <c r="C23" s="144" t="s">
        <v>172</v>
      </c>
      <c r="D23" s="145" t="s">
        <v>172</v>
      </c>
      <c r="E23" s="143">
        <v>45.21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44.86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41.77</v>
      </c>
      <c r="C24" s="144" t="s">
        <v>172</v>
      </c>
      <c r="D24" s="145" t="s">
        <v>172</v>
      </c>
      <c r="E24" s="143">
        <v>44.69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45.74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29.29</v>
      </c>
      <c r="F25" s="144" t="s">
        <v>172</v>
      </c>
      <c r="G25" s="145" t="s">
        <v>172</v>
      </c>
      <c r="H25" s="143">
        <v>33.04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13.08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1.1850000000000001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1.0880000000000001</v>
      </c>
      <c r="L27" s="144" t="s">
        <v>172</v>
      </c>
      <c r="M27" s="145" t="s">
        <v>172</v>
      </c>
      <c r="N27" s="153">
        <v>0.45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5.13</v>
      </c>
      <c r="F28" s="158" t="s">
        <v>172</v>
      </c>
      <c r="G28" s="159" t="s">
        <v>172</v>
      </c>
      <c r="H28" s="234">
        <v>5.41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2.0699999999999998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9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7.8673999999999999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2.0341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2.2787000000000002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5.3548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3.2311000000000001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9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43668</v>
      </c>
      <c r="E2" s="49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0.77018020241915575</v>
      </c>
      <c r="C6" s="103" t="s">
        <v>172</v>
      </c>
      <c r="D6" s="104" t="s">
        <v>172</v>
      </c>
      <c r="E6" s="102">
        <f>E20/$B$33</f>
        <v>0.81955072821525543</v>
      </c>
      <c r="F6" s="103" t="s">
        <v>172</v>
      </c>
      <c r="G6" s="104" t="s">
        <v>172</v>
      </c>
      <c r="H6" s="102">
        <f>H20/$B$33</f>
        <v>0.87879535917057516</v>
      </c>
      <c r="I6" s="103" t="s">
        <v>172</v>
      </c>
      <c r="J6" s="104" t="s">
        <v>172</v>
      </c>
      <c r="K6" s="102">
        <f>K20/$B$33</f>
        <v>0.81955072821525543</v>
      </c>
      <c r="L6" s="103" t="s">
        <v>172</v>
      </c>
      <c r="M6" s="104" t="s">
        <v>172</v>
      </c>
      <c r="N6" s="102">
        <f>N20/$B$33</f>
        <v>0.44433473216489755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0.67252308072080957</v>
      </c>
      <c r="C7" s="107">
        <f>B7-B$6</f>
        <v>-9.7657121698346172E-2</v>
      </c>
      <c r="D7" s="108">
        <f>B7/B$6*100</f>
        <v>87.320224358974357</v>
      </c>
      <c r="E7" s="102">
        <f t="shared" ref="E7:E10" si="0">E21*$B$36/100/$B$33</f>
        <v>0.73426758824981475</v>
      </c>
      <c r="F7" s="107">
        <f>E7-E$6</f>
        <v>-8.528313996544068E-2</v>
      </c>
      <c r="G7" s="108">
        <f>E7/E$6*100</f>
        <v>89.593915662650588</v>
      </c>
      <c r="H7" s="102">
        <f t="shared" ref="H7:H10" si="1">H21*$B$36/100/$B$33</f>
        <v>0.81442433966921735</v>
      </c>
      <c r="I7" s="107">
        <f t="shared" ref="I7:I15" si="2">H7-H$6</f>
        <v>-6.4371019501357818E-2</v>
      </c>
      <c r="J7" s="108">
        <f t="shared" ref="J7:J15" si="3">H7/H$6*100</f>
        <v>92.675084269662904</v>
      </c>
      <c r="K7" s="102">
        <f t="shared" ref="K7:K10" si="4">K21*$B$36/100/$B$33</f>
        <v>0.72363293014070607</v>
      </c>
      <c r="L7" s="107">
        <f t="shared" ref="L7:L15" si="5">K7-K$6</f>
        <v>-9.5917798074549365E-2</v>
      </c>
      <c r="M7" s="108">
        <f t="shared" ref="M7:M15" si="6">K7/K$6*100</f>
        <v>88.296295180722908</v>
      </c>
      <c r="N7" s="102">
        <f t="shared" ref="N7:N10" si="7">N21*$B$36/100/$B$33</f>
        <v>0.34554702542582078</v>
      </c>
      <c r="O7" s="107">
        <f t="shared" ref="O7:O15" si="8">N7-N$6</f>
        <v>-9.8787706739076775E-2</v>
      </c>
      <c r="P7" s="108">
        <f t="shared" ref="P7:P15" si="9">N7/N$6*100</f>
        <v>77.767277777777778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0.66125351764996287</v>
      </c>
      <c r="C8" s="107">
        <f t="shared" ref="C8:C12" si="11">B8-B$6</f>
        <v>-0.10892668476919287</v>
      </c>
      <c r="D8" s="108">
        <f t="shared" ref="D8:D12" si="12">B8/B$6*100</f>
        <v>85.856987179487163</v>
      </c>
      <c r="E8" s="102">
        <f t="shared" si="0"/>
        <v>0.71061737842508022</v>
      </c>
      <c r="F8" s="107">
        <f t="shared" ref="F8:F15" si="13">E8-E$6</f>
        <v>-0.10893334979017522</v>
      </c>
      <c r="G8" s="108">
        <f t="shared" ref="G8:G15" si="14">E8/E$6*100</f>
        <v>86.708162650602418</v>
      </c>
      <c r="H8" s="102">
        <f t="shared" si="1"/>
        <v>0.79505973833621324</v>
      </c>
      <c r="I8" s="107">
        <f t="shared" si="2"/>
        <v>-8.3735620834361923E-2</v>
      </c>
      <c r="J8" s="108">
        <f t="shared" si="3"/>
        <v>90.47154494382022</v>
      </c>
      <c r="K8" s="102">
        <f t="shared" si="4"/>
        <v>0.71966477412984442</v>
      </c>
      <c r="L8" s="107">
        <f t="shared" si="5"/>
        <v>-9.9885954085411011E-2</v>
      </c>
      <c r="M8" s="108">
        <f t="shared" si="6"/>
        <v>87.812108433734934</v>
      </c>
      <c r="N8" s="102">
        <f t="shared" si="7"/>
        <v>0.3857047642557393</v>
      </c>
      <c r="O8" s="107">
        <f t="shared" si="8"/>
        <v>-5.8629967909158254E-2</v>
      </c>
      <c r="P8" s="108">
        <f t="shared" si="9"/>
        <v>86.804999999999993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0.66728511478647234</v>
      </c>
      <c r="C9" s="107">
        <f t="shared" si="11"/>
        <v>-0.1028950876326834</v>
      </c>
      <c r="D9" s="108">
        <f t="shared" si="12"/>
        <v>86.640128205128192</v>
      </c>
      <c r="E9" s="102">
        <f t="shared" si="0"/>
        <v>0.71871241668723762</v>
      </c>
      <c r="F9" s="107">
        <f t="shared" si="13"/>
        <v>-0.10083831152801781</v>
      </c>
      <c r="G9" s="108">
        <f t="shared" si="14"/>
        <v>87.695903614457819</v>
      </c>
      <c r="H9" s="102">
        <f t="shared" si="1"/>
        <v>0.77934584053320177</v>
      </c>
      <c r="I9" s="107">
        <f t="shared" si="2"/>
        <v>-9.9449518637373391E-2</v>
      </c>
      <c r="J9" s="108">
        <f t="shared" si="3"/>
        <v>88.683426966292146</v>
      </c>
      <c r="K9" s="102">
        <f t="shared" si="4"/>
        <v>0.7125220933102937</v>
      </c>
      <c r="L9" s="107">
        <f t="shared" si="5"/>
        <v>-0.10702863490496173</v>
      </c>
      <c r="M9" s="108">
        <f t="shared" si="6"/>
        <v>86.94057228915662</v>
      </c>
      <c r="N9" s="102">
        <f t="shared" si="7"/>
        <v>0.42538632436435442</v>
      </c>
      <c r="O9" s="107">
        <f t="shared" si="8"/>
        <v>-1.8948407800543132E-2</v>
      </c>
      <c r="P9" s="108">
        <f t="shared" si="9"/>
        <v>95.735555555555536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0.66665020982473466</v>
      </c>
      <c r="C10" s="107">
        <f t="shared" si="11"/>
        <v>-0.10352999259442108</v>
      </c>
      <c r="D10" s="108">
        <f t="shared" si="12"/>
        <v>86.557692307692307</v>
      </c>
      <c r="E10" s="102">
        <f t="shared" si="0"/>
        <v>0.71680770180202402</v>
      </c>
      <c r="F10" s="107">
        <f t="shared" si="13"/>
        <v>-0.10274302641323141</v>
      </c>
      <c r="G10" s="108">
        <f t="shared" si="14"/>
        <v>87.463493975903603</v>
      </c>
      <c r="H10" s="102">
        <f t="shared" si="1"/>
        <v>0.82521772401876081</v>
      </c>
      <c r="I10" s="107">
        <f t="shared" si="2"/>
        <v>-5.3577635151814351E-2</v>
      </c>
      <c r="J10" s="108">
        <f t="shared" si="3"/>
        <v>93.903286516853939</v>
      </c>
      <c r="K10" s="102">
        <f t="shared" si="4"/>
        <v>0.73553739817329056</v>
      </c>
      <c r="L10" s="107">
        <f t="shared" si="5"/>
        <v>-8.4013330041964873E-2</v>
      </c>
      <c r="M10" s="108">
        <f t="shared" si="6"/>
        <v>89.748855421686756</v>
      </c>
      <c r="N10" s="102">
        <f t="shared" si="7"/>
        <v>0.37380029622315475</v>
      </c>
      <c r="O10" s="107">
        <f t="shared" si="8"/>
        <v>-7.0534435941742801E-2</v>
      </c>
      <c r="P10" s="108">
        <f t="shared" si="9"/>
        <v>84.125833333333333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0.66692798074549486</v>
      </c>
      <c r="C11" s="236">
        <f t="shared" si="11"/>
        <v>-0.10325222167366088</v>
      </c>
      <c r="D11" s="237">
        <f t="shared" si="12"/>
        <v>86.593758012820516</v>
      </c>
      <c r="E11" s="235">
        <f>AVERAGE(E7:E10)</f>
        <v>0.72010127129103907</v>
      </c>
      <c r="F11" s="236">
        <f t="shared" si="13"/>
        <v>-9.9449456924216362E-2</v>
      </c>
      <c r="G11" s="237">
        <f t="shared" si="14"/>
        <v>87.865368975903607</v>
      </c>
      <c r="H11" s="235">
        <f>AVERAGE(H7:H10)</f>
        <v>0.80351191063934835</v>
      </c>
      <c r="I11" s="236">
        <f t="shared" si="2"/>
        <v>-7.5283448531226815E-2</v>
      </c>
      <c r="J11" s="237">
        <f t="shared" si="3"/>
        <v>91.433335674157306</v>
      </c>
      <c r="K11" s="235">
        <f>AVERAGE(K7:K10)</f>
        <v>0.72283929893853371</v>
      </c>
      <c r="L11" s="236">
        <f t="shared" si="5"/>
        <v>-9.6711429276721717E-2</v>
      </c>
      <c r="M11" s="237">
        <f t="shared" si="6"/>
        <v>88.199457831325319</v>
      </c>
      <c r="N11" s="235">
        <f>AVERAGE(N7:N10)</f>
        <v>0.38260960256726734</v>
      </c>
      <c r="O11" s="236">
        <f t="shared" si="8"/>
        <v>-6.1725129597630213E-2</v>
      </c>
      <c r="P11" s="237">
        <f t="shared" si="9"/>
        <v>86.10841666666667</v>
      </c>
      <c r="Q11" s="109"/>
    </row>
    <row r="12" spans="1:19" s="96" customFormat="1" ht="15.75" x14ac:dyDescent="0.25">
      <c r="A12" s="110" t="s">
        <v>24</v>
      </c>
      <c r="B12" s="102">
        <f>B25*$B$32/100/$B$33</f>
        <v>1.0992805430757835</v>
      </c>
      <c r="C12" s="107">
        <f t="shared" si="11"/>
        <v>0.32910034065662774</v>
      </c>
      <c r="D12" s="108">
        <f t="shared" si="12"/>
        <v>142.73030384615382</v>
      </c>
      <c r="E12" s="102">
        <f>E25*$B$32/100/$B$33</f>
        <v>1.1381381091088618</v>
      </c>
      <c r="F12" s="107">
        <f t="shared" si="13"/>
        <v>0.31858738089360639</v>
      </c>
      <c r="G12" s="108">
        <f t="shared" si="14"/>
        <v>138.87341807228916</v>
      </c>
      <c r="H12" s="102">
        <f>H25*$B$32/100/$B$33</f>
        <v>1.2838539817329055</v>
      </c>
      <c r="I12" s="107">
        <f t="shared" si="2"/>
        <v>0.40505862256233038</v>
      </c>
      <c r="J12" s="108">
        <f t="shared" si="3"/>
        <v>146.09248539325844</v>
      </c>
      <c r="K12" s="102">
        <f>K25*$B$32/100/$B$33</f>
        <v>1.0429370723278204</v>
      </c>
      <c r="L12" s="107">
        <f t="shared" si="5"/>
        <v>0.22338634411256497</v>
      </c>
      <c r="M12" s="108">
        <f t="shared" si="6"/>
        <v>127.25717108433736</v>
      </c>
      <c r="N12" s="102">
        <f>N25*$B$32/100/$B$33</f>
        <v>0.48727387805480127</v>
      </c>
      <c r="O12" s="107">
        <f t="shared" si="8"/>
        <v>4.2939145889903718E-2</v>
      </c>
      <c r="P12" s="108">
        <f t="shared" si="9"/>
        <v>109.66369333333333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1.4453320167859787</v>
      </c>
      <c r="F13" s="107">
        <f t="shared" si="13"/>
        <v>0.62578128857072324</v>
      </c>
      <c r="G13" s="108">
        <f t="shared" si="14"/>
        <v>176.3566265060241</v>
      </c>
      <c r="H13" s="102">
        <f t="shared" ref="H13:H14" si="15">H26*$B$34/$B$33</f>
        <v>1.5072426561342878</v>
      </c>
      <c r="I13" s="107">
        <f t="shared" si="2"/>
        <v>0.6284472969637126</v>
      </c>
      <c r="J13" s="108">
        <f t="shared" si="3"/>
        <v>171.5123595505618</v>
      </c>
      <c r="K13" s="102">
        <f t="shared" ref="K13:K14" si="16">K26*$B$34/$B$33</f>
        <v>1.3327672179708712</v>
      </c>
      <c r="L13" s="107">
        <f t="shared" si="5"/>
        <v>0.51321648975561573</v>
      </c>
      <c r="M13" s="108">
        <f t="shared" si="6"/>
        <v>162.62168674698793</v>
      </c>
      <c r="N13" s="102">
        <f t="shared" ref="N13:N14" si="17">N26*$B$34/$B$33</f>
        <v>0.63599111330535663</v>
      </c>
      <c r="O13" s="107">
        <f t="shared" si="8"/>
        <v>0.19165638114045908</v>
      </c>
      <c r="P13" s="108">
        <f t="shared" si="9"/>
        <v>143.13333333333333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1.3338928659590223</v>
      </c>
      <c r="F14" s="107">
        <f t="shared" si="13"/>
        <v>0.51434213774376691</v>
      </c>
      <c r="G14" s="108">
        <f t="shared" si="14"/>
        <v>162.75903614457832</v>
      </c>
      <c r="H14" s="102">
        <f t="shared" si="15"/>
        <v>1.4115625771414464</v>
      </c>
      <c r="I14" s="107">
        <f t="shared" si="2"/>
        <v>0.53276721797087123</v>
      </c>
      <c r="J14" s="108">
        <f t="shared" si="3"/>
        <v>160.62471910112356</v>
      </c>
      <c r="K14" s="102">
        <f t="shared" si="16"/>
        <v>1.2247050111083684</v>
      </c>
      <c r="L14" s="107">
        <f t="shared" si="5"/>
        <v>0.40515428289311295</v>
      </c>
      <c r="M14" s="108">
        <f t="shared" si="6"/>
        <v>149.43614457831328</v>
      </c>
      <c r="N14" s="102">
        <f t="shared" si="17"/>
        <v>0.50654159466798321</v>
      </c>
      <c r="O14" s="107">
        <f t="shared" si="8"/>
        <v>6.2206862503085658E-2</v>
      </c>
      <c r="P14" s="108">
        <f t="shared" si="9"/>
        <v>113.99999999999999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1.357183312762281</v>
      </c>
      <c r="F15" s="119">
        <f t="shared" si="13"/>
        <v>0.53763258454702556</v>
      </c>
      <c r="G15" s="120">
        <f t="shared" si="14"/>
        <v>165.60089156626506</v>
      </c>
      <c r="H15" s="118">
        <f>H28*$B$35/10/$B$33</f>
        <v>1.4258346087385831</v>
      </c>
      <c r="I15" s="119">
        <f t="shared" si="2"/>
        <v>0.54703924956800798</v>
      </c>
      <c r="J15" s="120">
        <f t="shared" si="3"/>
        <v>162.24876404494384</v>
      </c>
      <c r="K15" s="118">
        <f>K28*$B$35/10/$B$33</f>
        <v>1.343981140459146</v>
      </c>
      <c r="L15" s="119">
        <f t="shared" si="5"/>
        <v>0.52443041224389053</v>
      </c>
      <c r="M15" s="120">
        <f t="shared" si="6"/>
        <v>163.98998795180725</v>
      </c>
      <c r="N15" s="118">
        <f>N28*$B$35/10/$B$33</f>
        <v>0.54128906442853619</v>
      </c>
      <c r="O15" s="119">
        <f t="shared" si="8"/>
        <v>9.6954332263638643E-2</v>
      </c>
      <c r="P15" s="120">
        <f t="shared" si="9"/>
        <v>121.82011111111113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97" t="s">
        <v>214</v>
      </c>
      <c r="X19" s="297" t="s">
        <v>214</v>
      </c>
    </row>
    <row r="20" spans="1:24" s="141" customFormat="1" ht="15.75" x14ac:dyDescent="0.25">
      <c r="A20" s="133" t="s">
        <v>185</v>
      </c>
      <c r="B20" s="134">
        <v>1.56</v>
      </c>
      <c r="C20" s="135" t="s">
        <v>172</v>
      </c>
      <c r="D20" s="136" t="s">
        <v>172</v>
      </c>
      <c r="E20" s="134">
        <v>1.66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1.66</v>
      </c>
      <c r="L20" s="135" t="s">
        <v>172</v>
      </c>
      <c r="M20" s="136" t="s">
        <v>172</v>
      </c>
      <c r="N20" s="143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42.37</v>
      </c>
      <c r="C21" s="144" t="s">
        <v>172</v>
      </c>
      <c r="D21" s="145" t="s">
        <v>172</v>
      </c>
      <c r="E21" s="143">
        <v>46.26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45.59</v>
      </c>
      <c r="L21" s="144" t="s">
        <v>172</v>
      </c>
      <c r="M21" s="145" t="s">
        <v>172</v>
      </c>
      <c r="N21" s="143">
        <v>21.77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41.66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45.34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42.04</v>
      </c>
      <c r="C23" s="144" t="s">
        <v>172</v>
      </c>
      <c r="D23" s="145" t="s">
        <v>172</v>
      </c>
      <c r="E23" s="143">
        <v>45.28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44.89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45.16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46.34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29.29</v>
      </c>
      <c r="F25" s="144" t="s">
        <v>172</v>
      </c>
      <c r="G25" s="145" t="s">
        <v>172</v>
      </c>
      <c r="H25" s="143">
        <v>33.04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12.54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1.1850000000000001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1.0880000000000001</v>
      </c>
      <c r="L27" s="144" t="s">
        <v>172</v>
      </c>
      <c r="M27" s="145" t="s">
        <v>172</v>
      </c>
      <c r="N27" s="153">
        <v>0.45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5.14</v>
      </c>
      <c r="F28" s="158" t="s">
        <v>172</v>
      </c>
      <c r="G28" s="159" t="s">
        <v>172</v>
      </c>
      <c r="H28" s="234">
        <v>5.4</v>
      </c>
      <c r="I28" s="158" t="s">
        <v>172</v>
      </c>
      <c r="J28" s="159" t="s">
        <v>172</v>
      </c>
      <c r="K28" s="234">
        <v>5.09</v>
      </c>
      <c r="L28" s="158" t="s">
        <v>172</v>
      </c>
      <c r="M28" s="159" t="s">
        <v>172</v>
      </c>
      <c r="N28" s="234">
        <v>2.0499999999999998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9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7.8705999999999996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2.0255000000000001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2.2799999999999998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5.3482000000000003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3.2149999999999999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43675</v>
      </c>
      <c r="E2" s="49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0.76684854741188613</v>
      </c>
      <c r="C6" s="103" t="s">
        <v>172</v>
      </c>
      <c r="D6" s="104" t="s">
        <v>172</v>
      </c>
      <c r="E6" s="102">
        <f>E20/$B$33</f>
        <v>0.81600550557931473</v>
      </c>
      <c r="F6" s="103" t="s">
        <v>172</v>
      </c>
      <c r="G6" s="104" t="s">
        <v>172</v>
      </c>
      <c r="H6" s="102">
        <f>H20/$B$33</f>
        <v>0.87499385538022911</v>
      </c>
      <c r="I6" s="103" t="s">
        <v>172</v>
      </c>
      <c r="J6" s="104" t="s">
        <v>172</v>
      </c>
      <c r="K6" s="102">
        <f>K20/$B$33</f>
        <v>0.81600550557931473</v>
      </c>
      <c r="L6" s="103" t="s">
        <v>172</v>
      </c>
      <c r="M6" s="104" t="s">
        <v>172</v>
      </c>
      <c r="N6" s="102">
        <f>N20/$B$33</f>
        <v>0.44241262350685739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0.66614597650297414</v>
      </c>
      <c r="C7" s="107">
        <f>B7-B$6</f>
        <v>-0.10070257090891199</v>
      </c>
      <c r="D7" s="108">
        <f>B7/B$6*100</f>
        <v>86.867997435897465</v>
      </c>
      <c r="E7" s="102">
        <f t="shared" ref="E7:E10" si="0">E21*$B$36/100/$B$33</f>
        <v>0.72883836209015396</v>
      </c>
      <c r="F7" s="107">
        <f>E7-E$6</f>
        <v>-8.716714348916077E-2</v>
      </c>
      <c r="G7" s="108">
        <f>E7/E$6*100</f>
        <v>89.31782409638555</v>
      </c>
      <c r="H7" s="102">
        <f t="shared" ref="H7:H10" si="1">H21*$B$36/100/$B$33</f>
        <v>0.8082277146930148</v>
      </c>
      <c r="I7" s="107">
        <f t="shared" ref="I7:I15" si="2">H7-H$6</f>
        <v>-6.6766140687214315E-2</v>
      </c>
      <c r="J7" s="108">
        <f t="shared" ref="J7:J15" si="3">H7/H$6*100</f>
        <v>92.369530337078643</v>
      </c>
      <c r="K7" s="102">
        <f t="shared" ref="K7:K10" si="4">K21*$B$36/100/$B$33</f>
        <v>0.71733950744727926</v>
      </c>
      <c r="L7" s="107">
        <f t="shared" ref="L7:L15" si="5">K7-K$6</f>
        <v>-9.8665998132035471E-2</v>
      </c>
      <c r="M7" s="108">
        <f t="shared" ref="M7:M15" si="6">K7/K$6*100</f>
        <v>87.908660240963869</v>
      </c>
      <c r="N7" s="102">
        <f t="shared" ref="N7:N10" si="7">N21*$B$36/100/$B$33</f>
        <v>0.34071263825394482</v>
      </c>
      <c r="O7" s="107">
        <f t="shared" ref="O7:O15" si="8">N7-N$6</f>
        <v>-0.10169998525291257</v>
      </c>
      <c r="P7" s="108">
        <f t="shared" ref="P7:P15" si="9">N7/N$6*100</f>
        <v>77.012413333333328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0.65622230742761645</v>
      </c>
      <c r="C8" s="107">
        <f t="shared" ref="C8:C12" si="11">B8-B$6</f>
        <v>-0.11062623998426968</v>
      </c>
      <c r="D8" s="108">
        <f t="shared" ref="D8:D12" si="12">B8/B$6*100</f>
        <v>85.573912820512831</v>
      </c>
      <c r="E8" s="102">
        <f t="shared" si="0"/>
        <v>0.70521057857739777</v>
      </c>
      <c r="F8" s="107">
        <f t="shared" ref="F8:F15" si="13">E8-E$6</f>
        <v>-0.11079492700191695</v>
      </c>
      <c r="G8" s="108">
        <f t="shared" ref="G8:G15" si="14">E8/E$6*100</f>
        <v>86.42228192771087</v>
      </c>
      <c r="H8" s="102">
        <f t="shared" si="1"/>
        <v>0.78901045076930643</v>
      </c>
      <c r="I8" s="107">
        <f t="shared" si="2"/>
        <v>-8.5983404610922687E-2</v>
      </c>
      <c r="J8" s="108">
        <f t="shared" si="3"/>
        <v>90.173256179775279</v>
      </c>
      <c r="K8" s="102">
        <f t="shared" si="4"/>
        <v>0.71418913631224501</v>
      </c>
      <c r="L8" s="107">
        <f t="shared" si="5"/>
        <v>-0.10181636926706972</v>
      </c>
      <c r="M8" s="108">
        <f t="shared" si="6"/>
        <v>87.522587951807225</v>
      </c>
      <c r="N8" s="102">
        <f t="shared" si="7"/>
        <v>0.38277009290665098</v>
      </c>
      <c r="O8" s="107">
        <f t="shared" si="8"/>
        <v>-5.9642530600206412E-2</v>
      </c>
      <c r="P8" s="108">
        <f t="shared" si="9"/>
        <v>86.518800000000013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0.66205049402742966</v>
      </c>
      <c r="C9" s="107">
        <f t="shared" si="11"/>
        <v>-0.10479805338445647</v>
      </c>
      <c r="D9" s="108">
        <f t="shared" si="12"/>
        <v>86.333930769230776</v>
      </c>
      <c r="E9" s="102">
        <f t="shared" si="0"/>
        <v>0.71324402497173478</v>
      </c>
      <c r="F9" s="107">
        <f t="shared" si="13"/>
        <v>-0.10276148060757995</v>
      </c>
      <c r="G9" s="108">
        <f t="shared" si="14"/>
        <v>87.406766265060241</v>
      </c>
      <c r="H9" s="102">
        <f t="shared" si="1"/>
        <v>0.77341611365088747</v>
      </c>
      <c r="I9" s="107">
        <f t="shared" si="2"/>
        <v>-0.10157774172934164</v>
      </c>
      <c r="J9" s="108">
        <f t="shared" si="3"/>
        <v>88.391033707865191</v>
      </c>
      <c r="K9" s="102">
        <f t="shared" si="4"/>
        <v>0.70694328270166651</v>
      </c>
      <c r="L9" s="107">
        <f t="shared" si="5"/>
        <v>-0.10906222287764822</v>
      </c>
      <c r="M9" s="108">
        <f t="shared" si="6"/>
        <v>86.63462168674701</v>
      </c>
      <c r="N9" s="102">
        <f t="shared" si="7"/>
        <v>0.42214973209457801</v>
      </c>
      <c r="O9" s="107">
        <f t="shared" si="8"/>
        <v>-2.0262891412279382E-2</v>
      </c>
      <c r="P9" s="108">
        <f t="shared" si="9"/>
        <v>95.419911111111119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0.65716741876812657</v>
      </c>
      <c r="C10" s="107">
        <f t="shared" si="11"/>
        <v>-0.10968112864375956</v>
      </c>
      <c r="D10" s="108">
        <f t="shared" si="12"/>
        <v>85.69715897435897</v>
      </c>
      <c r="E10" s="102">
        <f t="shared" si="0"/>
        <v>0.71970228579855478</v>
      </c>
      <c r="F10" s="107">
        <f t="shared" si="13"/>
        <v>-9.6303219780759952E-2</v>
      </c>
      <c r="G10" s="108">
        <f t="shared" si="14"/>
        <v>88.198214457831327</v>
      </c>
      <c r="H10" s="102">
        <f t="shared" si="1"/>
        <v>0.8189389765521311</v>
      </c>
      <c r="I10" s="107">
        <f t="shared" si="2"/>
        <v>-5.6054878828098009E-2</v>
      </c>
      <c r="J10" s="108">
        <f t="shared" si="3"/>
        <v>93.593683146067434</v>
      </c>
      <c r="K10" s="102">
        <f t="shared" si="4"/>
        <v>0.72048987858231339</v>
      </c>
      <c r="L10" s="107">
        <f t="shared" si="5"/>
        <v>-9.5515626997001335E-2</v>
      </c>
      <c r="M10" s="108">
        <f t="shared" si="6"/>
        <v>88.294732530120484</v>
      </c>
      <c r="N10" s="102">
        <f t="shared" si="7"/>
        <v>0.37095620115027289</v>
      </c>
      <c r="O10" s="107">
        <f t="shared" si="8"/>
        <v>-7.1456422356584504E-2</v>
      </c>
      <c r="P10" s="108">
        <f t="shared" si="9"/>
        <v>83.848466666666681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0.66039654918153667</v>
      </c>
      <c r="C11" s="236">
        <f t="shared" si="11"/>
        <v>-0.10645199823034945</v>
      </c>
      <c r="D11" s="237">
        <f t="shared" si="12"/>
        <v>86.118250000000003</v>
      </c>
      <c r="E11" s="235">
        <f>AVERAGE(E7:E10)</f>
        <v>0.71674881285946035</v>
      </c>
      <c r="F11" s="236">
        <f t="shared" si="13"/>
        <v>-9.9256692719854378E-2</v>
      </c>
      <c r="G11" s="237">
        <f t="shared" si="14"/>
        <v>87.836271686746997</v>
      </c>
      <c r="H11" s="235">
        <f>AVERAGE(H7:H10)</f>
        <v>0.79739831391633498</v>
      </c>
      <c r="I11" s="236">
        <f t="shared" si="2"/>
        <v>-7.7595541463894135E-2</v>
      </c>
      <c r="J11" s="237">
        <f t="shared" si="3"/>
        <v>91.131875842696644</v>
      </c>
      <c r="K11" s="235">
        <f>AVERAGE(K7:K10)</f>
        <v>0.71474045126087604</v>
      </c>
      <c r="L11" s="236">
        <f t="shared" si="5"/>
        <v>-0.10126505431843869</v>
      </c>
      <c r="M11" s="237">
        <f t="shared" si="6"/>
        <v>87.590150602409651</v>
      </c>
      <c r="N11" s="235">
        <f>AVERAGE(N7:N10)</f>
        <v>0.37914716610136168</v>
      </c>
      <c r="O11" s="236">
        <f t="shared" si="8"/>
        <v>-6.3265457405495718E-2</v>
      </c>
      <c r="P11" s="237">
        <f t="shared" si="9"/>
        <v>85.699897777777792</v>
      </c>
      <c r="Q11" s="109"/>
    </row>
    <row r="12" spans="1:19" s="96" customFormat="1" ht="15.75" x14ac:dyDescent="0.25">
      <c r="A12" s="110" t="s">
        <v>24</v>
      </c>
      <c r="B12" s="102">
        <f>B25*$B$32/100/$B$33</f>
        <v>1.1210171508627045</v>
      </c>
      <c r="C12" s="107">
        <f t="shared" si="11"/>
        <v>0.35416860345081835</v>
      </c>
      <c r="D12" s="108">
        <f t="shared" si="12"/>
        <v>146.18494807692306</v>
      </c>
      <c r="E12" s="102">
        <f>E25*$B$32/100/$B$33</f>
        <v>1.1606430664110503</v>
      </c>
      <c r="F12" s="107">
        <f t="shared" si="13"/>
        <v>0.34463756083173558</v>
      </c>
      <c r="G12" s="108">
        <f t="shared" si="14"/>
        <v>142.23471024096384</v>
      </c>
      <c r="H12" s="102">
        <f>H25*$B$32/100/$B$33</f>
        <v>1.3092402497173474</v>
      </c>
      <c r="I12" s="107">
        <f t="shared" si="2"/>
        <v>0.43424639433711831</v>
      </c>
      <c r="J12" s="108">
        <f t="shared" si="3"/>
        <v>149.62850786516853</v>
      </c>
      <c r="K12" s="102">
        <f>K25*$B$32/100/$B$33</f>
        <v>1.0635595733176031</v>
      </c>
      <c r="L12" s="107">
        <f t="shared" si="5"/>
        <v>0.24755406773828836</v>
      </c>
      <c r="M12" s="108">
        <f t="shared" si="6"/>
        <v>130.33730361445782</v>
      </c>
      <c r="N12" s="102">
        <f>N25*$B$32/100/$B$33</f>
        <v>0.48898379786658802</v>
      </c>
      <c r="O12" s="107">
        <f t="shared" si="8"/>
        <v>4.6571174359730627E-2</v>
      </c>
      <c r="P12" s="108">
        <f t="shared" si="9"/>
        <v>110.52663777777778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1.4275292729685887</v>
      </c>
      <c r="F13" s="107">
        <f t="shared" si="13"/>
        <v>0.61152376738927394</v>
      </c>
      <c r="G13" s="108">
        <f t="shared" si="14"/>
        <v>174.94113253012048</v>
      </c>
      <c r="H13" s="102">
        <f t="shared" ref="H13:H14" si="15">H26*$B$34/$B$33</f>
        <v>1.4886773337265888</v>
      </c>
      <c r="I13" s="107">
        <f t="shared" si="2"/>
        <v>0.61368347834635972</v>
      </c>
      <c r="J13" s="108">
        <f t="shared" si="3"/>
        <v>170.13574719101121</v>
      </c>
      <c r="K13" s="102">
        <f t="shared" ref="K13:K14" si="16">K26*$B$34/$B$33</f>
        <v>1.3163509806813154</v>
      </c>
      <c r="L13" s="107">
        <f t="shared" si="5"/>
        <v>0.50034547510200067</v>
      </c>
      <c r="M13" s="108">
        <f t="shared" si="6"/>
        <v>161.31643373493975</v>
      </c>
      <c r="N13" s="102">
        <f t="shared" ref="N13:N14" si="17">N26*$B$34/$B$33</f>
        <v>0.62815735142309381</v>
      </c>
      <c r="O13" s="107">
        <f t="shared" si="8"/>
        <v>0.18574472791623642</v>
      </c>
      <c r="P13" s="108">
        <f t="shared" si="9"/>
        <v>141.98449999999997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1.317462763604188</v>
      </c>
      <c r="F14" s="107">
        <f t="shared" si="13"/>
        <v>0.50145725802487329</v>
      </c>
      <c r="G14" s="108">
        <f t="shared" si="14"/>
        <v>161.45268072289156</v>
      </c>
      <c r="H14" s="102">
        <f t="shared" si="15"/>
        <v>1.3941757852824066</v>
      </c>
      <c r="I14" s="107">
        <f t="shared" si="2"/>
        <v>0.51918192990217749</v>
      </c>
      <c r="J14" s="108">
        <f t="shared" si="3"/>
        <v>159.33549438202246</v>
      </c>
      <c r="K14" s="102">
        <f t="shared" si="16"/>
        <v>1.2062844713169147</v>
      </c>
      <c r="L14" s="107">
        <f t="shared" si="5"/>
        <v>0.39027896573760001</v>
      </c>
      <c r="M14" s="108">
        <f t="shared" si="6"/>
        <v>147.82798192771082</v>
      </c>
      <c r="N14" s="102">
        <f t="shared" si="17"/>
        <v>0.50030231529272973</v>
      </c>
      <c r="O14" s="107">
        <f t="shared" si="8"/>
        <v>5.7889691785872333E-2</v>
      </c>
      <c r="P14" s="108">
        <f t="shared" si="9"/>
        <v>113.08500000000001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1.3340824362188468</v>
      </c>
      <c r="F15" s="119">
        <f t="shared" si="13"/>
        <v>0.51807693063953209</v>
      </c>
      <c r="G15" s="120">
        <f t="shared" si="14"/>
        <v>163.48939156626508</v>
      </c>
      <c r="H15" s="118">
        <f>H28*$B$35/10/$B$33</f>
        <v>1.4120989529567911</v>
      </c>
      <c r="I15" s="119">
        <f t="shared" si="2"/>
        <v>0.537105097576562</v>
      </c>
      <c r="J15" s="120">
        <f t="shared" si="3"/>
        <v>161.38387078651687</v>
      </c>
      <c r="K15" s="118">
        <f>K28*$B$35/10/$B$33</f>
        <v>1.323680233987121</v>
      </c>
      <c r="L15" s="119">
        <f t="shared" si="5"/>
        <v>0.50767472840780625</v>
      </c>
      <c r="M15" s="120">
        <f t="shared" si="6"/>
        <v>162.21462048192771</v>
      </c>
      <c r="N15" s="118">
        <f>N28*$B$35/10/$B$33</f>
        <v>0.52271066214422646</v>
      </c>
      <c r="O15" s="119">
        <f t="shared" si="8"/>
        <v>8.0298038637369062E-2</v>
      </c>
      <c r="P15" s="120">
        <f t="shared" si="9"/>
        <v>118.15003333333331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2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297" t="s">
        <v>214</v>
      </c>
      <c r="X19" s="297" t="s">
        <v>214</v>
      </c>
    </row>
    <row r="20" spans="1:24" s="141" customFormat="1" ht="15.75" x14ac:dyDescent="0.25">
      <c r="A20" s="133" t="s">
        <v>185</v>
      </c>
      <c r="B20" s="134">
        <v>1.56</v>
      </c>
      <c r="C20" s="135" t="s">
        <v>172</v>
      </c>
      <c r="D20" s="136" t="s">
        <v>172</v>
      </c>
      <c r="E20" s="134">
        <v>1.66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1.66</v>
      </c>
      <c r="L20" s="135" t="s">
        <v>172</v>
      </c>
      <c r="M20" s="136" t="s">
        <v>172</v>
      </c>
      <c r="N20" s="143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42.29</v>
      </c>
      <c r="C21" s="144" t="s">
        <v>172</v>
      </c>
      <c r="D21" s="145" t="s">
        <v>172</v>
      </c>
      <c r="E21" s="143">
        <v>46.27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45.54</v>
      </c>
      <c r="L21" s="144" t="s">
        <v>172</v>
      </c>
      <c r="M21" s="145" t="s">
        <v>172</v>
      </c>
      <c r="N21" s="143">
        <v>21.63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41.66</v>
      </c>
      <c r="C22" s="144" t="s">
        <v>172</v>
      </c>
      <c r="D22" s="145" t="s">
        <v>172</v>
      </c>
      <c r="E22" s="143">
        <v>44.77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45.34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42.03</v>
      </c>
      <c r="C23" s="144" t="s">
        <v>172</v>
      </c>
      <c r="D23" s="145" t="s">
        <v>172</v>
      </c>
      <c r="E23" s="143">
        <v>45.28</v>
      </c>
      <c r="F23" s="144" t="s">
        <v>172</v>
      </c>
      <c r="G23" s="145" t="s">
        <v>172</v>
      </c>
      <c r="H23" s="143">
        <v>49.1</v>
      </c>
      <c r="I23" s="144" t="s">
        <v>172</v>
      </c>
      <c r="J23" s="145" t="s">
        <v>172</v>
      </c>
      <c r="K23" s="143">
        <v>44.88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41.72</v>
      </c>
      <c r="C24" s="144" t="s">
        <v>172</v>
      </c>
      <c r="D24" s="145" t="s">
        <v>172</v>
      </c>
      <c r="E24" s="143">
        <v>45.69</v>
      </c>
      <c r="F24" s="144" t="s">
        <v>172</v>
      </c>
      <c r="G24" s="145" t="s">
        <v>172</v>
      </c>
      <c r="H24" s="143">
        <v>51.99</v>
      </c>
      <c r="I24" s="144" t="s">
        <v>172</v>
      </c>
      <c r="J24" s="145" t="s">
        <v>172</v>
      </c>
      <c r="K24" s="143">
        <v>45.74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29.29</v>
      </c>
      <c r="F25" s="144" t="s">
        <v>172</v>
      </c>
      <c r="G25" s="145" t="s">
        <v>172</v>
      </c>
      <c r="H25" s="143">
        <v>33.04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12.34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1.1850000000000001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0.45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5.13</v>
      </c>
      <c r="F28" s="158" t="s">
        <v>172</v>
      </c>
      <c r="G28" s="159" t="s">
        <v>172</v>
      </c>
      <c r="H28" s="234">
        <v>5.43</v>
      </c>
      <c r="I28" s="158" t="s">
        <v>172</v>
      </c>
      <c r="J28" s="159" t="s">
        <v>172</v>
      </c>
      <c r="K28" s="234">
        <v>5.09</v>
      </c>
      <c r="L28" s="158" t="s">
        <v>172</v>
      </c>
      <c r="M28" s="159" t="s">
        <v>172</v>
      </c>
      <c r="N28" s="234">
        <v>2.0099999999999998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29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208">
        <v>8.0610999999999997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210">
        <v>2.0343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211">
        <v>2.2616999999999998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210">
        <v>5.2903000000000002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210">
        <v>3.2044000000000001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43682</v>
      </c>
      <c r="E2" s="493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0.75901328273244784</v>
      </c>
      <c r="C6" s="103" t="s">
        <v>172</v>
      </c>
      <c r="D6" s="104" t="s">
        <v>172</v>
      </c>
      <c r="E6" s="102">
        <f>E20/$B$33</f>
        <v>0.80766798034350218</v>
      </c>
      <c r="F6" s="103" t="s">
        <v>172</v>
      </c>
      <c r="G6" s="104" t="s">
        <v>172</v>
      </c>
      <c r="H6" s="102">
        <f>H20/$B$33</f>
        <v>0.86605361747676746</v>
      </c>
      <c r="I6" s="103" t="s">
        <v>172</v>
      </c>
      <c r="J6" s="104" t="s">
        <v>172</v>
      </c>
      <c r="K6" s="102">
        <f>K20/$B$33</f>
        <v>0.80766798034350218</v>
      </c>
      <c r="L6" s="103" t="s">
        <v>172</v>
      </c>
      <c r="M6" s="104" t="s">
        <v>172</v>
      </c>
      <c r="N6" s="102">
        <f>N20/$B$33</f>
        <v>0.43789227849948914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0.65376401985111665</v>
      </c>
      <c r="C7" s="107">
        <f>B7-B$6</f>
        <v>-0.10524926288133118</v>
      </c>
      <c r="D7" s="108">
        <f>B7/B$6*100</f>
        <v>86.133409615384622</v>
      </c>
      <c r="E7" s="102">
        <f t="shared" ref="E7:E10" si="0">E21*$B$36/100/$B$33</f>
        <v>0.71631408553495846</v>
      </c>
      <c r="F7" s="107">
        <f>E7-E$6</f>
        <v>-9.1353894808543723E-2</v>
      </c>
      <c r="G7" s="108">
        <f>E7/E$6*100</f>
        <v>88.689177108433739</v>
      </c>
      <c r="H7" s="102">
        <f t="shared" ref="H7:H10" si="1">H21*$B$36/100/$B$33</f>
        <v>0.79245527660195592</v>
      </c>
      <c r="I7" s="107">
        <f t="shared" ref="I7:I15" si="2">H7-H$6</f>
        <v>-7.3598340874811541E-2</v>
      </c>
      <c r="J7" s="108">
        <f t="shared" ref="J7:J15" si="3">H7/H$6*100</f>
        <v>91.501872471910104</v>
      </c>
      <c r="K7" s="102">
        <f t="shared" ref="K7:K10" si="4">K21*$B$36/100/$B$33</f>
        <v>0.70828296599036644</v>
      </c>
      <c r="L7" s="107">
        <f t="shared" ref="L7:L15" si="5">K7-K$6</f>
        <v>-9.9385014353135737E-2</v>
      </c>
      <c r="M7" s="108">
        <f t="shared" ref="M7:M15" si="6">K7/K$6*100</f>
        <v>87.694818072289166</v>
      </c>
      <c r="N7" s="102">
        <f t="shared" ref="N7:N10" si="7">N21*$B$36/100/$B$33</f>
        <v>0.33159257042767482</v>
      </c>
      <c r="O7" s="107">
        <f t="shared" ref="O7:O15" si="8">N7-N$6</f>
        <v>-0.10629970807181433</v>
      </c>
      <c r="P7" s="108">
        <f t="shared" ref="P7:P15" si="9">N7/N$6*100</f>
        <v>75.72469000000001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0.64665956794628521</v>
      </c>
      <c r="C8" s="107">
        <f t="shared" ref="C8:C12" si="11">B8-B$6</f>
        <v>-0.11235371478616263</v>
      </c>
      <c r="D8" s="108">
        <f t="shared" ref="D8:D12" si="12">B8/B$6*100</f>
        <v>85.197398076923065</v>
      </c>
      <c r="E8" s="102">
        <f t="shared" si="0"/>
        <v>0.69469184060721068</v>
      </c>
      <c r="F8" s="107">
        <f t="shared" ref="F8:F15" si="13">E8-E$6</f>
        <v>-0.1129761397362915</v>
      </c>
      <c r="G8" s="108">
        <f t="shared" ref="G8:G15" si="14">E8/E$6*100</f>
        <v>86.012056626506023</v>
      </c>
      <c r="H8" s="102">
        <f t="shared" si="1"/>
        <v>0.77361303459349018</v>
      </c>
      <c r="I8" s="107">
        <f t="shared" si="2"/>
        <v>-9.2440582883277278E-2</v>
      </c>
      <c r="J8" s="108">
        <f t="shared" si="3"/>
        <v>89.326228651685398</v>
      </c>
      <c r="K8" s="102">
        <f t="shared" si="4"/>
        <v>0.70256851554517596</v>
      </c>
      <c r="L8" s="107">
        <f t="shared" si="5"/>
        <v>-0.10509946479832621</v>
      </c>
      <c r="M8" s="108">
        <f t="shared" si="6"/>
        <v>86.987293373493983</v>
      </c>
      <c r="N8" s="102">
        <f t="shared" si="7"/>
        <v>0.37530039410305072</v>
      </c>
      <c r="O8" s="107">
        <f t="shared" si="8"/>
        <v>-6.2591884396438424E-2</v>
      </c>
      <c r="P8" s="108">
        <f t="shared" si="9"/>
        <v>85.706100000000006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0.65283735221135619</v>
      </c>
      <c r="C9" s="107">
        <f t="shared" si="11"/>
        <v>-0.10617593052109164</v>
      </c>
      <c r="D9" s="108">
        <f t="shared" si="12"/>
        <v>86.011321153846183</v>
      </c>
      <c r="E9" s="102">
        <f t="shared" si="0"/>
        <v>0.70303184936505636</v>
      </c>
      <c r="F9" s="107">
        <f t="shared" si="13"/>
        <v>-0.10463613097844582</v>
      </c>
      <c r="G9" s="108">
        <f t="shared" si="14"/>
        <v>87.044660240963879</v>
      </c>
      <c r="H9" s="102">
        <f t="shared" si="1"/>
        <v>0.76264746752298951</v>
      </c>
      <c r="I9" s="107">
        <f t="shared" si="2"/>
        <v>-0.10340614995377795</v>
      </c>
      <c r="J9" s="108">
        <f t="shared" si="3"/>
        <v>88.060075280898886</v>
      </c>
      <c r="K9" s="102">
        <f t="shared" si="4"/>
        <v>0.69422850678733039</v>
      </c>
      <c r="L9" s="107">
        <f t="shared" si="5"/>
        <v>-0.11343947355617179</v>
      </c>
      <c r="M9" s="108">
        <f t="shared" si="6"/>
        <v>85.954689759036157</v>
      </c>
      <c r="N9" s="102">
        <f t="shared" si="7"/>
        <v>0.41391154575974315</v>
      </c>
      <c r="O9" s="107">
        <f t="shared" si="8"/>
        <v>-2.3980732739745991E-2</v>
      </c>
      <c r="P9" s="108">
        <f t="shared" si="9"/>
        <v>94.523600000000002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0.65021179389870098</v>
      </c>
      <c r="C10" s="107">
        <f t="shared" si="11"/>
        <v>-0.10880148883374685</v>
      </c>
      <c r="D10" s="108">
        <f t="shared" si="12"/>
        <v>85.665403846153851</v>
      </c>
      <c r="E10" s="102">
        <f t="shared" si="0"/>
        <v>0.69839851116625307</v>
      </c>
      <c r="F10" s="107">
        <f t="shared" si="13"/>
        <v>-0.10926946917724911</v>
      </c>
      <c r="G10" s="108">
        <f t="shared" si="14"/>
        <v>86.470991566265056</v>
      </c>
      <c r="H10" s="102">
        <f t="shared" si="1"/>
        <v>0.81067974018391487</v>
      </c>
      <c r="I10" s="107">
        <f t="shared" si="2"/>
        <v>-5.5373877292852591E-2</v>
      </c>
      <c r="J10" s="108">
        <f t="shared" si="3"/>
        <v>93.606183707865171</v>
      </c>
      <c r="K10" s="102">
        <f t="shared" si="4"/>
        <v>0.71677741935483874</v>
      </c>
      <c r="L10" s="107">
        <f t="shared" si="5"/>
        <v>-9.0890560988663438E-2</v>
      </c>
      <c r="M10" s="108">
        <f t="shared" si="6"/>
        <v>88.74654397590362</v>
      </c>
      <c r="N10" s="102">
        <f t="shared" si="7"/>
        <v>0.34935370018975337</v>
      </c>
      <c r="O10" s="107">
        <f t="shared" si="8"/>
        <v>-8.8538578309735771E-2</v>
      </c>
      <c r="P10" s="108">
        <f t="shared" si="9"/>
        <v>79.780740000000009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0.6508681834768647</v>
      </c>
      <c r="C11" s="236">
        <f t="shared" si="11"/>
        <v>-0.10814509925558313</v>
      </c>
      <c r="D11" s="237">
        <f t="shared" si="12"/>
        <v>85.751883173076919</v>
      </c>
      <c r="E11" s="235">
        <f>AVERAGE(E7:E10)</f>
        <v>0.70310907166836956</v>
      </c>
      <c r="F11" s="236">
        <f t="shared" si="13"/>
        <v>-0.10455890867513262</v>
      </c>
      <c r="G11" s="237">
        <f t="shared" si="14"/>
        <v>87.054221385542164</v>
      </c>
      <c r="H11" s="235">
        <f>AVERAGE(H7:H10)</f>
        <v>0.78484887972558759</v>
      </c>
      <c r="I11" s="236">
        <f t="shared" si="2"/>
        <v>-8.1204737751179867E-2</v>
      </c>
      <c r="J11" s="237">
        <f t="shared" si="3"/>
        <v>90.623590028089879</v>
      </c>
      <c r="K11" s="235">
        <f>AVERAGE(K7:K10)</f>
        <v>0.70546435191942791</v>
      </c>
      <c r="L11" s="236">
        <f t="shared" si="5"/>
        <v>-0.10220362842407427</v>
      </c>
      <c r="M11" s="237">
        <f t="shared" si="6"/>
        <v>87.345836295180732</v>
      </c>
      <c r="N11" s="235">
        <f>AVERAGE(N7:N10)</f>
        <v>0.3675395526200555</v>
      </c>
      <c r="O11" s="236">
        <f t="shared" si="8"/>
        <v>-7.0352725879433642E-2</v>
      </c>
      <c r="P11" s="237">
        <f t="shared" si="9"/>
        <v>83.933782500000007</v>
      </c>
      <c r="Q11" s="109"/>
    </row>
    <row r="12" spans="1:19" s="96" customFormat="1" ht="15.75" x14ac:dyDescent="0.25">
      <c r="A12" s="110" t="s">
        <v>24</v>
      </c>
      <c r="B12" s="102">
        <f>B25*$B$32/100/$B$33</f>
        <v>1.1060670121150198</v>
      </c>
      <c r="C12" s="107">
        <f t="shared" si="11"/>
        <v>0.34705372938257195</v>
      </c>
      <c r="D12" s="108">
        <f t="shared" si="12"/>
        <v>145.72432884615384</v>
      </c>
      <c r="E12" s="102">
        <f>E25*$B$32/100/$B$33</f>
        <v>1.1451644674743349</v>
      </c>
      <c r="F12" s="107">
        <f t="shared" si="13"/>
        <v>0.33749648713083269</v>
      </c>
      <c r="G12" s="108">
        <f t="shared" si="14"/>
        <v>141.78653795180725</v>
      </c>
      <c r="H12" s="102">
        <f>H25*$B$32/100/$B$33</f>
        <v>1.2917799250717659</v>
      </c>
      <c r="I12" s="107">
        <f t="shared" si="2"/>
        <v>0.42572630759499841</v>
      </c>
      <c r="J12" s="108">
        <f t="shared" si="3"/>
        <v>149.15703820224721</v>
      </c>
      <c r="K12" s="102">
        <f>K25*$B$32/100/$B$33</f>
        <v>1.0493757018440131</v>
      </c>
      <c r="L12" s="107">
        <f t="shared" si="5"/>
        <v>0.2417077215005109</v>
      </c>
      <c r="M12" s="108">
        <f t="shared" si="6"/>
        <v>129.92661927710844</v>
      </c>
      <c r="N12" s="102">
        <f>N25*$B$32/100/$B$33</f>
        <v>0.47855285359801497</v>
      </c>
      <c r="O12" s="107">
        <f t="shared" si="8"/>
        <v>4.0660575098525831E-2</v>
      </c>
      <c r="P12" s="108">
        <f t="shared" si="9"/>
        <v>109.28552000000002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1.4241261129762077</v>
      </c>
      <c r="F13" s="107">
        <f t="shared" si="13"/>
        <v>0.61645813263270555</v>
      </c>
      <c r="G13" s="108">
        <f t="shared" si="14"/>
        <v>176.32568674698794</v>
      </c>
      <c r="H13" s="102">
        <f t="shared" ref="H13:H14" si="15">H26*$B$34/$B$33</f>
        <v>1.4851283997469955</v>
      </c>
      <c r="I13" s="107">
        <f t="shared" si="2"/>
        <v>0.61907478227022805</v>
      </c>
      <c r="J13" s="108">
        <f t="shared" si="3"/>
        <v>171.48226966292134</v>
      </c>
      <c r="K13" s="102">
        <f t="shared" ref="K13:K14" si="16">K26*$B$34/$B$33</f>
        <v>1.3132128643020484</v>
      </c>
      <c r="L13" s="107">
        <f t="shared" si="5"/>
        <v>0.50554488395854624</v>
      </c>
      <c r="M13" s="108">
        <f t="shared" si="6"/>
        <v>162.59315662650602</v>
      </c>
      <c r="N13" s="102">
        <f t="shared" ref="N13:N14" si="17">N26*$B$34/$B$33</f>
        <v>0.62665985500900101</v>
      </c>
      <c r="O13" s="107">
        <f t="shared" si="8"/>
        <v>0.18876757650951187</v>
      </c>
      <c r="P13" s="108">
        <f t="shared" si="9"/>
        <v>143.1082222222222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1.3021215394346324</v>
      </c>
      <c r="F14" s="107">
        <f t="shared" si="13"/>
        <v>0.4944535590911302</v>
      </c>
      <c r="G14" s="108">
        <f t="shared" si="14"/>
        <v>161.21990361445782</v>
      </c>
      <c r="H14" s="102">
        <f t="shared" si="15"/>
        <v>1.3908521383739598</v>
      </c>
      <c r="I14" s="107">
        <f t="shared" si="2"/>
        <v>0.52479852089719237</v>
      </c>
      <c r="J14" s="108">
        <f t="shared" si="3"/>
        <v>160.59653932584266</v>
      </c>
      <c r="K14" s="102">
        <f t="shared" si="16"/>
        <v>1.1956448207074395</v>
      </c>
      <c r="L14" s="107">
        <f t="shared" si="5"/>
        <v>0.38797684036393731</v>
      </c>
      <c r="M14" s="108">
        <f t="shared" si="6"/>
        <v>148.0366746987952</v>
      </c>
      <c r="N14" s="102">
        <f t="shared" si="17"/>
        <v>0.48801829416630171</v>
      </c>
      <c r="O14" s="107">
        <f t="shared" si="8"/>
        <v>5.0126015666812573E-2</v>
      </c>
      <c r="P14" s="108">
        <f t="shared" si="9"/>
        <v>111.4471111111111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1.3283557144942346</v>
      </c>
      <c r="F15" s="119">
        <f t="shared" si="13"/>
        <v>0.52068773415073244</v>
      </c>
      <c r="G15" s="120">
        <f t="shared" si="14"/>
        <v>164.46804216867471</v>
      </c>
      <c r="H15" s="118">
        <f>H28*$B$35/10/$B$33</f>
        <v>1.4057356590278793</v>
      </c>
      <c r="I15" s="119">
        <f t="shared" si="2"/>
        <v>0.53968204155111188</v>
      </c>
      <c r="J15" s="120">
        <f t="shared" si="3"/>
        <v>162.31508426966292</v>
      </c>
      <c r="K15" s="118">
        <f>K28*$B$35/10/$B$33</f>
        <v>1.3154590570719602</v>
      </c>
      <c r="L15" s="119">
        <f t="shared" si="5"/>
        <v>0.50779107672845802</v>
      </c>
      <c r="M15" s="120">
        <f t="shared" si="6"/>
        <v>162.87126506024094</v>
      </c>
      <c r="N15" s="118">
        <f>N28*$B$35/10/$B$33</f>
        <v>0.51328696540651009</v>
      </c>
      <c r="O15" s="119">
        <f t="shared" si="8"/>
        <v>7.5394686907020947E-2</v>
      </c>
      <c r="P15" s="120">
        <f t="shared" si="9"/>
        <v>117.21763333333335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0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01" t="s">
        <v>214</v>
      </c>
      <c r="X19" s="301" t="s">
        <v>214</v>
      </c>
    </row>
    <row r="20" spans="1:24" s="141" customFormat="1" ht="15.75" x14ac:dyDescent="0.25">
      <c r="A20" s="133" t="s">
        <v>185</v>
      </c>
      <c r="B20" s="134">
        <v>1.56</v>
      </c>
      <c r="C20" s="135" t="s">
        <v>172</v>
      </c>
      <c r="D20" s="136" t="s">
        <v>172</v>
      </c>
      <c r="E20" s="134">
        <v>1.66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1.66</v>
      </c>
      <c r="L20" s="135" t="s">
        <v>172</v>
      </c>
      <c r="M20" s="136" t="s">
        <v>172</v>
      </c>
      <c r="N20" s="143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42.33</v>
      </c>
      <c r="C21" s="144" t="s">
        <v>172</v>
      </c>
      <c r="D21" s="145" t="s">
        <v>172</v>
      </c>
      <c r="E21" s="143">
        <v>46.38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45.86</v>
      </c>
      <c r="L21" s="144" t="s">
        <v>172</v>
      </c>
      <c r="M21" s="145" t="s">
        <v>172</v>
      </c>
      <c r="N21" s="143">
        <v>21.47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41.87</v>
      </c>
      <c r="C22" s="144" t="s">
        <v>172</v>
      </c>
      <c r="D22" s="145" t="s">
        <v>172</v>
      </c>
      <c r="E22" s="143">
        <v>44.98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45.49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42.27</v>
      </c>
      <c r="C23" s="144" t="s">
        <v>172</v>
      </c>
      <c r="D23" s="145" t="s">
        <v>172</v>
      </c>
      <c r="E23" s="143">
        <v>45.52</v>
      </c>
      <c r="F23" s="144" t="s">
        <v>172</v>
      </c>
      <c r="G23" s="145" t="s">
        <v>172</v>
      </c>
      <c r="H23" s="143">
        <v>49.38</v>
      </c>
      <c r="I23" s="144" t="s">
        <v>172</v>
      </c>
      <c r="J23" s="145" t="s">
        <v>172</v>
      </c>
      <c r="K23" s="143">
        <v>44.95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</v>
      </c>
      <c r="C24" s="144" t="s">
        <v>172</v>
      </c>
      <c r="D24" s="145" t="s">
        <v>172</v>
      </c>
      <c r="E24" s="143">
        <v>45.22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46.41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28.29</v>
      </c>
      <c r="C25" s="144" t="s">
        <v>172</v>
      </c>
      <c r="D25" s="145" t="s">
        <v>172</v>
      </c>
      <c r="E25" s="143">
        <v>29.29</v>
      </c>
      <c r="F25" s="144" t="s">
        <v>172</v>
      </c>
      <c r="G25" s="145" t="s">
        <v>172</v>
      </c>
      <c r="H25" s="143">
        <v>33.04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12.24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1.1739999999999999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1.0780000000000001</v>
      </c>
      <c r="L27" s="144" t="s">
        <v>172</v>
      </c>
      <c r="M27" s="145" t="s">
        <v>172</v>
      </c>
      <c r="N27" s="153">
        <v>0.44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5.15</v>
      </c>
      <c r="F28" s="158" t="s">
        <v>172</v>
      </c>
      <c r="G28" s="159" t="s">
        <v>172</v>
      </c>
      <c r="H28" s="234">
        <v>5.45</v>
      </c>
      <c r="I28" s="158" t="s">
        <v>172</v>
      </c>
      <c r="J28" s="159" t="s">
        <v>172</v>
      </c>
      <c r="K28" s="234">
        <v>5.0999999999999996</v>
      </c>
      <c r="L28" s="158" t="s">
        <v>172</v>
      </c>
      <c r="M28" s="159" t="s">
        <v>172</v>
      </c>
      <c r="N28" s="234">
        <v>1.99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0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8.0357000000000003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2.0552999999999999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2.2795999999999998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5.3013000000000003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06">
        <v>3.1743000000000001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43689</v>
      </c>
      <c r="E2" s="493"/>
      <c r="F2" s="299"/>
      <c r="G2" s="299"/>
      <c r="H2" s="299"/>
      <c r="I2" s="299"/>
      <c r="J2" s="299"/>
      <c r="K2" s="299"/>
      <c r="L2" s="299"/>
      <c r="M2" s="299"/>
      <c r="N2" s="299"/>
      <c r="O2" s="299"/>
      <c r="P2" s="299"/>
      <c r="Q2" s="299"/>
      <c r="R2" s="29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0.75865106945328187</v>
      </c>
      <c r="C6" s="103" t="s">
        <v>172</v>
      </c>
      <c r="D6" s="104" t="s">
        <v>172</v>
      </c>
      <c r="E6" s="102">
        <f>E20/$B$33</f>
        <v>0.80759629974059022</v>
      </c>
      <c r="F6" s="103" t="s">
        <v>172</v>
      </c>
      <c r="G6" s="104" t="s">
        <v>172</v>
      </c>
      <c r="H6" s="102">
        <f>H20/$B$33</f>
        <v>0.87122509911409141</v>
      </c>
      <c r="I6" s="103" t="s">
        <v>172</v>
      </c>
      <c r="J6" s="104" t="s">
        <v>172</v>
      </c>
      <c r="K6" s="102">
        <f>K20/$B$33</f>
        <v>0.80759629974059022</v>
      </c>
      <c r="L6" s="103" t="s">
        <v>172</v>
      </c>
      <c r="M6" s="104" t="s">
        <v>172</v>
      </c>
      <c r="N6" s="102">
        <f>N20/$B$33</f>
        <v>0.4356125495570457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0.64186209191914245</v>
      </c>
      <c r="C7" s="107">
        <f>B7-B$6</f>
        <v>-0.11678897753413942</v>
      </c>
      <c r="D7" s="108">
        <f>B7/B$6*100</f>
        <v>84.60570580645161</v>
      </c>
      <c r="E7" s="102">
        <f t="shared" ref="E7:E10" si="0">E21*$B$36/100/$B$33</f>
        <v>0.70163434976261563</v>
      </c>
      <c r="F7" s="107">
        <f>E7-E$6</f>
        <v>-0.10596194997797459</v>
      </c>
      <c r="G7" s="108">
        <f>E7/E$6*100</f>
        <v>86.879341818181814</v>
      </c>
      <c r="H7" s="102">
        <f t="shared" ref="H7:H10" si="1">H21*$B$36/100/$B$33</f>
        <v>0.78638834614066855</v>
      </c>
      <c r="I7" s="107">
        <f t="shared" ref="I7:I15" si="2">H7-H$6</f>
        <v>-8.4836752973422858E-2</v>
      </c>
      <c r="J7" s="108">
        <f t="shared" ref="J7:J15" si="3">H7/H$6*100</f>
        <v>90.262361235955041</v>
      </c>
      <c r="K7" s="102">
        <f t="shared" ref="K7:K10" si="4">K21*$B$36/100/$B$33</f>
        <v>0.69044620919191413</v>
      </c>
      <c r="L7" s="107">
        <f t="shared" ref="L7:L15" si="5">K7-K$6</f>
        <v>-0.11715009054867609</v>
      </c>
      <c r="M7" s="108">
        <f t="shared" ref="M7:M15" si="6">K7/K$6*100</f>
        <v>85.493978787878774</v>
      </c>
      <c r="N7" s="102">
        <f t="shared" ref="N7:N10" si="7">N21*$B$36/100/$B$33</f>
        <v>0.32905394253829967</v>
      </c>
      <c r="O7" s="107">
        <f t="shared" ref="O7:O15" si="8">N7-N$6</f>
        <v>-0.10655860701874603</v>
      </c>
      <c r="P7" s="108">
        <f t="shared" ref="P7:P15" si="9">N7/N$6*100</f>
        <v>75.538214606741576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0.6406359943223533</v>
      </c>
      <c r="C8" s="107">
        <f t="shared" ref="C8:C12" si="11">B8-B$6</f>
        <v>-0.11801507513092857</v>
      </c>
      <c r="D8" s="108">
        <f t="shared" ref="D8:D12" si="12">B8/B$6*100</f>
        <v>84.444090322580635</v>
      </c>
      <c r="E8" s="102">
        <f t="shared" si="0"/>
        <v>0.68830053839753313</v>
      </c>
      <c r="F8" s="107">
        <f t="shared" ref="F8:F15" si="13">E8-E$6</f>
        <v>-0.11929576134305708</v>
      </c>
      <c r="G8" s="108">
        <f t="shared" ref="G8:G15" si="14">E8/E$6*100</f>
        <v>85.228292727272731</v>
      </c>
      <c r="H8" s="102">
        <f t="shared" si="1"/>
        <v>0.76769035778963346</v>
      </c>
      <c r="I8" s="107">
        <f t="shared" si="2"/>
        <v>-0.10353474132445795</v>
      </c>
      <c r="J8" s="108">
        <f t="shared" si="3"/>
        <v>88.116189325842697</v>
      </c>
      <c r="K8" s="102">
        <f t="shared" si="4"/>
        <v>0.69734300817385353</v>
      </c>
      <c r="L8" s="107">
        <f t="shared" si="5"/>
        <v>-0.11025329156673669</v>
      </c>
      <c r="M8" s="108">
        <f t="shared" si="6"/>
        <v>86.347969696969713</v>
      </c>
      <c r="N8" s="102">
        <f t="shared" si="7"/>
        <v>0.37242714502471735</v>
      </c>
      <c r="O8" s="107">
        <f t="shared" si="8"/>
        <v>-6.3185404532328349E-2</v>
      </c>
      <c r="P8" s="108">
        <f t="shared" si="9"/>
        <v>85.495044943820218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0.64722626890509516</v>
      </c>
      <c r="C9" s="107">
        <f t="shared" si="11"/>
        <v>-0.11142480054818671</v>
      </c>
      <c r="D9" s="108">
        <f t="shared" si="12"/>
        <v>85.312773548387071</v>
      </c>
      <c r="E9" s="102">
        <f t="shared" si="0"/>
        <v>0.6967299593754589</v>
      </c>
      <c r="F9" s="107">
        <f t="shared" si="13"/>
        <v>-0.11086634036513132</v>
      </c>
      <c r="G9" s="108">
        <f t="shared" si="14"/>
        <v>86.272059393939401</v>
      </c>
      <c r="H9" s="102">
        <f t="shared" si="1"/>
        <v>0.75680874161812928</v>
      </c>
      <c r="I9" s="107">
        <f t="shared" si="2"/>
        <v>-0.11441635749596213</v>
      </c>
      <c r="J9" s="108">
        <f t="shared" si="3"/>
        <v>86.86718764044943</v>
      </c>
      <c r="K9" s="102">
        <f t="shared" si="4"/>
        <v>0.69151904458910485</v>
      </c>
      <c r="L9" s="107">
        <f t="shared" si="5"/>
        <v>-0.11607725515148537</v>
      </c>
      <c r="M9" s="108">
        <f t="shared" si="6"/>
        <v>85.626821818181824</v>
      </c>
      <c r="N9" s="102">
        <f t="shared" si="7"/>
        <v>0.41074269492437965</v>
      </c>
      <c r="O9" s="107">
        <f t="shared" si="8"/>
        <v>-2.4869854632666055E-2</v>
      </c>
      <c r="P9" s="108">
        <f t="shared" si="9"/>
        <v>94.290831460674156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0.64584690910870735</v>
      </c>
      <c r="C10" s="107">
        <f t="shared" si="11"/>
        <v>-0.11280416034457452</v>
      </c>
      <c r="D10" s="108">
        <f t="shared" si="12"/>
        <v>85.130956129032242</v>
      </c>
      <c r="E10" s="102">
        <f t="shared" si="0"/>
        <v>0.69381797758308461</v>
      </c>
      <c r="F10" s="107">
        <f t="shared" si="13"/>
        <v>-0.11377832215750561</v>
      </c>
      <c r="G10" s="108">
        <f t="shared" si="14"/>
        <v>85.91148545454547</v>
      </c>
      <c r="H10" s="102">
        <f t="shared" si="1"/>
        <v>0.80447328569330934</v>
      </c>
      <c r="I10" s="107">
        <f t="shared" si="2"/>
        <v>-6.6751813420782069E-2</v>
      </c>
      <c r="J10" s="108">
        <f t="shared" si="3"/>
        <v>92.338166853932591</v>
      </c>
      <c r="K10" s="102">
        <f t="shared" si="4"/>
        <v>0.71174965493612641</v>
      </c>
      <c r="L10" s="107">
        <f t="shared" si="5"/>
        <v>-9.584664480446381E-2</v>
      </c>
      <c r="M10" s="108">
        <f t="shared" si="6"/>
        <v>88.131861818181818</v>
      </c>
      <c r="N10" s="102">
        <f t="shared" si="7"/>
        <v>0.34621930889334834</v>
      </c>
      <c r="O10" s="107">
        <f t="shared" si="8"/>
        <v>-8.939324066369736E-2</v>
      </c>
      <c r="P10" s="108">
        <f t="shared" si="9"/>
        <v>79.478726966292129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0.64389281606382454</v>
      </c>
      <c r="C11" s="236">
        <f t="shared" si="11"/>
        <v>-0.11475825338945733</v>
      </c>
      <c r="D11" s="237">
        <f t="shared" si="12"/>
        <v>84.873381451612886</v>
      </c>
      <c r="E11" s="235">
        <f>AVERAGE(E7:E10)</f>
        <v>0.69512070627967315</v>
      </c>
      <c r="F11" s="236">
        <f t="shared" si="13"/>
        <v>-0.11247559346091707</v>
      </c>
      <c r="G11" s="237">
        <f t="shared" si="14"/>
        <v>86.072794848484875</v>
      </c>
      <c r="H11" s="235">
        <f>AVERAGE(H7:H10)</f>
        <v>0.7788401828104351</v>
      </c>
      <c r="I11" s="236">
        <f t="shared" si="2"/>
        <v>-9.2384916303656306E-2</v>
      </c>
      <c r="J11" s="237">
        <f t="shared" si="3"/>
        <v>89.395976264044933</v>
      </c>
      <c r="K11" s="235">
        <f>AVERAGE(K7:K10)</f>
        <v>0.69776447922274976</v>
      </c>
      <c r="L11" s="236">
        <f t="shared" si="5"/>
        <v>-0.10983182051784046</v>
      </c>
      <c r="M11" s="237">
        <f t="shared" si="6"/>
        <v>86.400158030303047</v>
      </c>
      <c r="N11" s="235">
        <f>AVERAGE(N7:N10)</f>
        <v>0.36461077284518628</v>
      </c>
      <c r="O11" s="236">
        <f t="shared" si="8"/>
        <v>-7.1001776711859421E-2</v>
      </c>
      <c r="P11" s="237">
        <f t="shared" si="9"/>
        <v>83.700704494382023</v>
      </c>
      <c r="Q11" s="109"/>
    </row>
    <row r="12" spans="1:19" s="96" customFormat="1" ht="15.75" x14ac:dyDescent="0.25">
      <c r="A12" s="110" t="s">
        <v>24</v>
      </c>
      <c r="B12" s="102">
        <f>B25*$B$32/100/$B$33</f>
        <v>1.127274788311879</v>
      </c>
      <c r="C12" s="107">
        <f t="shared" si="11"/>
        <v>0.36862371885859713</v>
      </c>
      <c r="D12" s="108">
        <f t="shared" si="12"/>
        <v>148.58936258064514</v>
      </c>
      <c r="E12" s="102">
        <f>E25*$B$32/100/$B$33</f>
        <v>1.1690404385492632</v>
      </c>
      <c r="F12" s="107">
        <f t="shared" si="13"/>
        <v>0.36144413880867299</v>
      </c>
      <c r="G12" s="108">
        <f t="shared" si="14"/>
        <v>144.75554666666665</v>
      </c>
      <c r="H12" s="102">
        <f>H25*$B$32/100/$B$33</f>
        <v>1.3142257941363613</v>
      </c>
      <c r="I12" s="107">
        <f t="shared" si="2"/>
        <v>0.44300069502226991</v>
      </c>
      <c r="J12" s="108">
        <f t="shared" si="3"/>
        <v>150.84801797752806</v>
      </c>
      <c r="K12" s="102">
        <f>K25*$B$32/100/$B$33</f>
        <v>1.0676095736870441</v>
      </c>
      <c r="L12" s="107">
        <f t="shared" si="5"/>
        <v>0.2600132739464539</v>
      </c>
      <c r="M12" s="108">
        <f t="shared" si="6"/>
        <v>132.19594666666669</v>
      </c>
      <c r="N12" s="102">
        <f>N25*$B$32/100/$B$33</f>
        <v>0.43635160295629188</v>
      </c>
      <c r="O12" s="107">
        <f t="shared" si="8"/>
        <v>7.3905339924618119E-4</v>
      </c>
      <c r="P12" s="108">
        <f t="shared" si="9"/>
        <v>100.16965842696628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1.4482210366599775</v>
      </c>
      <c r="F13" s="107">
        <f t="shared" si="13"/>
        <v>0.64062473691938726</v>
      </c>
      <c r="G13" s="108">
        <f t="shared" si="14"/>
        <v>179.32487272727272</v>
      </c>
      <c r="H13" s="102">
        <f t="shared" ref="H13:H14" si="15">H26*$B$34/$B$33</f>
        <v>1.5097760266262052</v>
      </c>
      <c r="I13" s="107">
        <f t="shared" si="2"/>
        <v>0.63855092751211384</v>
      </c>
      <c r="J13" s="108">
        <f t="shared" si="3"/>
        <v>173.29344943820223</v>
      </c>
      <c r="K13" s="102">
        <f t="shared" ref="K13:K14" si="16">K26*$B$34/$B$33</f>
        <v>1.3363028730850177</v>
      </c>
      <c r="L13" s="107">
        <f t="shared" si="5"/>
        <v>0.5287065733444275</v>
      </c>
      <c r="M13" s="108">
        <f t="shared" si="6"/>
        <v>165.46669090909089</v>
      </c>
      <c r="N13" s="102">
        <f t="shared" ref="N13:N14" si="17">N26*$B$34/$B$33</f>
        <v>0.6323376241985218</v>
      </c>
      <c r="O13" s="107">
        <f t="shared" si="8"/>
        <v>0.19672507464147609</v>
      </c>
      <c r="P13" s="108">
        <f t="shared" si="9"/>
        <v>145.16056179775279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1.3374220547207674</v>
      </c>
      <c r="F14" s="107">
        <f t="shared" si="13"/>
        <v>0.52982575498017714</v>
      </c>
      <c r="G14" s="108">
        <f t="shared" si="14"/>
        <v>165.60527272727273</v>
      </c>
      <c r="H14" s="102">
        <f t="shared" si="15"/>
        <v>1.4146455875874897</v>
      </c>
      <c r="I14" s="107">
        <f t="shared" si="2"/>
        <v>0.5434204884733983</v>
      </c>
      <c r="J14" s="108">
        <f t="shared" si="3"/>
        <v>162.37429213483145</v>
      </c>
      <c r="K14" s="102">
        <f t="shared" si="16"/>
        <v>1.2255038911458078</v>
      </c>
      <c r="L14" s="107">
        <f t="shared" si="5"/>
        <v>0.4179075914052176</v>
      </c>
      <c r="M14" s="108">
        <f t="shared" si="6"/>
        <v>151.7470909090909</v>
      </c>
      <c r="N14" s="102">
        <f t="shared" si="17"/>
        <v>0.49132073809407273</v>
      </c>
      <c r="O14" s="107">
        <f t="shared" si="8"/>
        <v>5.5708188537027026E-2</v>
      </c>
      <c r="P14" s="108">
        <f t="shared" si="9"/>
        <v>112.78847191011235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1.3300939258969213</v>
      </c>
      <c r="F15" s="119">
        <f t="shared" si="13"/>
        <v>0.52249762615633111</v>
      </c>
      <c r="G15" s="120">
        <f t="shared" si="14"/>
        <v>164.69787272727274</v>
      </c>
      <c r="H15" s="118">
        <f>H28*$B$35/10/$B$33</f>
        <v>1.381949439577113</v>
      </c>
      <c r="I15" s="119">
        <f t="shared" si="2"/>
        <v>0.51072434046302162</v>
      </c>
      <c r="J15" s="120">
        <f t="shared" si="3"/>
        <v>158.62139887640444</v>
      </c>
      <c r="K15" s="118">
        <f>K28*$B$35/10/$B$33</f>
        <v>1.3145372717928638</v>
      </c>
      <c r="L15" s="119">
        <f t="shared" si="5"/>
        <v>0.50694097205227362</v>
      </c>
      <c r="M15" s="120">
        <f t="shared" si="6"/>
        <v>162.77158181818183</v>
      </c>
      <c r="N15" s="118">
        <f>N28*$B$35/10/$B$33</f>
        <v>0.51336958543389943</v>
      </c>
      <c r="O15" s="119">
        <f t="shared" si="8"/>
        <v>7.7757035876853731E-2</v>
      </c>
      <c r="P15" s="120">
        <f t="shared" si="9"/>
        <v>117.85004494382021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0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01" t="s">
        <v>214</v>
      </c>
      <c r="X19" s="301" t="s">
        <v>214</v>
      </c>
    </row>
    <row r="20" spans="1:24" s="141" customFormat="1" ht="15.75" x14ac:dyDescent="0.25">
      <c r="A20" s="133" t="s">
        <v>185</v>
      </c>
      <c r="B20" s="134">
        <v>1.55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41.88</v>
      </c>
      <c r="C21" s="144" t="s">
        <v>172</v>
      </c>
      <c r="D21" s="145" t="s">
        <v>172</v>
      </c>
      <c r="E21" s="143">
        <v>45.78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45.05</v>
      </c>
      <c r="L21" s="144" t="s">
        <v>172</v>
      </c>
      <c r="M21" s="145" t="s">
        <v>172</v>
      </c>
      <c r="N21" s="143">
        <v>21.47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42.23</v>
      </c>
      <c r="C23" s="144" t="s">
        <v>172</v>
      </c>
      <c r="D23" s="145" t="s">
        <v>172</v>
      </c>
      <c r="E23" s="143">
        <v>45.46</v>
      </c>
      <c r="F23" s="144" t="s">
        <v>172</v>
      </c>
      <c r="G23" s="145" t="s">
        <v>172</v>
      </c>
      <c r="H23" s="143">
        <v>49.38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42.14</v>
      </c>
      <c r="C24" s="144" t="s">
        <v>172</v>
      </c>
      <c r="D24" s="145" t="s">
        <v>172</v>
      </c>
      <c r="E24" s="143">
        <v>45.27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46.44</v>
      </c>
      <c r="L24" s="144" t="s">
        <v>172</v>
      </c>
      <c r="M24" s="145" t="s">
        <v>172</v>
      </c>
      <c r="N24" s="143">
        <v>22.59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33.04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10.97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1.294</v>
      </c>
      <c r="F26" s="144" t="s">
        <v>172</v>
      </c>
      <c r="G26" s="145" t="s">
        <v>172</v>
      </c>
      <c r="H26" s="153">
        <v>1.349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1.1950000000000001</v>
      </c>
      <c r="F27" s="144" t="s">
        <v>172</v>
      </c>
      <c r="G27" s="145" t="s">
        <v>172</v>
      </c>
      <c r="H27" s="153">
        <v>1.264</v>
      </c>
      <c r="I27" s="144" t="s">
        <v>172</v>
      </c>
      <c r="J27" s="145" t="s">
        <v>172</v>
      </c>
      <c r="K27" s="153">
        <v>1.095</v>
      </c>
      <c r="L27" s="144" t="s">
        <v>172</v>
      </c>
      <c r="M27" s="145" t="s">
        <v>172</v>
      </c>
      <c r="N27" s="153">
        <v>0.439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5.13</v>
      </c>
      <c r="F28" s="158" t="s">
        <v>172</v>
      </c>
      <c r="G28" s="159" t="s">
        <v>172</v>
      </c>
      <c r="H28" s="234">
        <v>5.33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1.98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0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8.1267999999999994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2.0430999999999999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2.2866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5.2972999999999999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06">
        <v>3.1313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43696</v>
      </c>
      <c r="E2" s="493"/>
      <c r="F2" s="304"/>
      <c r="G2" s="304"/>
      <c r="H2" s="304"/>
      <c r="I2" s="304"/>
      <c r="J2" s="304"/>
      <c r="K2" s="304"/>
      <c r="L2" s="304"/>
      <c r="M2" s="304"/>
      <c r="N2" s="304"/>
      <c r="O2" s="304"/>
      <c r="P2" s="304"/>
      <c r="Q2" s="304"/>
      <c r="R2" s="30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0.75720566682950652</v>
      </c>
      <c r="C6" s="103" t="s">
        <v>172</v>
      </c>
      <c r="D6" s="104" t="s">
        <v>172</v>
      </c>
      <c r="E6" s="102">
        <f>E20/$B$33</f>
        <v>0.80605764533463597</v>
      </c>
      <c r="F6" s="103" t="s">
        <v>172</v>
      </c>
      <c r="G6" s="104" t="s">
        <v>172</v>
      </c>
      <c r="H6" s="102">
        <f>H20/$B$33</f>
        <v>0.86956521739130432</v>
      </c>
      <c r="I6" s="103" t="s">
        <v>172</v>
      </c>
      <c r="J6" s="104" t="s">
        <v>172</v>
      </c>
      <c r="K6" s="102">
        <f>K20/$B$33</f>
        <v>0.80605764533463597</v>
      </c>
      <c r="L6" s="103" t="s">
        <v>172</v>
      </c>
      <c r="M6" s="104" t="s">
        <v>172</v>
      </c>
      <c r="N6" s="102">
        <f>N20/$B$33</f>
        <v>0.43478260869565216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0.64082311187103069</v>
      </c>
      <c r="C7" s="107">
        <f>B7-B$6</f>
        <v>-0.11638255495847583</v>
      </c>
      <c r="D7" s="108">
        <f>B7/B$6*100</f>
        <v>84.629994193548384</v>
      </c>
      <c r="E7" s="102">
        <f t="shared" ref="E7:E10" si="0">E21*$B$36/100/$B$33</f>
        <v>0.70161565217391297</v>
      </c>
      <c r="F7" s="107">
        <f>E7-E$6</f>
        <v>-0.104441993160723</v>
      </c>
      <c r="G7" s="108">
        <f>E7/E$6*100</f>
        <v>87.042863030303025</v>
      </c>
      <c r="H7" s="102">
        <f t="shared" ref="H7:H10" si="1">H21*$B$36/100/$B$33</f>
        <v>0.77787163165608197</v>
      </c>
      <c r="I7" s="107">
        <f t="shared" ref="I7:I15" si="2">H7-H$6</f>
        <v>-9.1693585735222349E-2</v>
      </c>
      <c r="J7" s="108">
        <f t="shared" ref="J7:J15" si="3">H7/H$6*100</f>
        <v>89.455237640449425</v>
      </c>
      <c r="K7" s="102">
        <f t="shared" ref="K7:K10" si="4">K21*$B$36/100/$B$33</f>
        <v>0.69327752320468961</v>
      </c>
      <c r="L7" s="107">
        <f t="shared" ref="L7:L15" si="5">K7-K$6</f>
        <v>-0.11278012212994637</v>
      </c>
      <c r="M7" s="108">
        <f t="shared" ref="M7:M15" si="6">K7/K$6*100</f>
        <v>86.008429696969685</v>
      </c>
      <c r="N7" s="102">
        <f t="shared" ref="N7:N10" si="7">N21*$B$36/100/$B$33</f>
        <v>0.32170017586712257</v>
      </c>
      <c r="O7" s="107">
        <f t="shared" ref="O7:O15" si="8">N7-N$6</f>
        <v>-0.11308243282852959</v>
      </c>
      <c r="P7" s="108">
        <f t="shared" ref="P7:P15" si="9">N7/N$6*100</f>
        <v>73.991040449438188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0.63400100635075707</v>
      </c>
      <c r="C8" s="107">
        <f t="shared" ref="C8:C12" si="11">B8-B$6</f>
        <v>-0.12320466047874945</v>
      </c>
      <c r="D8" s="108">
        <f t="shared" ref="D8:D12" si="12">B8/B$6*100</f>
        <v>83.729036129032252</v>
      </c>
      <c r="E8" s="102">
        <f t="shared" si="0"/>
        <v>0.6806945285784074</v>
      </c>
      <c r="F8" s="107">
        <f t="shared" ref="F8:F15" si="13">E8-E$6</f>
        <v>-0.12536311675622858</v>
      </c>
      <c r="G8" s="108">
        <f t="shared" ref="G8:G15" si="14">E8/E$6*100</f>
        <v>84.447375757575756</v>
      </c>
      <c r="H8" s="102">
        <f t="shared" si="1"/>
        <v>0.75937614557889588</v>
      </c>
      <c r="I8" s="107">
        <f t="shared" si="2"/>
        <v>-0.11018907181240845</v>
      </c>
      <c r="J8" s="108">
        <f t="shared" si="3"/>
        <v>87.328256741573028</v>
      </c>
      <c r="K8" s="102">
        <f t="shared" si="4"/>
        <v>0.68948746458231547</v>
      </c>
      <c r="L8" s="107">
        <f t="shared" si="5"/>
        <v>-0.11657018075232051</v>
      </c>
      <c r="M8" s="108">
        <f t="shared" si="6"/>
        <v>85.538232727272728</v>
      </c>
      <c r="N8" s="102">
        <f t="shared" si="7"/>
        <v>0.36839369809477279</v>
      </c>
      <c r="O8" s="107">
        <f t="shared" si="8"/>
        <v>-6.6388910600879369E-2</v>
      </c>
      <c r="P8" s="108">
        <f t="shared" si="9"/>
        <v>84.730550561797742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0.63991349780166096</v>
      </c>
      <c r="C9" s="107">
        <f t="shared" si="11"/>
        <v>-0.11729216902784556</v>
      </c>
      <c r="D9" s="108">
        <f t="shared" si="12"/>
        <v>84.509866451612908</v>
      </c>
      <c r="E9" s="102">
        <f t="shared" si="0"/>
        <v>0.68933586223742049</v>
      </c>
      <c r="F9" s="107">
        <f t="shared" si="13"/>
        <v>-0.11672178309721548</v>
      </c>
      <c r="G9" s="108">
        <f t="shared" si="14"/>
        <v>85.519424848484832</v>
      </c>
      <c r="H9" s="102">
        <f t="shared" si="1"/>
        <v>0.74861237909135325</v>
      </c>
      <c r="I9" s="107">
        <f t="shared" si="2"/>
        <v>-0.12095283829995107</v>
      </c>
      <c r="J9" s="108">
        <f t="shared" si="3"/>
        <v>86.090423595505627</v>
      </c>
      <c r="K9" s="102">
        <f t="shared" si="4"/>
        <v>0.68433298485588667</v>
      </c>
      <c r="L9" s="107">
        <f t="shared" si="5"/>
        <v>-0.1217246604787493</v>
      </c>
      <c r="M9" s="108">
        <f t="shared" si="6"/>
        <v>84.898764848484859</v>
      </c>
      <c r="N9" s="102">
        <f t="shared" si="7"/>
        <v>0.40629428431851489</v>
      </c>
      <c r="O9" s="107">
        <f t="shared" si="8"/>
        <v>-2.8488324377137275E-2</v>
      </c>
      <c r="P9" s="108">
        <f t="shared" si="9"/>
        <v>93.447685393258425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0.63157536883243759</v>
      </c>
      <c r="C10" s="107">
        <f t="shared" si="11"/>
        <v>-0.12563029799706893</v>
      </c>
      <c r="D10" s="108">
        <f t="shared" si="12"/>
        <v>83.408695483870972</v>
      </c>
      <c r="E10" s="102">
        <f t="shared" si="0"/>
        <v>0.67463043478260853</v>
      </c>
      <c r="F10" s="107">
        <f t="shared" si="13"/>
        <v>-0.13142721055202744</v>
      </c>
      <c r="G10" s="108">
        <f t="shared" si="14"/>
        <v>83.695060606060593</v>
      </c>
      <c r="H10" s="102">
        <f t="shared" si="1"/>
        <v>0.79576070835368828</v>
      </c>
      <c r="I10" s="107">
        <f t="shared" si="2"/>
        <v>-7.380450903761604E-2</v>
      </c>
      <c r="J10" s="108">
        <f t="shared" si="3"/>
        <v>91.512481460674152</v>
      </c>
      <c r="K10" s="102">
        <f t="shared" si="4"/>
        <v>0.69737078651685391</v>
      </c>
      <c r="L10" s="107">
        <f t="shared" si="5"/>
        <v>-0.10868685881778206</v>
      </c>
      <c r="M10" s="108">
        <f t="shared" si="6"/>
        <v>86.516242424242435</v>
      </c>
      <c r="N10" s="102">
        <f t="shared" si="7"/>
        <v>0.34246969711773317</v>
      </c>
      <c r="O10" s="107">
        <f t="shared" si="8"/>
        <v>-9.2312911577918988E-2</v>
      </c>
      <c r="P10" s="108">
        <f t="shared" si="9"/>
        <v>78.768030337078628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0.63657824621397152</v>
      </c>
      <c r="C11" s="236">
        <f t="shared" si="11"/>
        <v>-0.120627420615535</v>
      </c>
      <c r="D11" s="237">
        <f t="shared" si="12"/>
        <v>84.069398064516122</v>
      </c>
      <c r="E11" s="235">
        <f>AVERAGE(E7:E10)</f>
        <v>0.68656911944308741</v>
      </c>
      <c r="F11" s="236">
        <f t="shared" si="13"/>
        <v>-0.11948852589154857</v>
      </c>
      <c r="G11" s="237">
        <f t="shared" si="14"/>
        <v>85.176181060606055</v>
      </c>
      <c r="H11" s="235">
        <f>AVERAGE(H7:H10)</f>
        <v>0.77040521617000479</v>
      </c>
      <c r="I11" s="236">
        <f t="shared" si="2"/>
        <v>-9.9160001221299532E-2</v>
      </c>
      <c r="J11" s="237">
        <f t="shared" si="3"/>
        <v>88.596599859550551</v>
      </c>
      <c r="K11" s="235">
        <f>AVERAGE(K7:K10)</f>
        <v>0.69111718978993641</v>
      </c>
      <c r="L11" s="236">
        <f t="shared" si="5"/>
        <v>-0.11494045554469956</v>
      </c>
      <c r="M11" s="237">
        <f t="shared" si="6"/>
        <v>85.740417424242423</v>
      </c>
      <c r="N11" s="235">
        <f>AVERAGE(N7:N10)</f>
        <v>0.35971446384953587</v>
      </c>
      <c r="O11" s="236">
        <f t="shared" si="8"/>
        <v>-7.5068144846116291E-2</v>
      </c>
      <c r="P11" s="237">
        <f t="shared" si="9"/>
        <v>82.734326685393256</v>
      </c>
      <c r="Q11" s="109"/>
    </row>
    <row r="12" spans="1:19" s="96" customFormat="1" ht="15.75" x14ac:dyDescent="0.25">
      <c r="A12" s="110" t="s">
        <v>24</v>
      </c>
      <c r="B12" s="102">
        <f>B25*$B$32/100/$B$33</f>
        <v>1.127065324865657</v>
      </c>
      <c r="C12" s="107">
        <f t="shared" si="11"/>
        <v>0.36985965803615051</v>
      </c>
      <c r="D12" s="108">
        <f t="shared" si="12"/>
        <v>148.84533677419356</v>
      </c>
      <c r="E12" s="102">
        <f>E25*$B$32/100/$B$33</f>
        <v>1.1688232144601856</v>
      </c>
      <c r="F12" s="107">
        <f t="shared" si="13"/>
        <v>0.36276556912554958</v>
      </c>
      <c r="G12" s="108">
        <f t="shared" si="14"/>
        <v>145.00491636363637</v>
      </c>
      <c r="H12" s="102">
        <f>H25*$B$32/100/$B$33</f>
        <v>1.3119931216414265</v>
      </c>
      <c r="I12" s="107">
        <f t="shared" si="2"/>
        <v>0.44242790425012213</v>
      </c>
      <c r="J12" s="108">
        <f t="shared" si="3"/>
        <v>150.87920898876405</v>
      </c>
      <c r="K12" s="102">
        <f>K25*$B$32/100/$B$33</f>
        <v>1.0674111968734734</v>
      </c>
      <c r="L12" s="107">
        <f t="shared" si="5"/>
        <v>0.26135355153883744</v>
      </c>
      <c r="M12" s="108">
        <f t="shared" si="6"/>
        <v>132.42368000000002</v>
      </c>
      <c r="N12" s="102">
        <f>N25*$B$32/100/$B$33</f>
        <v>0.42632816805080609</v>
      </c>
      <c r="O12" s="107">
        <f t="shared" si="8"/>
        <v>-8.4544406448460729E-3</v>
      </c>
      <c r="P12" s="108">
        <f t="shared" si="9"/>
        <v>98.055478651685405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1.4358532486565705</v>
      </c>
      <c r="F13" s="107">
        <f t="shared" si="13"/>
        <v>0.62979560332193452</v>
      </c>
      <c r="G13" s="108">
        <f t="shared" si="14"/>
        <v>178.13282424242425</v>
      </c>
      <c r="H13" s="102">
        <f t="shared" ref="H13:H14" si="15">H26*$B$34/$B$33</f>
        <v>1.4968825598436732</v>
      </c>
      <c r="I13" s="107">
        <f t="shared" si="2"/>
        <v>0.62731734245236892</v>
      </c>
      <c r="J13" s="108">
        <f t="shared" si="3"/>
        <v>172.14149438202242</v>
      </c>
      <c r="K13" s="102">
        <f t="shared" ref="K13:K14" si="16">K26*$B$34/$B$33</f>
        <v>1.3248908646800193</v>
      </c>
      <c r="L13" s="107">
        <f t="shared" si="5"/>
        <v>0.51883321934538329</v>
      </c>
      <c r="M13" s="108">
        <f t="shared" si="6"/>
        <v>164.36676363636363</v>
      </c>
      <c r="N13" s="102">
        <f t="shared" ref="N13:N14" si="17">N26*$B$34/$B$33</f>
        <v>0.62693746946751328</v>
      </c>
      <c r="O13" s="107">
        <f t="shared" si="8"/>
        <v>0.19215486077186111</v>
      </c>
      <c r="P13" s="108">
        <f t="shared" si="9"/>
        <v>144.19561797752806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1.3060272594040057</v>
      </c>
      <c r="F14" s="107">
        <f t="shared" si="13"/>
        <v>0.49996961406936968</v>
      </c>
      <c r="G14" s="108">
        <f t="shared" si="14"/>
        <v>162.02653333333333</v>
      </c>
      <c r="H14" s="102">
        <f t="shared" si="15"/>
        <v>1.3825913043478257</v>
      </c>
      <c r="I14" s="107">
        <f t="shared" si="2"/>
        <v>0.51302608695652141</v>
      </c>
      <c r="J14" s="108">
        <f t="shared" si="3"/>
        <v>158.99799999999996</v>
      </c>
      <c r="K14" s="102">
        <f t="shared" si="16"/>
        <v>1.1950648754274547</v>
      </c>
      <c r="L14" s="107">
        <f t="shared" si="5"/>
        <v>0.38900723009281868</v>
      </c>
      <c r="M14" s="108">
        <f t="shared" si="6"/>
        <v>148.26047272727271</v>
      </c>
      <c r="N14" s="102">
        <f t="shared" si="17"/>
        <v>0.47602862725940392</v>
      </c>
      <c r="O14" s="107">
        <f t="shared" si="8"/>
        <v>4.1246018563751763E-2</v>
      </c>
      <c r="P14" s="108">
        <f t="shared" si="9"/>
        <v>109.48658426966291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1.3000035173424525</v>
      </c>
      <c r="F15" s="119">
        <f t="shared" si="13"/>
        <v>0.49394587200781648</v>
      </c>
      <c r="G15" s="120">
        <f t="shared" si="14"/>
        <v>161.27922424242428</v>
      </c>
      <c r="H15" s="118">
        <f>H28*$B$35/10/$B$33</f>
        <v>1.3665391304347825</v>
      </c>
      <c r="I15" s="119">
        <f t="shared" si="2"/>
        <v>0.49697391304347815</v>
      </c>
      <c r="J15" s="120">
        <f t="shared" si="3"/>
        <v>157.15199999999999</v>
      </c>
      <c r="K15" s="118">
        <f>K28*$B$35/10/$B$33</f>
        <v>1.2846491450903761</v>
      </c>
      <c r="L15" s="119">
        <f t="shared" si="5"/>
        <v>0.47859149975574011</v>
      </c>
      <c r="M15" s="120">
        <f t="shared" si="6"/>
        <v>159.37435151515152</v>
      </c>
      <c r="N15" s="118">
        <f>N28*$B$35/10/$B$33</f>
        <v>0.49901709819247686</v>
      </c>
      <c r="O15" s="119">
        <f t="shared" si="8"/>
        <v>6.4234489496824698E-2</v>
      </c>
      <c r="P15" s="120">
        <f t="shared" si="9"/>
        <v>114.77393258426969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0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03" t="s">
        <v>214</v>
      </c>
      <c r="X19" s="303" t="s">
        <v>214</v>
      </c>
    </row>
    <row r="20" spans="1:24" s="141" customFormat="1" ht="15.75" x14ac:dyDescent="0.25">
      <c r="A20" s="133" t="s">
        <v>185</v>
      </c>
      <c r="B20" s="134">
        <v>1.55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42.27</v>
      </c>
      <c r="C21" s="144" t="s">
        <v>172</v>
      </c>
      <c r="D21" s="145" t="s">
        <v>172</v>
      </c>
      <c r="E21" s="143">
        <v>46.28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45.73</v>
      </c>
      <c r="L21" s="144" t="s">
        <v>172</v>
      </c>
      <c r="M21" s="145" t="s">
        <v>172</v>
      </c>
      <c r="N21" s="143">
        <v>21.22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41.82</v>
      </c>
      <c r="C22" s="144" t="s">
        <v>172</v>
      </c>
      <c r="D22" s="145" t="s">
        <v>172</v>
      </c>
      <c r="E22" s="143">
        <v>44.9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45.48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42.21</v>
      </c>
      <c r="C23" s="144" t="s">
        <v>172</v>
      </c>
      <c r="D23" s="145" t="s">
        <v>172</v>
      </c>
      <c r="E23" s="143">
        <v>45.47</v>
      </c>
      <c r="F23" s="144" t="s">
        <v>172</v>
      </c>
      <c r="G23" s="145" t="s">
        <v>172</v>
      </c>
      <c r="H23" s="143">
        <v>49.38</v>
      </c>
      <c r="I23" s="144" t="s">
        <v>172</v>
      </c>
      <c r="J23" s="145" t="s">
        <v>172</v>
      </c>
      <c r="K23" s="143">
        <v>45.14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22.59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32.99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10.72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1.294</v>
      </c>
      <c r="F26" s="144" t="s">
        <v>172</v>
      </c>
      <c r="G26" s="145" t="s">
        <v>172</v>
      </c>
      <c r="H26" s="153">
        <v>1.349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1.177</v>
      </c>
      <c r="F27" s="144" t="s">
        <v>172</v>
      </c>
      <c r="G27" s="145" t="s">
        <v>172</v>
      </c>
      <c r="H27" s="153">
        <v>1.246</v>
      </c>
      <c r="I27" s="144" t="s">
        <v>172</v>
      </c>
      <c r="J27" s="145" t="s">
        <v>172</v>
      </c>
      <c r="K27" s="153">
        <v>1.077</v>
      </c>
      <c r="L27" s="144" t="s">
        <v>172</v>
      </c>
      <c r="M27" s="145" t="s">
        <v>172</v>
      </c>
      <c r="N27" s="153">
        <v>0.42899999999999999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5.08</v>
      </c>
      <c r="F28" s="158" t="s">
        <v>172</v>
      </c>
      <c r="G28" s="159" t="s">
        <v>172</v>
      </c>
      <c r="H28" s="234">
        <v>5.34</v>
      </c>
      <c r="I28" s="158" t="s">
        <v>172</v>
      </c>
      <c r="J28" s="159" t="s">
        <v>172</v>
      </c>
      <c r="K28" s="234">
        <v>5.0199999999999996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0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8.1408000000000005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2.0470000000000002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2.2713999999999999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5.2384000000000004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3.1032999999999999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8" r:id="rId2" location=".VyhQfdKLTcs"/>
    <hyperlink ref="R28" r:id="rId3"/>
    <hyperlink ref="R26" r:id="rId4"/>
    <hyperlink ref="R27" r:id="rId5"/>
    <hyperlink ref="C32" r:id="rId6"/>
    <hyperlink ref="C32:E36" r:id="rId7" display="http://www.nbrb.by/statistics/rates/ratesDaily.asp"/>
    <hyperlink ref="S26" r:id="rId8"/>
    <hyperlink ref="S25" r:id="rId9"/>
    <hyperlink ref="T26" r:id="rId10"/>
    <hyperlink ref="U26" r:id="rId11"/>
    <hyperlink ref="U27" r:id="rId12"/>
    <hyperlink ref="U28" r:id="rId13"/>
    <hyperlink ref="V25" r:id="rId14"/>
    <hyperlink ref="V26" r:id="rId15"/>
    <hyperlink ref="V27" r:id="rId16"/>
    <hyperlink ref="V28" r:id="rId17"/>
    <hyperlink ref="W25" r:id="rId18"/>
    <hyperlink ref="W26" r:id="rId19"/>
    <hyperlink ref="W27" r:id="rId20"/>
    <hyperlink ref="W28" r:id="rId21"/>
    <hyperlink ref="R25" r:id="rId22"/>
    <hyperlink ref="Q24" r:id="rId23"/>
    <hyperlink ref="Q22" r:id="rId24"/>
    <hyperlink ref="Q23" r:id="rId25"/>
    <hyperlink ref="S27" r:id="rId26" location=".WOOTMl7SnSs" display="http://autotraveler.ru/latvia/#.WOOTMl7SnSs"/>
    <hyperlink ref="O23" r:id="rId27" display="www.benzin-price.ru/price.php?region_id=32"/>
    <hyperlink ref="P12" r:id="rId28" display="www.nbrb.by"/>
    <hyperlink ref="R23" r:id="rId29"/>
    <hyperlink ref="R22" r:id="rId30" display="http://natrakte.ru/"/>
    <hyperlink ref="S28" r:id="rId31" location=".Vs2LGH2LRkg" display="http://autotraveler.ru/lithuania/#.Vs2LGH2LRkg"/>
    <hyperlink ref="Q27" r:id="rId32" display="http://www.fuel-prices-europe.info/"/>
    <hyperlink ref="O29" r:id="rId33" display="www.e-petrol.ru/rynek-krajowy/ceny-stacje-paliw"/>
    <hyperlink ref="B78" r:id="rId34" display="http://www.lukoil.lt/ru/avtozapravochnye_stancii_azs_/karta_azs?filterID=65"/>
    <hyperlink ref="B74" r:id="rId35" display="http://www.lukoil.lt/ru/avtozapravochnye_stancii_azs_/karta_azs?filterID=86,87,111"/>
    <hyperlink ref="B71" r:id="rId36" display="http://www.lukoil.lt/ru/avtozapravochnye_stancii_azs_/karta_azs?filterID=67"/>
    <hyperlink ref="B67" r:id="rId37" display="http://www.lukoil.lt/ru/avtozapravochnye_stancii_azs_/karta_azs?filterID=22,77,104,110,117,118,119"/>
    <hyperlink ref="B63" r:id="rId38" display="http://www.lukoil.lt/ru/avtozapravochnye_stancii_azs_/karta_azs?filterID=32,87"/>
    <hyperlink ref="B60" r:id="rId39" display="http://www.lukoil.lt/ru/avtozapravochnye_stancii_azs_/karta_azs?filterID=33"/>
    <hyperlink ref="B57" r:id="rId40" display="http://www.lukoil.lt/ru/avtozapravochnye_stancii_azs_/karta_azs?filterID=54"/>
    <hyperlink ref="B54" r:id="rId41" display="http://www.lukoil.lt/ru/avtozapravochnye_stancii_azs_/karta_azs?filterID=67"/>
    <hyperlink ref="B51" r:id="rId42" display="http://www.lukoil.lt/ru/avtozapravochnye_stancii_azs_/karta_azs?filterID=65"/>
    <hyperlink ref="O28" r:id="rId43" display="www.lukoil.lt/ru/osnovnaja_stranica"/>
    <hyperlink ref="O27" r:id="rId44" display="www.lukoil.lv/lv/galvena_lapa"/>
    <hyperlink ref="O26" r:id="rId45" display="www.vseazs.com/"/>
    <hyperlink ref="M43" r:id="rId46" display="http://www.benzin-price.ru/price.php?region_id=60&amp;sort=11&amp;brand_id=0&amp;price_mode="/>
    <hyperlink ref="L43" r:id="rId47" display="http://www.benzin-price.ru/price.php?region_id=60&amp;sort=10&amp;brand_id=0&amp;price_mode="/>
    <hyperlink ref="K43" r:id="rId48" display="http://www.benzin-price.ru/price.php?region_id=60&amp;sort=9&amp;brand_id=0&amp;price_mode="/>
    <hyperlink ref="J43" r:id="rId49" display="http://www.benzin-price.ru/price.php?region_id=60&amp;sort=8&amp;brand_id=0&amp;price_mode="/>
    <hyperlink ref="I43" r:id="rId50" display="http://www.benzin-price.ru/price.php?region_id=60&amp;sort=7&amp;brand_id=0&amp;price_mode="/>
    <hyperlink ref="H43" r:id="rId51" display="http://www.benzin-price.ru/price.php?region_id=60&amp;sort=6&amp;brand_id=0&amp;price_mode="/>
    <hyperlink ref="G43" r:id="rId52" display="http://www.benzin-price.ru/price.php?region_id=60&amp;sort=5&amp;brand_id=0&amp;price_mode="/>
    <hyperlink ref="E43" r:id="rId53" display="http://www.benzin-price.ru/price.php?region_id=60&amp;sort=3&amp;brand_id=0&amp;price_mode="/>
    <hyperlink ref="D43" r:id="rId54" display="http://www.benzin-price.ru/price.php?region_id=60&amp;sort=2&amp;brand_id=0&amp;price_mode="/>
    <hyperlink ref="C43" r:id="rId55" display="http://www.benzin-price.ru/price.php?region_id=60&amp;sort=1&amp;brand_id=0&amp;price_mode="/>
    <hyperlink ref="O25" r:id="rId56" display="www.benzin-price.ru/price.php?region_id=60"/>
    <hyperlink ref="O24" r:id="rId57" display="www.benzin-price.ru/price.php?region_id=67"/>
    <hyperlink ref="O22" r:id="rId58" display="www.benzin-price.ru/price.php?region_id=77"/>
    <hyperlink ref="O21" r:id="rId59" display="www.belorusneft.by/sitebeloil/ru/center/azs/"/>
    <hyperlink ref="Q29" r:id="rId60" location=".VyhQfdKLTcs" display="http://autotraveler.ru/poland/#.VyhQfdKLTcs"/>
    <hyperlink ref="S23" r:id="rId61"/>
    <hyperlink ref="T23" r:id="rId62"/>
    <hyperlink ref="R21" r:id="rId63"/>
    <hyperlink ref="T25" r:id="rId64"/>
    <hyperlink ref="X26" r:id="rId65"/>
    <hyperlink ref="X27" r:id="rId66"/>
    <hyperlink ref="X28" r:id="rId67"/>
    <hyperlink ref="Q26" r:id="rId68" location=".WOOTMl7SnSs"/>
    <hyperlink ref="Q25" r:id="rId69"/>
    <hyperlink ref="Q21" r:id="rId70"/>
  </hyperlinks>
  <pageMargins left="0.7" right="0.7" top="0.75" bottom="0.75" header="0.3" footer="0.3"/>
  <pageSetup paperSize="9" orientation="portrait" r:id="rId7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B14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43703</v>
      </c>
      <c r="E2" s="49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0.75367110765340861</v>
      </c>
      <c r="C6" s="103" t="s">
        <v>172</v>
      </c>
      <c r="D6" s="104" t="s">
        <v>172</v>
      </c>
      <c r="E6" s="102">
        <f>E20/$B$33</f>
        <v>0.80229505008266067</v>
      </c>
      <c r="F6" s="103" t="s">
        <v>172</v>
      </c>
      <c r="G6" s="104" t="s">
        <v>172</v>
      </c>
      <c r="H6" s="102">
        <f>H20/$B$33</f>
        <v>0.86550617524068851</v>
      </c>
      <c r="I6" s="103" t="s">
        <v>172</v>
      </c>
      <c r="J6" s="104" t="s">
        <v>172</v>
      </c>
      <c r="K6" s="102">
        <f>K20/$B$33</f>
        <v>0.80229505008266067</v>
      </c>
      <c r="L6" s="103" t="s">
        <v>172</v>
      </c>
      <c r="M6" s="104" t="s">
        <v>172</v>
      </c>
      <c r="N6" s="102">
        <f>N20/$B$33</f>
        <v>0.43275308762034426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0.64432667023242252</v>
      </c>
      <c r="C7" s="107">
        <f>B7-B$6</f>
        <v>-0.1093444374209861</v>
      </c>
      <c r="D7" s="108">
        <f>B7/B$6*100</f>
        <v>85.491756774193547</v>
      </c>
      <c r="E7" s="102">
        <f t="shared" ref="E7:E10" si="0">E21*$B$36/100/$B$33</f>
        <v>0.70560401147525043</v>
      </c>
      <c r="F7" s="107">
        <f>E7-E$6</f>
        <v>-9.669103860741024E-2</v>
      </c>
      <c r="G7" s="108">
        <f>E7/E$6*100</f>
        <v>87.948194545454555</v>
      </c>
      <c r="H7" s="102">
        <f t="shared" ref="H7:H10" si="1">H21*$B$36/100/$B$33</f>
        <v>0.78212447243022465</v>
      </c>
      <c r="I7" s="107">
        <f t="shared" ref="I7:I15" si="2">H7-H$6</f>
        <v>-8.3381702810463865E-2</v>
      </c>
      <c r="J7" s="108">
        <f t="shared" ref="J7:J15" si="3">H7/H$6*100</f>
        <v>90.366134269662922</v>
      </c>
      <c r="K7" s="102">
        <f t="shared" ref="K7:K10" si="4">K21*$B$36/100/$B$33</f>
        <v>0.6973727268306914</v>
      </c>
      <c r="L7" s="107">
        <f t="shared" ref="L7:L15" si="5">K7-K$6</f>
        <v>-0.10492232325196926</v>
      </c>
      <c r="M7" s="108">
        <f t="shared" ref="M7:M15" si="6">K7/K$6*100</f>
        <v>86.92222727272727</v>
      </c>
      <c r="N7" s="102">
        <f t="shared" ref="N7:N10" si="7">N21*$B$36/100/$B$33</f>
        <v>0.32239198191189344</v>
      </c>
      <c r="O7" s="107">
        <f t="shared" ref="O7:O15" si="8">N7-N$6</f>
        <v>-0.11036110570845081</v>
      </c>
      <c r="P7" s="108">
        <f t="shared" ref="P7:P15" si="9">N7/N$6*100</f>
        <v>74.497904494382027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0.6376196975590781</v>
      </c>
      <c r="C8" s="107">
        <f t="shared" ref="C8:C12" si="11">B8-B$6</f>
        <v>-0.11605141009433051</v>
      </c>
      <c r="D8" s="108">
        <f t="shared" ref="D8:D12" si="12">B8/B$6*100</f>
        <v>84.601849677419352</v>
      </c>
      <c r="E8" s="102">
        <f t="shared" si="0"/>
        <v>0.68456850627248855</v>
      </c>
      <c r="F8" s="107">
        <f t="shared" ref="F8:F15" si="13">E8-E$6</f>
        <v>-0.11772654381017211</v>
      </c>
      <c r="G8" s="108">
        <f t="shared" ref="G8:G15" si="14">E8/E$6*100</f>
        <v>85.326278181818182</v>
      </c>
      <c r="H8" s="102">
        <f t="shared" si="1"/>
        <v>0.76352786638140613</v>
      </c>
      <c r="I8" s="107">
        <f t="shared" si="2"/>
        <v>-0.10197830885928238</v>
      </c>
      <c r="J8" s="108">
        <f t="shared" si="3"/>
        <v>88.217494943820213</v>
      </c>
      <c r="K8" s="102">
        <f t="shared" si="4"/>
        <v>0.69371437809977632</v>
      </c>
      <c r="L8" s="107">
        <f t="shared" si="5"/>
        <v>-0.10858067198288435</v>
      </c>
      <c r="M8" s="108">
        <f t="shared" si="6"/>
        <v>86.466241818181828</v>
      </c>
      <c r="N8" s="102">
        <f t="shared" si="7"/>
        <v>0.37040780900515419</v>
      </c>
      <c r="O8" s="107">
        <f t="shared" si="8"/>
        <v>-6.234527861519007E-2</v>
      </c>
      <c r="P8" s="108">
        <f t="shared" si="9"/>
        <v>85.5933370786517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0.64386937664105814</v>
      </c>
      <c r="C9" s="107">
        <f t="shared" si="11"/>
        <v>-0.10980173101235047</v>
      </c>
      <c r="D9" s="108">
        <f t="shared" si="12"/>
        <v>85.431081290322581</v>
      </c>
      <c r="E9" s="102">
        <f t="shared" si="0"/>
        <v>0.69325708450841184</v>
      </c>
      <c r="F9" s="107">
        <f t="shared" si="13"/>
        <v>-0.10903796557424883</v>
      </c>
      <c r="G9" s="108">
        <f t="shared" si="14"/>
        <v>86.409243636363627</v>
      </c>
      <c r="H9" s="102">
        <f t="shared" si="1"/>
        <v>0.75758304969366919</v>
      </c>
      <c r="I9" s="107">
        <f t="shared" si="2"/>
        <v>-0.10792312554701933</v>
      </c>
      <c r="J9" s="108">
        <f t="shared" si="3"/>
        <v>87.530634831460674</v>
      </c>
      <c r="K9" s="102">
        <f t="shared" si="4"/>
        <v>0.68776956141203927</v>
      </c>
      <c r="L9" s="107">
        <f t="shared" si="5"/>
        <v>-0.1145254886706214</v>
      </c>
      <c r="M9" s="108">
        <f t="shared" si="6"/>
        <v>85.72526545454545</v>
      </c>
      <c r="N9" s="102">
        <f t="shared" si="7"/>
        <v>0.4085156082855198</v>
      </c>
      <c r="O9" s="107">
        <f t="shared" si="8"/>
        <v>-2.4237479334824452E-2</v>
      </c>
      <c r="P9" s="108">
        <f t="shared" si="9"/>
        <v>94.399235955056184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0.63502836720801314</v>
      </c>
      <c r="C10" s="107">
        <f t="shared" si="11"/>
        <v>-0.11864274044539547</v>
      </c>
      <c r="D10" s="108">
        <f t="shared" si="12"/>
        <v>84.258021935483853</v>
      </c>
      <c r="E10" s="102">
        <f t="shared" si="0"/>
        <v>0.67831882719050862</v>
      </c>
      <c r="F10" s="107">
        <f t="shared" si="13"/>
        <v>-0.12397622289215204</v>
      </c>
      <c r="G10" s="108">
        <f t="shared" si="14"/>
        <v>84.547303030303027</v>
      </c>
      <c r="H10" s="102">
        <f t="shared" si="1"/>
        <v>0.8001113536905573</v>
      </c>
      <c r="I10" s="107">
        <f t="shared" si="2"/>
        <v>-6.539482155013121E-2</v>
      </c>
      <c r="J10" s="108">
        <f t="shared" si="3"/>
        <v>92.44432640449439</v>
      </c>
      <c r="K10" s="102">
        <f t="shared" si="4"/>
        <v>0.70118350675872798</v>
      </c>
      <c r="L10" s="107">
        <f t="shared" si="5"/>
        <v>-0.10111154332393268</v>
      </c>
      <c r="M10" s="108">
        <f t="shared" si="6"/>
        <v>87.397212121212121</v>
      </c>
      <c r="N10" s="102">
        <f t="shared" si="7"/>
        <v>0.34479936788874843</v>
      </c>
      <c r="O10" s="107">
        <f t="shared" si="8"/>
        <v>-8.7953719731595825E-2</v>
      </c>
      <c r="P10" s="108">
        <f t="shared" si="9"/>
        <v>79.67577303370787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0.64021102791014295</v>
      </c>
      <c r="C11" s="236">
        <f t="shared" si="11"/>
        <v>-0.11346007974326566</v>
      </c>
      <c r="D11" s="237">
        <f t="shared" si="12"/>
        <v>84.945677419354823</v>
      </c>
      <c r="E11" s="235">
        <f>AVERAGE(E7:E10)</f>
        <v>0.69043710736166486</v>
      </c>
      <c r="F11" s="236">
        <f t="shared" si="13"/>
        <v>-0.11185794272099581</v>
      </c>
      <c r="G11" s="237">
        <f t="shared" si="14"/>
        <v>86.057754848484848</v>
      </c>
      <c r="H11" s="235">
        <f>AVERAGE(H7:H10)</f>
        <v>0.77583668554896423</v>
      </c>
      <c r="I11" s="236">
        <f t="shared" si="2"/>
        <v>-8.966948969172428E-2</v>
      </c>
      <c r="J11" s="237">
        <f t="shared" si="3"/>
        <v>89.639647612359539</v>
      </c>
      <c r="K11" s="235">
        <f>AVERAGE(K7:K10)</f>
        <v>0.6950100432753088</v>
      </c>
      <c r="L11" s="236">
        <f t="shared" si="5"/>
        <v>-0.10728500680735187</v>
      </c>
      <c r="M11" s="237">
        <f t="shared" si="6"/>
        <v>86.627736666666678</v>
      </c>
      <c r="N11" s="235">
        <f>AVERAGE(N7:N10)</f>
        <v>0.36152869177282898</v>
      </c>
      <c r="O11" s="236">
        <f t="shared" si="8"/>
        <v>-7.1224395847515276E-2</v>
      </c>
      <c r="P11" s="237">
        <f t="shared" si="9"/>
        <v>83.541562640449456</v>
      </c>
      <c r="Q11" s="109"/>
    </row>
    <row r="12" spans="1:19" s="96" customFormat="1" ht="15.75" x14ac:dyDescent="0.25">
      <c r="A12" s="110" t="s">
        <v>24</v>
      </c>
      <c r="B12" s="102">
        <f>B25*$B$32/100/$B$33</f>
        <v>1.1299896333754742</v>
      </c>
      <c r="C12" s="107">
        <f t="shared" si="11"/>
        <v>0.37631852572206559</v>
      </c>
      <c r="D12" s="108">
        <f t="shared" si="12"/>
        <v>149.93139870967741</v>
      </c>
      <c r="E12" s="102">
        <f>E25*$B$32/100/$B$33</f>
        <v>1.1718558689098513</v>
      </c>
      <c r="F12" s="107">
        <f t="shared" si="13"/>
        <v>0.36956081882719061</v>
      </c>
      <c r="G12" s="108">
        <f t="shared" si="14"/>
        <v>146.06295636363637</v>
      </c>
      <c r="H12" s="102">
        <f>H25*$B$32/100/$B$33</f>
        <v>1.3094163570942334</v>
      </c>
      <c r="I12" s="107">
        <f t="shared" si="2"/>
        <v>0.44391018185354492</v>
      </c>
      <c r="J12" s="108">
        <f t="shared" si="3"/>
        <v>151.28908314606744</v>
      </c>
      <c r="K12" s="102">
        <f>K25*$B$32/100/$B$33</f>
        <v>1.0701807254692213</v>
      </c>
      <c r="L12" s="107">
        <f t="shared" si="5"/>
        <v>0.26788567538656061</v>
      </c>
      <c r="M12" s="108">
        <f t="shared" si="6"/>
        <v>133.38992000000002</v>
      </c>
      <c r="N12" s="102">
        <f>N25*$B$32/100/$B$33</f>
        <v>0.43740247982106395</v>
      </c>
      <c r="O12" s="107">
        <f t="shared" si="8"/>
        <v>4.6493922007196931E-3</v>
      </c>
      <c r="P12" s="108">
        <f t="shared" si="9"/>
        <v>101.07437528089889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1.3987832344646505</v>
      </c>
      <c r="F13" s="107">
        <f t="shared" si="13"/>
        <v>0.59648818438198981</v>
      </c>
      <c r="G13" s="108">
        <f t="shared" si="14"/>
        <v>174.34773333333337</v>
      </c>
      <c r="H13" s="102">
        <f t="shared" ref="H13:H14" si="15">H26*$B$34/$B$33</f>
        <v>1.4596480112807546</v>
      </c>
      <c r="I13" s="107">
        <f t="shared" si="2"/>
        <v>0.5941418360400661</v>
      </c>
      <c r="J13" s="108">
        <f t="shared" si="3"/>
        <v>168.64674719101123</v>
      </c>
      <c r="K13" s="102">
        <f t="shared" ref="K13:K14" si="16">K26*$B$34/$B$33</f>
        <v>1.3102526500048624</v>
      </c>
      <c r="L13" s="107">
        <f t="shared" si="5"/>
        <v>0.50795759992220169</v>
      </c>
      <c r="M13" s="108">
        <f t="shared" si="6"/>
        <v>163.31306666666669</v>
      </c>
      <c r="N13" s="102">
        <f t="shared" ref="N13:N14" si="17">N26*$B$34/$B$33</f>
        <v>0.62524725274725268</v>
      </c>
      <c r="O13" s="107">
        <f t="shared" si="8"/>
        <v>0.19249416512690842</v>
      </c>
      <c r="P13" s="108">
        <f t="shared" si="9"/>
        <v>144.48129213483145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1.3036128561703781</v>
      </c>
      <c r="F14" s="107">
        <f t="shared" si="13"/>
        <v>0.50131780608771748</v>
      </c>
      <c r="G14" s="108">
        <f t="shared" si="14"/>
        <v>162.48546666666667</v>
      </c>
      <c r="H14" s="102">
        <f t="shared" si="15"/>
        <v>1.387716911407177</v>
      </c>
      <c r="I14" s="107">
        <f t="shared" si="2"/>
        <v>0.5222107361664885</v>
      </c>
      <c r="J14" s="108">
        <f t="shared" si="3"/>
        <v>160.3358764044944</v>
      </c>
      <c r="K14" s="102">
        <f t="shared" si="16"/>
        <v>1.1929496255956433</v>
      </c>
      <c r="L14" s="107">
        <f t="shared" si="5"/>
        <v>0.39065457551298266</v>
      </c>
      <c r="M14" s="108">
        <f t="shared" si="6"/>
        <v>148.69213333333335</v>
      </c>
      <c r="N14" s="102">
        <f t="shared" si="17"/>
        <v>0.52343708061849659</v>
      </c>
      <c r="O14" s="107">
        <f t="shared" si="8"/>
        <v>9.068399299815233E-2</v>
      </c>
      <c r="P14" s="108">
        <f t="shared" si="9"/>
        <v>120.95513483146067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1.2795561606535057</v>
      </c>
      <c r="F15" s="119">
        <f t="shared" si="13"/>
        <v>0.47726111057084508</v>
      </c>
      <c r="G15" s="120">
        <f t="shared" si="14"/>
        <v>159.48698181818182</v>
      </c>
      <c r="H15" s="118">
        <f>H28*$B$35/10/$B$33</f>
        <v>1.3354098025867938</v>
      </c>
      <c r="I15" s="119">
        <f t="shared" si="2"/>
        <v>0.46990362734610525</v>
      </c>
      <c r="J15" s="120">
        <f t="shared" si="3"/>
        <v>154.29234831460676</v>
      </c>
      <c r="K15" s="118">
        <f>K28*$B$35/10/$B$33</f>
        <v>1.27193975493533</v>
      </c>
      <c r="L15" s="119">
        <f t="shared" si="5"/>
        <v>0.46964470485266929</v>
      </c>
      <c r="M15" s="120">
        <f t="shared" si="6"/>
        <v>158.53765454545453</v>
      </c>
      <c r="N15" s="118">
        <f>N28*$B$35/10/$B$33</f>
        <v>0.49252756977535744</v>
      </c>
      <c r="O15" s="119">
        <f t="shared" si="8"/>
        <v>5.9774482155013187E-2</v>
      </c>
      <c r="P15" s="120">
        <f t="shared" si="9"/>
        <v>113.81260674157305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1.55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42.27</v>
      </c>
      <c r="C21" s="144" t="s">
        <v>172</v>
      </c>
      <c r="D21" s="145" t="s">
        <v>172</v>
      </c>
      <c r="E21" s="143">
        <v>46.29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45.75</v>
      </c>
      <c r="L21" s="144" t="s">
        <v>172</v>
      </c>
      <c r="M21" s="145" t="s">
        <v>172</v>
      </c>
      <c r="N21" s="143">
        <v>21.15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41.83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45.51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42.24</v>
      </c>
      <c r="C23" s="144" t="s">
        <v>172</v>
      </c>
      <c r="D23" s="145" t="s">
        <v>172</v>
      </c>
      <c r="E23" s="143">
        <v>45.48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10.97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1.264</v>
      </c>
      <c r="F26" s="144" t="s">
        <v>172</v>
      </c>
      <c r="G26" s="145" t="s">
        <v>172</v>
      </c>
      <c r="H26" s="153">
        <v>1.319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1.1779999999999999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1.0780000000000001</v>
      </c>
      <c r="L27" s="144" t="s">
        <v>172</v>
      </c>
      <c r="M27" s="145" t="s">
        <v>172</v>
      </c>
      <c r="N27" s="153">
        <v>0.47299999999999998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5.04</v>
      </c>
      <c r="F28" s="158" t="s">
        <v>172</v>
      </c>
      <c r="G28" s="159" t="s">
        <v>172</v>
      </c>
      <c r="H28" s="234">
        <v>5.26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1.94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8.2002000000000006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2.0566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2.2759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5.2213000000000003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3.1349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43710</v>
      </c>
      <c r="E2" s="49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0.73879885605338425</v>
      </c>
      <c r="C6" s="103" t="s">
        <v>172</v>
      </c>
      <c r="D6" s="104" t="s">
        <v>172</v>
      </c>
      <c r="E6" s="102">
        <f>E20/$B$33</f>
        <v>0.78646329837940898</v>
      </c>
      <c r="F6" s="103" t="s">
        <v>172</v>
      </c>
      <c r="G6" s="104" t="s">
        <v>172</v>
      </c>
      <c r="H6" s="102">
        <f>H20/$B$33</f>
        <v>0.84842707340324119</v>
      </c>
      <c r="I6" s="103" t="s">
        <v>172</v>
      </c>
      <c r="J6" s="104" t="s">
        <v>172</v>
      </c>
      <c r="K6" s="102">
        <f>K20/$B$33</f>
        <v>0.78646329837940898</v>
      </c>
      <c r="L6" s="103" t="s">
        <v>172</v>
      </c>
      <c r="M6" s="104" t="s">
        <v>172</v>
      </c>
      <c r="N6" s="102">
        <f>N20/$B$33</f>
        <v>0.4242135367016206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0.62175684938036235</v>
      </c>
      <c r="C7" s="107">
        <f>B7-B$6</f>
        <v>-0.11704200667302189</v>
      </c>
      <c r="D7" s="108">
        <f>B7/B$6*100</f>
        <v>84.157798064516129</v>
      </c>
      <c r="E7" s="102">
        <f t="shared" ref="E7:E10" si="0">E21*$B$36/100/$B$33</f>
        <v>0.69776440419447094</v>
      </c>
      <c r="F7" s="107">
        <f>E7-E$6</f>
        <v>-8.8698894184938037E-2</v>
      </c>
      <c r="G7" s="108">
        <f>E7/E$6*100</f>
        <v>88.721801212121207</v>
      </c>
      <c r="H7" s="102">
        <f t="shared" ref="H7:H10" si="1">H21*$B$36/100/$B$33</f>
        <v>0.77226685891325075</v>
      </c>
      <c r="I7" s="107">
        <f t="shared" ref="I7:I15" si="2">H7-H$6</f>
        <v>-7.6160214489990441E-2</v>
      </c>
      <c r="J7" s="108">
        <f t="shared" ref="J7:J15" si="3">H7/H$6*100</f>
        <v>91.023363483146071</v>
      </c>
      <c r="K7" s="102">
        <f t="shared" ref="K7:K10" si="4">K21*$B$36/100/$B$33</f>
        <v>0.68933584366062917</v>
      </c>
      <c r="L7" s="107">
        <f t="shared" ref="L7:L15" si="5">K7-K$6</f>
        <v>-9.7127454718779815E-2</v>
      </c>
      <c r="M7" s="108">
        <f t="shared" ref="M7:M15" si="6">K7/K$6*100</f>
        <v>87.650096969696961</v>
      </c>
      <c r="N7" s="102">
        <f t="shared" ref="N7:N10" si="7">N21*$B$36/100/$B$33</f>
        <v>0.32013479027645381</v>
      </c>
      <c r="O7" s="107">
        <f t="shared" ref="O7:O15" si="8">N7-N$6</f>
        <v>-0.10407874642516679</v>
      </c>
      <c r="P7" s="108">
        <f t="shared" ref="P7:P15" si="9">N7/N$6*100</f>
        <v>75.465482022471917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0.62898132983794097</v>
      </c>
      <c r="C8" s="107">
        <f t="shared" ref="C8:C12" si="11">B8-B$6</f>
        <v>-0.10981752621544327</v>
      </c>
      <c r="D8" s="108">
        <f t="shared" ref="D8:D12" si="12">B8/B$6*100</f>
        <v>85.135666451612906</v>
      </c>
      <c r="E8" s="102">
        <f t="shared" si="0"/>
        <v>0.67594045281220216</v>
      </c>
      <c r="F8" s="107">
        <f t="shared" ref="F8:F15" si="13">E8-E$6</f>
        <v>-0.11052284556720682</v>
      </c>
      <c r="G8" s="108">
        <f t="shared" ref="G8:G15" si="14">E8/E$6*100</f>
        <v>85.946852727272741</v>
      </c>
      <c r="H8" s="102">
        <f t="shared" si="1"/>
        <v>0.75390463775023842</v>
      </c>
      <c r="I8" s="107">
        <f t="shared" si="2"/>
        <v>-9.4522435653002779E-2</v>
      </c>
      <c r="J8" s="108">
        <f t="shared" si="3"/>
        <v>88.859097191011244</v>
      </c>
      <c r="K8" s="102">
        <f t="shared" si="4"/>
        <v>0.6848205433746426</v>
      </c>
      <c r="L8" s="107">
        <f t="shared" si="5"/>
        <v>-0.10164275500476638</v>
      </c>
      <c r="M8" s="108">
        <f t="shared" si="6"/>
        <v>87.075969696969707</v>
      </c>
      <c r="N8" s="102">
        <f t="shared" si="7"/>
        <v>0.36573932316491903</v>
      </c>
      <c r="O8" s="107">
        <f t="shared" si="8"/>
        <v>-5.8474213536701569E-2</v>
      </c>
      <c r="P8" s="108">
        <f t="shared" si="9"/>
        <v>86.215853932584281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0.63530275023832228</v>
      </c>
      <c r="C9" s="107">
        <f t="shared" si="11"/>
        <v>-0.10349610581506197</v>
      </c>
      <c r="D9" s="108">
        <f t="shared" si="12"/>
        <v>85.991301290322582</v>
      </c>
      <c r="E9" s="102">
        <f t="shared" si="0"/>
        <v>0.68406799332697821</v>
      </c>
      <c r="F9" s="107">
        <f t="shared" si="13"/>
        <v>-0.10239530505243077</v>
      </c>
      <c r="G9" s="108">
        <f t="shared" si="14"/>
        <v>86.980281818181837</v>
      </c>
      <c r="H9" s="102">
        <f t="shared" si="1"/>
        <v>0.74803474737845566</v>
      </c>
      <c r="I9" s="107">
        <f t="shared" si="2"/>
        <v>-0.10039232602478554</v>
      </c>
      <c r="J9" s="108">
        <f t="shared" si="3"/>
        <v>88.167241573033706</v>
      </c>
      <c r="K9" s="102">
        <f t="shared" si="4"/>
        <v>0.67940218303145861</v>
      </c>
      <c r="L9" s="107">
        <f t="shared" si="5"/>
        <v>-0.10706111534795038</v>
      </c>
      <c r="M9" s="108">
        <f t="shared" si="6"/>
        <v>86.387016969696973</v>
      </c>
      <c r="N9" s="102">
        <f t="shared" si="7"/>
        <v>0.40336682554814113</v>
      </c>
      <c r="O9" s="107">
        <f t="shared" si="8"/>
        <v>-2.0846711153479469E-2</v>
      </c>
      <c r="P9" s="108">
        <f t="shared" si="9"/>
        <v>95.085797752809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0.62702469971401342</v>
      </c>
      <c r="C10" s="107">
        <f t="shared" si="11"/>
        <v>-0.11177415633937082</v>
      </c>
      <c r="D10" s="108">
        <f t="shared" si="12"/>
        <v>84.870827096774192</v>
      </c>
      <c r="E10" s="102">
        <f t="shared" si="0"/>
        <v>0.66976954242135378</v>
      </c>
      <c r="F10" s="107">
        <f t="shared" si="13"/>
        <v>-0.1166937559580552</v>
      </c>
      <c r="G10" s="108">
        <f t="shared" si="14"/>
        <v>85.162212121212136</v>
      </c>
      <c r="H10" s="102">
        <f t="shared" si="1"/>
        <v>0.79002704003813173</v>
      </c>
      <c r="I10" s="107">
        <f t="shared" si="2"/>
        <v>-5.8400033365109461E-2</v>
      </c>
      <c r="J10" s="108">
        <f t="shared" si="3"/>
        <v>93.116670224719115</v>
      </c>
      <c r="K10" s="102">
        <f t="shared" si="4"/>
        <v>0.69234604385128695</v>
      </c>
      <c r="L10" s="107">
        <f t="shared" si="5"/>
        <v>-9.411725452812203E-2</v>
      </c>
      <c r="M10" s="108">
        <f t="shared" si="6"/>
        <v>88.032848484848486</v>
      </c>
      <c r="N10" s="102">
        <f t="shared" si="7"/>
        <v>0.34045364156339375</v>
      </c>
      <c r="O10" s="107">
        <f t="shared" si="8"/>
        <v>-8.3759895138226848E-2</v>
      </c>
      <c r="P10" s="108">
        <f t="shared" si="9"/>
        <v>80.255251685393276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0.62826640729265981</v>
      </c>
      <c r="C11" s="236">
        <f t="shared" si="11"/>
        <v>-0.11053244876072443</v>
      </c>
      <c r="D11" s="237">
        <f t="shared" si="12"/>
        <v>85.038898225806463</v>
      </c>
      <c r="E11" s="235">
        <f>AVERAGE(E7:E10)</f>
        <v>0.68188559818875127</v>
      </c>
      <c r="F11" s="236">
        <f t="shared" si="13"/>
        <v>-0.10457770019065771</v>
      </c>
      <c r="G11" s="237">
        <f t="shared" si="14"/>
        <v>86.702786969696973</v>
      </c>
      <c r="H11" s="235">
        <f>AVERAGE(H7:H10)</f>
        <v>0.76605832102001914</v>
      </c>
      <c r="I11" s="236">
        <f t="shared" si="2"/>
        <v>-8.2368752383222055E-2</v>
      </c>
      <c r="J11" s="237">
        <f t="shared" si="3"/>
        <v>90.291593117977527</v>
      </c>
      <c r="K11" s="235">
        <f>AVERAGE(K7:K10)</f>
        <v>0.6864761534795043</v>
      </c>
      <c r="L11" s="236">
        <f t="shared" si="5"/>
        <v>-9.9987144899904679E-2</v>
      </c>
      <c r="M11" s="237">
        <f t="shared" si="6"/>
        <v>87.286483030303032</v>
      </c>
      <c r="N11" s="235">
        <f>AVERAGE(N7:N10)</f>
        <v>0.35742364513822689</v>
      </c>
      <c r="O11" s="236">
        <f t="shared" si="8"/>
        <v>-6.6789891563393711E-2</v>
      </c>
      <c r="P11" s="237">
        <f t="shared" si="9"/>
        <v>84.255596348314612</v>
      </c>
      <c r="Q11" s="109"/>
    </row>
    <row r="12" spans="1:19" s="96" customFormat="1" ht="15.75" x14ac:dyDescent="0.25">
      <c r="A12" s="110" t="s">
        <v>24</v>
      </c>
      <c r="B12" s="102">
        <f>B25*$B$32/100/$B$33</f>
        <v>1.1275213536701623</v>
      </c>
      <c r="C12" s="107">
        <f t="shared" si="11"/>
        <v>0.38872249761677802</v>
      </c>
      <c r="D12" s="108">
        <f t="shared" si="12"/>
        <v>152.61547096774194</v>
      </c>
      <c r="E12" s="102">
        <f>E25*$B$32/100/$B$33</f>
        <v>1.1692961391801717</v>
      </c>
      <c r="F12" s="107">
        <f t="shared" si="13"/>
        <v>0.38283284080076274</v>
      </c>
      <c r="G12" s="108">
        <f t="shared" si="14"/>
        <v>148.67777575757577</v>
      </c>
      <c r="H12" s="102">
        <f>H25*$B$32/100/$B$33</f>
        <v>1.3065561487130601</v>
      </c>
      <c r="I12" s="107">
        <f t="shared" si="2"/>
        <v>0.45812907530981894</v>
      </c>
      <c r="J12" s="108">
        <f t="shared" si="3"/>
        <v>153.99746067415731</v>
      </c>
      <c r="K12" s="102">
        <f>K25*$B$32/100/$B$33</f>
        <v>1.0678430886558627</v>
      </c>
      <c r="L12" s="107">
        <f t="shared" si="5"/>
        <v>0.28137979027645377</v>
      </c>
      <c r="M12" s="108">
        <f t="shared" si="6"/>
        <v>135.77786666666668</v>
      </c>
      <c r="N12" s="102">
        <f>N25*$B$32/100/$B$33</f>
        <v>0.44042559580552909</v>
      </c>
      <c r="O12" s="107">
        <f t="shared" si="8"/>
        <v>1.6212059103908494E-2</v>
      </c>
      <c r="P12" s="108">
        <f t="shared" si="9"/>
        <v>103.82167415730336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1.3953403241182079</v>
      </c>
      <c r="F13" s="107">
        <f t="shared" si="13"/>
        <v>0.60887702573879887</v>
      </c>
      <c r="G13" s="108">
        <f t="shared" si="14"/>
        <v>177.41963636363636</v>
      </c>
      <c r="H13" s="102">
        <f t="shared" ref="H13:H14" si="15">H26*$B$34/$B$33</f>
        <v>1.4560552907530981</v>
      </c>
      <c r="I13" s="107">
        <f t="shared" si="2"/>
        <v>0.60762821734985695</v>
      </c>
      <c r="J13" s="108">
        <f t="shared" si="3"/>
        <v>171.61820224719099</v>
      </c>
      <c r="K13" s="102">
        <f t="shared" ref="K13:K14" si="16">K26*$B$34/$B$33</f>
        <v>1.307027645376549</v>
      </c>
      <c r="L13" s="107">
        <f t="shared" si="5"/>
        <v>0.52056434699714005</v>
      </c>
      <c r="M13" s="108">
        <f t="shared" si="6"/>
        <v>166.19054545454543</v>
      </c>
      <c r="N13" s="102">
        <f t="shared" ref="N13:N14" si="17">N26*$B$34/$B$33</f>
        <v>0.62370829361296465</v>
      </c>
      <c r="O13" s="107">
        <f t="shared" si="8"/>
        <v>0.19949475691134405</v>
      </c>
      <c r="P13" s="108">
        <f t="shared" si="9"/>
        <v>147.0269662921348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1.30813155386082</v>
      </c>
      <c r="F14" s="107">
        <f t="shared" si="13"/>
        <v>0.52166825548141105</v>
      </c>
      <c r="G14" s="108">
        <f t="shared" si="14"/>
        <v>166.3309090909091</v>
      </c>
      <c r="H14" s="102">
        <f t="shared" si="15"/>
        <v>1.3843012392755005</v>
      </c>
      <c r="I14" s="107">
        <f t="shared" si="2"/>
        <v>0.53587416587225933</v>
      </c>
      <c r="J14" s="108">
        <f t="shared" si="3"/>
        <v>163.1608988764045</v>
      </c>
      <c r="K14" s="102">
        <f t="shared" si="16"/>
        <v>1.1977407054337463</v>
      </c>
      <c r="L14" s="107">
        <f t="shared" si="5"/>
        <v>0.41127740705433735</v>
      </c>
      <c r="M14" s="108">
        <f t="shared" si="6"/>
        <v>152.29454545454544</v>
      </c>
      <c r="N14" s="102">
        <f t="shared" si="17"/>
        <v>0.53981124880838893</v>
      </c>
      <c r="O14" s="107">
        <f t="shared" si="8"/>
        <v>0.11559771210676834</v>
      </c>
      <c r="P14" s="108">
        <f t="shared" si="9"/>
        <v>127.24988764044944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1.2623862726406103</v>
      </c>
      <c r="F15" s="119">
        <f t="shared" si="13"/>
        <v>0.47592297426120134</v>
      </c>
      <c r="G15" s="120">
        <f t="shared" si="14"/>
        <v>160.51432727272729</v>
      </c>
      <c r="H15" s="118">
        <f>H28*$B$35/10/$B$33</f>
        <v>1.3329387988560537</v>
      </c>
      <c r="I15" s="119">
        <f t="shared" si="2"/>
        <v>0.48451172545281251</v>
      </c>
      <c r="J15" s="120">
        <f t="shared" si="3"/>
        <v>157.10705617977533</v>
      </c>
      <c r="K15" s="118">
        <f>K28*$B$35/10/$B$33</f>
        <v>1.2573468064823643</v>
      </c>
      <c r="L15" s="119">
        <f t="shared" si="5"/>
        <v>0.47088350810295532</v>
      </c>
      <c r="M15" s="120">
        <f t="shared" si="6"/>
        <v>159.87355151515152</v>
      </c>
      <c r="N15" s="118">
        <f>N28*$B$35/10/$B$33</f>
        <v>0.49134795042898011</v>
      </c>
      <c r="O15" s="119">
        <f t="shared" si="8"/>
        <v>6.713441372735951E-2</v>
      </c>
      <c r="P15" s="120">
        <f t="shared" si="9"/>
        <v>115.82561797752813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1.55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41.31</v>
      </c>
      <c r="C21" s="144" t="s">
        <v>172</v>
      </c>
      <c r="D21" s="145" t="s">
        <v>172</v>
      </c>
      <c r="E21" s="143">
        <v>46.36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45.8</v>
      </c>
      <c r="L21" s="144" t="s">
        <v>172</v>
      </c>
      <c r="M21" s="145" t="s">
        <v>172</v>
      </c>
      <c r="N21" s="143">
        <v>21.27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41.79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42.21</v>
      </c>
      <c r="C23" s="144" t="s">
        <v>172</v>
      </c>
      <c r="D23" s="145" t="s">
        <v>172</v>
      </c>
      <c r="E23" s="143">
        <v>45.45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11.07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1.264</v>
      </c>
      <c r="F26" s="144" t="s">
        <v>172</v>
      </c>
      <c r="G26" s="145" t="s">
        <v>172</v>
      </c>
      <c r="H26" s="153">
        <v>1.319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1.1850000000000001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0.48899999999999999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5.01</v>
      </c>
      <c r="F28" s="158" t="s">
        <v>172</v>
      </c>
      <c r="G28" s="159" t="s">
        <v>172</v>
      </c>
      <c r="H28" s="234">
        <v>5.29</v>
      </c>
      <c r="I28" s="158" t="s">
        <v>172</v>
      </c>
      <c r="J28" s="159" t="s">
        <v>172</v>
      </c>
      <c r="K28" s="234">
        <v>4.99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8.3469999999999995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2.0979999999999999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2.3159999999999998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5.2864000000000004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3.1577000000000002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43717</v>
      </c>
      <c r="E2" s="49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0.73560818186132604</v>
      </c>
      <c r="C6" s="103" t="s">
        <v>172</v>
      </c>
      <c r="D6" s="104" t="s">
        <v>172</v>
      </c>
      <c r="E6" s="102">
        <f>E20/$B$33</f>
        <v>0.78306677423947602</v>
      </c>
      <c r="F6" s="103" t="s">
        <v>172</v>
      </c>
      <c r="G6" s="104" t="s">
        <v>172</v>
      </c>
      <c r="H6" s="102">
        <f>H20/$B$33</f>
        <v>0.84476294433107113</v>
      </c>
      <c r="I6" s="103" t="s">
        <v>172</v>
      </c>
      <c r="J6" s="104" t="s">
        <v>172</v>
      </c>
      <c r="K6" s="102">
        <f>K20/$B$33</f>
        <v>0.78306677423947602</v>
      </c>
      <c r="L6" s="103" t="s">
        <v>172</v>
      </c>
      <c r="M6" s="104" t="s">
        <v>172</v>
      </c>
      <c r="N6" s="102">
        <f>N20/$B$33</f>
        <v>0.42238147216553557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0.625865554553652</v>
      </c>
      <c r="C7" s="107">
        <f>B7-B$6</f>
        <v>-0.10974262730767403</v>
      </c>
      <c r="D7" s="108">
        <f>B7/B$6*100</f>
        <v>85.081374838709678</v>
      </c>
      <c r="E7" s="102">
        <f t="shared" ref="E7:E10" si="0">E21*$B$36/100/$B$33</f>
        <v>0.70241244364292166</v>
      </c>
      <c r="F7" s="107">
        <f>E7-E$6</f>
        <v>-8.0654330596554358E-2</v>
      </c>
      <c r="G7" s="108">
        <f>E7/E$6*100</f>
        <v>89.700197575757585</v>
      </c>
      <c r="H7" s="102">
        <f t="shared" ref="H7:H10" si="1">H21*$B$36/100/$B$33</f>
        <v>0.77774670874661878</v>
      </c>
      <c r="I7" s="107">
        <f t="shared" ref="I7:I15" si="2">H7-H$6</f>
        <v>-6.7016235584452355E-2</v>
      </c>
      <c r="J7" s="108">
        <f t="shared" ref="J7:J15" si="3">H7/H$6*100</f>
        <v>92.066858988764068</v>
      </c>
      <c r="K7" s="102">
        <f t="shared" ref="K7:K10" si="4">K21*$B$36/100/$B$33</f>
        <v>0.69362091974752027</v>
      </c>
      <c r="L7" s="107">
        <f t="shared" ref="L7:L15" si="5">K7-K$6</f>
        <v>-8.9445854491955745E-2</v>
      </c>
      <c r="M7" s="108">
        <f t="shared" ref="M7:M15" si="6">K7/K$6*100</f>
        <v>88.577493333333337</v>
      </c>
      <c r="N7" s="102">
        <f t="shared" ref="N7:N10" si="7">N21*$B$36/100/$B$33</f>
        <v>0.32255798016230841</v>
      </c>
      <c r="O7" s="107">
        <f t="shared" ref="O7:O15" si="8">N7-N$6</f>
        <v>-9.9823492003227154E-2</v>
      </c>
      <c r="P7" s="108">
        <f t="shared" ref="P7:P15" si="9">N7/N$6*100</f>
        <v>76.366507865168543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0.63344445446348074</v>
      </c>
      <c r="C8" s="107">
        <f t="shared" ref="C8:C12" si="11">B8-B$6</f>
        <v>-0.10216372739784529</v>
      </c>
      <c r="D8" s="108">
        <f t="shared" ref="D8:D12" si="12">B8/B$6*100</f>
        <v>86.111665161290347</v>
      </c>
      <c r="E8" s="102">
        <f t="shared" si="0"/>
        <v>0.68073678990081166</v>
      </c>
      <c r="F8" s="107">
        <f t="shared" ref="F8:F15" si="13">E8-E$6</f>
        <v>-0.10232998433866436</v>
      </c>
      <c r="G8" s="108">
        <f t="shared" ref="G8:G15" si="14">E8/E$6*100</f>
        <v>86.932150909090936</v>
      </c>
      <c r="H8" s="102">
        <f t="shared" si="1"/>
        <v>0.75925419296663677</v>
      </c>
      <c r="I8" s="107">
        <f t="shared" si="2"/>
        <v>-8.5508751364434366E-2</v>
      </c>
      <c r="J8" s="108">
        <f t="shared" si="3"/>
        <v>89.877781460674171</v>
      </c>
      <c r="K8" s="102">
        <f t="shared" si="4"/>
        <v>0.68967989179440947</v>
      </c>
      <c r="L8" s="107">
        <f t="shared" si="5"/>
        <v>-9.3386882445066544E-2</v>
      </c>
      <c r="M8" s="108">
        <f t="shared" si="6"/>
        <v>88.074212121212142</v>
      </c>
      <c r="N8" s="102">
        <f t="shared" si="7"/>
        <v>0.3683345356176736</v>
      </c>
      <c r="O8" s="107">
        <f t="shared" si="8"/>
        <v>-5.4046936547861968E-2</v>
      </c>
      <c r="P8" s="108">
        <f t="shared" si="9"/>
        <v>87.204235955056191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0.64026546438232645</v>
      </c>
      <c r="C9" s="107">
        <f t="shared" si="11"/>
        <v>-9.5342717478999583E-2</v>
      </c>
      <c r="D9" s="108">
        <f t="shared" si="12"/>
        <v>87.038926451612909</v>
      </c>
      <c r="E9" s="102">
        <f t="shared" si="0"/>
        <v>0.68937673579801617</v>
      </c>
      <c r="F9" s="107">
        <f t="shared" si="13"/>
        <v>-9.3690038441459844E-2</v>
      </c>
      <c r="G9" s="108">
        <f t="shared" si="14"/>
        <v>88.035498181818184</v>
      </c>
      <c r="H9" s="102">
        <f t="shared" si="1"/>
        <v>0.7533426510369704</v>
      </c>
      <c r="I9" s="107">
        <f t="shared" si="2"/>
        <v>-9.142029329410073E-2</v>
      </c>
      <c r="J9" s="108">
        <f t="shared" si="3"/>
        <v>89.17799438202249</v>
      </c>
      <c r="K9" s="102">
        <f t="shared" si="4"/>
        <v>0.68391992786293954</v>
      </c>
      <c r="L9" s="107">
        <f t="shared" si="5"/>
        <v>-9.9146846376536479E-2</v>
      </c>
      <c r="M9" s="108">
        <f t="shared" si="6"/>
        <v>87.338647272727272</v>
      </c>
      <c r="N9" s="102">
        <f t="shared" si="7"/>
        <v>0.40622903516681702</v>
      </c>
      <c r="O9" s="107">
        <f t="shared" si="8"/>
        <v>-1.6152436998718545E-2</v>
      </c>
      <c r="P9" s="108">
        <f t="shared" si="9"/>
        <v>96.175865168539346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0.63147394048692518</v>
      </c>
      <c r="C10" s="107">
        <f t="shared" si="11"/>
        <v>-0.10413424137440086</v>
      </c>
      <c r="D10" s="108">
        <f t="shared" si="12"/>
        <v>85.843789677419352</v>
      </c>
      <c r="E10" s="102">
        <f t="shared" si="0"/>
        <v>0.6745220919747521</v>
      </c>
      <c r="F10" s="107">
        <f t="shared" si="13"/>
        <v>-0.10854468226472391</v>
      </c>
      <c r="G10" s="108">
        <f t="shared" si="14"/>
        <v>86.138515151515165</v>
      </c>
      <c r="H10" s="102">
        <f t="shared" si="1"/>
        <v>0.7956329125338143</v>
      </c>
      <c r="I10" s="107">
        <f t="shared" si="2"/>
        <v>-4.9130031797256835E-2</v>
      </c>
      <c r="J10" s="108">
        <f t="shared" si="3"/>
        <v>94.184163483146079</v>
      </c>
      <c r="K10" s="102">
        <f t="shared" si="4"/>
        <v>0.69725879170423799</v>
      </c>
      <c r="L10" s="107">
        <f t="shared" si="5"/>
        <v>-8.5807982535238025E-2</v>
      </c>
      <c r="M10" s="108">
        <f t="shared" si="6"/>
        <v>89.042060606060602</v>
      </c>
      <c r="N10" s="102">
        <f t="shared" si="7"/>
        <v>0.34286943192064928</v>
      </c>
      <c r="O10" s="107">
        <f t="shared" si="8"/>
        <v>-7.9512040244886284E-2</v>
      </c>
      <c r="P10" s="108">
        <f t="shared" si="9"/>
        <v>81.175301123595517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0.63276235347159604</v>
      </c>
      <c r="C11" s="236">
        <f t="shared" si="11"/>
        <v>-0.10284582838973</v>
      </c>
      <c r="D11" s="237">
        <f t="shared" si="12"/>
        <v>86.018939032258061</v>
      </c>
      <c r="E11" s="235">
        <f>AVERAGE(E7:E10)</f>
        <v>0.6867620153291254</v>
      </c>
      <c r="F11" s="236">
        <f t="shared" si="13"/>
        <v>-9.6304758910350619E-2</v>
      </c>
      <c r="G11" s="237">
        <f t="shared" si="14"/>
        <v>87.701590454545467</v>
      </c>
      <c r="H11" s="235">
        <f>AVERAGE(H7:H10)</f>
        <v>0.77149411632101006</v>
      </c>
      <c r="I11" s="236">
        <f t="shared" si="2"/>
        <v>-7.3268828010061071E-2</v>
      </c>
      <c r="J11" s="237">
        <f t="shared" si="3"/>
        <v>91.326699578651699</v>
      </c>
      <c r="K11" s="235">
        <f>AVERAGE(K7:K10)</f>
        <v>0.69111988277727687</v>
      </c>
      <c r="L11" s="236">
        <f t="shared" si="5"/>
        <v>-9.1946891462199143E-2</v>
      </c>
      <c r="M11" s="237">
        <f t="shared" si="6"/>
        <v>88.258103333333352</v>
      </c>
      <c r="N11" s="235">
        <f>AVERAGE(N7:N10)</f>
        <v>0.35999774571686211</v>
      </c>
      <c r="O11" s="236">
        <f t="shared" si="8"/>
        <v>-6.238372644867346E-2</v>
      </c>
      <c r="P11" s="237">
        <f t="shared" si="9"/>
        <v>85.230477528089907</v>
      </c>
      <c r="Q11" s="109"/>
    </row>
    <row r="12" spans="1:19" s="96" customFormat="1" ht="15.75" x14ac:dyDescent="0.25">
      <c r="A12" s="110" t="s">
        <v>24</v>
      </c>
      <c r="B12" s="102">
        <f>B25*$B$32/100/$B$33</f>
        <v>1.1319994779554838</v>
      </c>
      <c r="C12" s="107">
        <f t="shared" si="11"/>
        <v>0.3963912960941578</v>
      </c>
      <c r="D12" s="108">
        <f t="shared" si="12"/>
        <v>153.8862</v>
      </c>
      <c r="E12" s="102">
        <f>E25*$B$32/100/$B$33</f>
        <v>1.1739401784443073</v>
      </c>
      <c r="F12" s="107">
        <f t="shared" si="13"/>
        <v>0.3908734042048313</v>
      </c>
      <c r="G12" s="108">
        <f t="shared" si="14"/>
        <v>149.91571818181819</v>
      </c>
      <c r="H12" s="102">
        <f>H25*$B$32/100/$B$33</f>
        <v>1.3117453371932988</v>
      </c>
      <c r="I12" s="107">
        <f t="shared" si="2"/>
        <v>0.46698239286222765</v>
      </c>
      <c r="J12" s="108">
        <f t="shared" si="3"/>
        <v>155.27969662921348</v>
      </c>
      <c r="K12" s="102">
        <f>K25*$B$32/100/$B$33</f>
        <v>1.0720841915428787</v>
      </c>
      <c r="L12" s="107">
        <f t="shared" si="5"/>
        <v>0.28901741730340269</v>
      </c>
      <c r="M12" s="108">
        <f t="shared" si="6"/>
        <v>136.9084</v>
      </c>
      <c r="N12" s="102">
        <f>N25*$B$32/100/$B$33</f>
        <v>0.47892285605808932</v>
      </c>
      <c r="O12" s="107">
        <f t="shared" si="8"/>
        <v>5.6541383892553754E-2</v>
      </c>
      <c r="P12" s="108">
        <f t="shared" si="9"/>
        <v>113.38633146067416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1.3738846756205212</v>
      </c>
      <c r="F13" s="107">
        <f t="shared" si="13"/>
        <v>0.59081790138104517</v>
      </c>
      <c r="G13" s="108">
        <f t="shared" si="14"/>
        <v>175.44923636363637</v>
      </c>
      <c r="H13" s="102">
        <f t="shared" ref="H13:H14" si="15">H26*$B$34/$B$33</f>
        <v>1.4346271652982774</v>
      </c>
      <c r="I13" s="107">
        <f t="shared" si="2"/>
        <v>0.58986422096720625</v>
      </c>
      <c r="J13" s="108">
        <f t="shared" si="3"/>
        <v>169.82600561797753</v>
      </c>
      <c r="K13" s="102">
        <f t="shared" ref="K13:K14" si="16">K26*$B$34/$B$33</f>
        <v>1.3076201414266053</v>
      </c>
      <c r="L13" s="107">
        <f t="shared" si="5"/>
        <v>0.5245533671871293</v>
      </c>
      <c r="M13" s="108">
        <f t="shared" si="6"/>
        <v>166.98705454545455</v>
      </c>
      <c r="N13" s="102">
        <f t="shared" ref="N13:N14" si="17">N26*$B$34/$B$33</f>
        <v>0.62399103032604053</v>
      </c>
      <c r="O13" s="107">
        <f t="shared" si="8"/>
        <v>0.20160955816050496</v>
      </c>
      <c r="P13" s="108">
        <f t="shared" si="9"/>
        <v>147.73162921348316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1.3087245503298373</v>
      </c>
      <c r="F14" s="107">
        <f t="shared" si="13"/>
        <v>0.52565777609036124</v>
      </c>
      <c r="G14" s="108">
        <f t="shared" si="14"/>
        <v>167.12809090909093</v>
      </c>
      <c r="H14" s="102">
        <f t="shared" si="15"/>
        <v>1.3849287646528405</v>
      </c>
      <c r="I14" s="107">
        <f t="shared" si="2"/>
        <v>0.54016582032176941</v>
      </c>
      <c r="J14" s="108">
        <f t="shared" si="3"/>
        <v>163.94288764044947</v>
      </c>
      <c r="K14" s="102">
        <f t="shared" si="16"/>
        <v>1.1982836600066442</v>
      </c>
      <c r="L14" s="107">
        <f t="shared" si="5"/>
        <v>0.4152168857671682</v>
      </c>
      <c r="M14" s="108">
        <f t="shared" si="6"/>
        <v>153.02445454545455</v>
      </c>
      <c r="N14" s="102">
        <f t="shared" si="17"/>
        <v>0.54668240709980553</v>
      </c>
      <c r="O14" s="107">
        <f t="shared" si="8"/>
        <v>0.12430093493426997</v>
      </c>
      <c r="P14" s="108">
        <f t="shared" si="9"/>
        <v>129.42859550561801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1.2687781310806321</v>
      </c>
      <c r="F15" s="119">
        <f t="shared" si="13"/>
        <v>0.48571135684115607</v>
      </c>
      <c r="G15" s="120">
        <f t="shared" si="14"/>
        <v>162.02681212121212</v>
      </c>
      <c r="H15" s="118">
        <f>H28*$B$35/10/$B$33</f>
        <v>1.3348868112571781</v>
      </c>
      <c r="I15" s="119">
        <f t="shared" si="2"/>
        <v>0.49012386692610699</v>
      </c>
      <c r="J15" s="120">
        <f t="shared" si="3"/>
        <v>158.0191011235955</v>
      </c>
      <c r="K15" s="118">
        <f>K28*$B$35/10/$B$33</f>
        <v>1.2662354895353805</v>
      </c>
      <c r="L15" s="119">
        <f t="shared" si="5"/>
        <v>0.48316871529590444</v>
      </c>
      <c r="M15" s="120">
        <f t="shared" si="6"/>
        <v>161.70210909090912</v>
      </c>
      <c r="N15" s="118">
        <f>N28*$B$35/10/$B$33</f>
        <v>0.49072981823359113</v>
      </c>
      <c r="O15" s="119">
        <f t="shared" si="8"/>
        <v>6.8348346068055565E-2</v>
      </c>
      <c r="P15" s="120">
        <f t="shared" si="9"/>
        <v>116.18166292134831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1.55</v>
      </c>
      <c r="C20" s="135" t="s">
        <v>172</v>
      </c>
      <c r="D20" s="136" t="s">
        <v>172</v>
      </c>
      <c r="E20" s="134">
        <v>1.65</v>
      </c>
      <c r="F20" s="135" t="s">
        <v>172</v>
      </c>
      <c r="G20" s="136" t="s">
        <v>172</v>
      </c>
      <c r="H20" s="134">
        <v>1.78</v>
      </c>
      <c r="I20" s="135" t="s">
        <v>172</v>
      </c>
      <c r="J20" s="136" t="s">
        <v>172</v>
      </c>
      <c r="K20" s="134">
        <v>1.65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41.29</v>
      </c>
      <c r="C21" s="144" t="s">
        <v>172</v>
      </c>
      <c r="D21" s="145" t="s">
        <v>172</v>
      </c>
      <c r="E21" s="143">
        <v>46.34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45.76</v>
      </c>
      <c r="L21" s="144" t="s">
        <v>172</v>
      </c>
      <c r="M21" s="145" t="s">
        <v>172</v>
      </c>
      <c r="N21" s="143">
        <v>21.28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41.79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42.24</v>
      </c>
      <c r="C23" s="144" t="s">
        <v>172</v>
      </c>
      <c r="D23" s="145" t="s">
        <v>172</v>
      </c>
      <c r="E23" s="143">
        <v>45.48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11.99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1.1850000000000001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0.495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4.99</v>
      </c>
      <c r="F28" s="158" t="s">
        <v>172</v>
      </c>
      <c r="G28" s="159" t="s">
        <v>172</v>
      </c>
      <c r="H28" s="234">
        <v>5.25</v>
      </c>
      <c r="I28" s="158" t="s">
        <v>172</v>
      </c>
      <c r="J28" s="159" t="s">
        <v>172</v>
      </c>
      <c r="K28" s="234">
        <v>4.9800000000000004</v>
      </c>
      <c r="L28" s="158" t="s">
        <v>172</v>
      </c>
      <c r="M28" s="159" t="s">
        <v>172</v>
      </c>
      <c r="N28" s="234">
        <v>1.93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8.4164999999999992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2.1071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2.3271000000000002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5.3575999999999997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3.1939000000000002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43724</v>
      </c>
      <c r="E2" s="49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0.76056750036565746</v>
      </c>
      <c r="C6" s="103" t="s">
        <v>172</v>
      </c>
      <c r="D6" s="104" t="s">
        <v>172</v>
      </c>
      <c r="E6" s="102">
        <f>E20/$B$33</f>
        <v>0.80932182731217395</v>
      </c>
      <c r="F6" s="103" t="s">
        <v>172</v>
      </c>
      <c r="G6" s="104" t="s">
        <v>172</v>
      </c>
      <c r="H6" s="102">
        <f>H20/$B$33</f>
        <v>0.87270245234264543</v>
      </c>
      <c r="I6" s="103" t="s">
        <v>172</v>
      </c>
      <c r="J6" s="104" t="s">
        <v>172</v>
      </c>
      <c r="K6" s="102">
        <f>K20/$B$33</f>
        <v>0.80932182731217395</v>
      </c>
      <c r="L6" s="103" t="s">
        <v>172</v>
      </c>
      <c r="M6" s="104" t="s">
        <v>172</v>
      </c>
      <c r="N6" s="102">
        <f>N20/$B$33</f>
        <v>0.4339135098239969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0.65687538881575747</v>
      </c>
      <c r="C7" s="107">
        <f>B7-B$6</f>
        <v>-0.10369211154989999</v>
      </c>
      <c r="D7" s="108">
        <f>B7/B$6*100</f>
        <v>86.366481410256426</v>
      </c>
      <c r="E7" s="102">
        <f t="shared" ref="E7:E10" si="0">E21*$B$36/100/$B$33</f>
        <v>0.71962725854419585</v>
      </c>
      <c r="F7" s="107">
        <f>E7-E$6</f>
        <v>-8.96945687679781E-2</v>
      </c>
      <c r="G7" s="108">
        <f>E7/E$6*100</f>
        <v>88.917317469879521</v>
      </c>
      <c r="H7" s="102">
        <f t="shared" ref="H7:H10" si="1">H21*$B$36/100/$B$33</f>
        <v>0.79697981083321157</v>
      </c>
      <c r="I7" s="107">
        <f t="shared" ref="I7:I15" si="2">H7-H$6</f>
        <v>-7.5722641509433863E-2</v>
      </c>
      <c r="J7" s="108">
        <f t="shared" ref="J7:J15" si="3">H7/H$6*100</f>
        <v>91.323200558659238</v>
      </c>
      <c r="K7" s="102">
        <f t="shared" ref="K7:K10" si="4">K21*$B$36/100/$B$33</f>
        <v>0.71077365316171814</v>
      </c>
      <c r="L7" s="107">
        <f t="shared" ref="L7:L15" si="5">K7-K$6</f>
        <v>-9.8548174150455803E-2</v>
      </c>
      <c r="M7" s="108">
        <f t="shared" ref="M7:M15" si="6">K7/K$6*100</f>
        <v>87.82336385542169</v>
      </c>
      <c r="N7" s="102">
        <f t="shared" ref="N7:N10" si="7">N21*$B$36/100/$B$33</f>
        <v>0.33410710838086888</v>
      </c>
      <c r="O7" s="107">
        <f t="shared" ref="O7:O15" si="8">N7-N$6</f>
        <v>-9.9806401443128023E-2</v>
      </c>
      <c r="P7" s="108">
        <f t="shared" ref="P7:P15" si="9">N7/N$6*100</f>
        <v>76.998549438202261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0.64910906830481219</v>
      </c>
      <c r="C8" s="107">
        <f t="shared" ref="C8:C12" si="11">B8-B$6</f>
        <v>-0.11145843206084527</v>
      </c>
      <c r="D8" s="108">
        <f t="shared" ref="D8:D12" si="12">B8/B$6*100</f>
        <v>85.345359615384638</v>
      </c>
      <c r="E8" s="102">
        <f t="shared" si="0"/>
        <v>0.69757090829311097</v>
      </c>
      <c r="F8" s="107">
        <f t="shared" ref="F8:F15" si="13">E8-E$6</f>
        <v>-0.11175091901906298</v>
      </c>
      <c r="G8" s="108">
        <f t="shared" ref="G8:G15" si="14">E8/E$6*100</f>
        <v>86.192029518072289</v>
      </c>
      <c r="H8" s="102">
        <f t="shared" si="1"/>
        <v>0.77802998878650487</v>
      </c>
      <c r="I8" s="107">
        <f t="shared" si="2"/>
        <v>-9.4672463556140563E-2</v>
      </c>
      <c r="J8" s="108">
        <f t="shared" si="3"/>
        <v>89.151805027932966</v>
      </c>
      <c r="K8" s="102">
        <f t="shared" si="4"/>
        <v>0.70657984008580765</v>
      </c>
      <c r="L8" s="107">
        <f t="shared" si="5"/>
        <v>-0.10274198722636629</v>
      </c>
      <c r="M8" s="108">
        <f t="shared" si="6"/>
        <v>87.305175301204827</v>
      </c>
      <c r="N8" s="102">
        <f t="shared" si="7"/>
        <v>0.37744317683194389</v>
      </c>
      <c r="O8" s="107">
        <f t="shared" si="8"/>
        <v>-5.6470332992053007E-2</v>
      </c>
      <c r="P8" s="108">
        <f t="shared" si="9"/>
        <v>86.985808988764063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0.65609875676466289</v>
      </c>
      <c r="C9" s="107">
        <f t="shared" si="11"/>
        <v>-0.10446874360099456</v>
      </c>
      <c r="D9" s="108">
        <f t="shared" si="12"/>
        <v>86.264369230769233</v>
      </c>
      <c r="E9" s="102">
        <f t="shared" si="0"/>
        <v>0.70642451367558878</v>
      </c>
      <c r="F9" s="107">
        <f t="shared" si="13"/>
        <v>-0.10289731363658516</v>
      </c>
      <c r="G9" s="108">
        <f t="shared" si="14"/>
        <v>87.285983132530134</v>
      </c>
      <c r="H9" s="102">
        <f t="shared" si="1"/>
        <v>0.77197225878796749</v>
      </c>
      <c r="I9" s="107">
        <f t="shared" si="2"/>
        <v>-0.10073019355467794</v>
      </c>
      <c r="J9" s="108">
        <f t="shared" si="3"/>
        <v>88.457670391061455</v>
      </c>
      <c r="K9" s="102">
        <f t="shared" si="4"/>
        <v>0.70083276290770813</v>
      </c>
      <c r="L9" s="107">
        <f t="shared" si="5"/>
        <v>-0.10848906440446582</v>
      </c>
      <c r="M9" s="108">
        <f t="shared" si="6"/>
        <v>86.59506506024097</v>
      </c>
      <c r="N9" s="102">
        <f t="shared" si="7"/>
        <v>0.41627477938667062</v>
      </c>
      <c r="O9" s="107">
        <f t="shared" si="8"/>
        <v>-1.7638730437326278E-2</v>
      </c>
      <c r="P9" s="108">
        <f t="shared" si="9"/>
        <v>95.934966292134831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0.64708982497196632</v>
      </c>
      <c r="C10" s="107">
        <f t="shared" si="11"/>
        <v>-0.11347767539369114</v>
      </c>
      <c r="D10" s="108">
        <f t="shared" si="12"/>
        <v>85.079867948717961</v>
      </c>
      <c r="E10" s="102">
        <f t="shared" si="0"/>
        <v>0.69120252547413585</v>
      </c>
      <c r="F10" s="107">
        <f t="shared" si="13"/>
        <v>-0.11811930183803809</v>
      </c>
      <c r="G10" s="108">
        <f t="shared" si="14"/>
        <v>85.405150602409634</v>
      </c>
      <c r="H10" s="102">
        <f t="shared" si="1"/>
        <v>0.81530832723904256</v>
      </c>
      <c r="I10" s="107">
        <f t="shared" si="2"/>
        <v>-5.7394125103602867E-2</v>
      </c>
      <c r="J10" s="108">
        <f t="shared" si="3"/>
        <v>93.423402793296091</v>
      </c>
      <c r="K10" s="102">
        <f t="shared" si="4"/>
        <v>0.71450148700697191</v>
      </c>
      <c r="L10" s="107">
        <f t="shared" si="5"/>
        <v>-9.4820340305202033E-2</v>
      </c>
      <c r="M10" s="108">
        <f t="shared" si="6"/>
        <v>88.283975903614461</v>
      </c>
      <c r="N10" s="102">
        <f t="shared" si="7"/>
        <v>0.35134833991516751</v>
      </c>
      <c r="O10" s="107">
        <f t="shared" si="8"/>
        <v>-8.2565169908829394E-2</v>
      </c>
      <c r="P10" s="108">
        <f t="shared" si="9"/>
        <v>80.971975280898874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0.65229325971429963</v>
      </c>
      <c r="C11" s="236">
        <f t="shared" si="11"/>
        <v>-0.10827424065135782</v>
      </c>
      <c r="D11" s="237">
        <f t="shared" si="12"/>
        <v>85.764019551282047</v>
      </c>
      <c r="E11" s="235">
        <f>AVERAGE(E7:E10)</f>
        <v>0.70370630149675784</v>
      </c>
      <c r="F11" s="236">
        <f t="shared" si="13"/>
        <v>-0.10561552581541611</v>
      </c>
      <c r="G11" s="237">
        <f t="shared" si="14"/>
        <v>86.950120180722891</v>
      </c>
      <c r="H11" s="235">
        <f>AVERAGE(H7:H10)</f>
        <v>0.79057259641168154</v>
      </c>
      <c r="I11" s="236">
        <f t="shared" si="2"/>
        <v>-8.2129855930963891E-2</v>
      </c>
      <c r="J11" s="237">
        <f t="shared" si="3"/>
        <v>90.589019692737423</v>
      </c>
      <c r="K11" s="235">
        <f>AVERAGE(K7:K10)</f>
        <v>0.70817193579055149</v>
      </c>
      <c r="L11" s="236">
        <f t="shared" si="5"/>
        <v>-0.10114989152162246</v>
      </c>
      <c r="M11" s="237">
        <f t="shared" si="6"/>
        <v>87.501895030120494</v>
      </c>
      <c r="N11" s="235">
        <f>AVERAGE(N7:N10)</f>
        <v>0.36979335112866274</v>
      </c>
      <c r="O11" s="236">
        <f t="shared" si="8"/>
        <v>-6.4120158695334162E-2</v>
      </c>
      <c r="P11" s="237">
        <f t="shared" si="9"/>
        <v>85.222825000000014</v>
      </c>
      <c r="Q11" s="109"/>
    </row>
    <row r="12" spans="1:19" s="96" customFormat="1" ht="15.75" x14ac:dyDescent="0.25">
      <c r="A12" s="110" t="s">
        <v>24</v>
      </c>
      <c r="B12" s="102">
        <f>B25*$B$32/100/$B$33</f>
        <v>1.1433133343084199</v>
      </c>
      <c r="C12" s="107">
        <f t="shared" si="11"/>
        <v>0.3827458339427624</v>
      </c>
      <c r="D12" s="108">
        <f t="shared" si="12"/>
        <v>150.32371666666666</v>
      </c>
      <c r="E12" s="102">
        <f>E25*$B$32/100/$B$33</f>
        <v>1.1856732143727755</v>
      </c>
      <c r="F12" s="107">
        <f t="shared" si="13"/>
        <v>0.37635138706060156</v>
      </c>
      <c r="G12" s="108">
        <f t="shared" si="14"/>
        <v>146.50206807228915</v>
      </c>
      <c r="H12" s="102">
        <f>H25*$B$32/100/$B$33</f>
        <v>1.3248556774413729</v>
      </c>
      <c r="I12" s="107">
        <f t="shared" si="2"/>
        <v>0.45215322509872746</v>
      </c>
      <c r="J12" s="108">
        <f t="shared" si="3"/>
        <v>151.81069720670391</v>
      </c>
      <c r="K12" s="102">
        <f>K25*$B$32/100/$B$33</f>
        <v>1.0827992199307688</v>
      </c>
      <c r="L12" s="107">
        <f t="shared" si="5"/>
        <v>0.27347739261859483</v>
      </c>
      <c r="M12" s="108">
        <f t="shared" si="6"/>
        <v>133.79093253012047</v>
      </c>
      <c r="N12" s="102">
        <f>N25*$B$32/100/$B$33</f>
        <v>0.48572662473794542</v>
      </c>
      <c r="O12" s="107">
        <f t="shared" si="8"/>
        <v>5.1813114913948521E-2</v>
      </c>
      <c r="P12" s="108">
        <f t="shared" si="9"/>
        <v>111.94088539325841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1.3808879138023502</v>
      </c>
      <c r="F13" s="107">
        <f t="shared" si="13"/>
        <v>0.57156608649017626</v>
      </c>
      <c r="G13" s="108">
        <f t="shared" si="14"/>
        <v>170.62284337349399</v>
      </c>
      <c r="H13" s="102">
        <f t="shared" ref="H13:H14" si="15">H26*$B$34/$B$33</f>
        <v>1.4419400321778559</v>
      </c>
      <c r="I13" s="107">
        <f t="shared" si="2"/>
        <v>0.56923757983521051</v>
      </c>
      <c r="J13" s="108">
        <f t="shared" si="3"/>
        <v>165.22699441340782</v>
      </c>
      <c r="K13" s="102">
        <f t="shared" ref="K13:K14" si="16">K26*$B$34/$B$33</f>
        <v>1.3253859880064356</v>
      </c>
      <c r="L13" s="107">
        <f t="shared" si="5"/>
        <v>0.51606416069426164</v>
      </c>
      <c r="M13" s="108">
        <f t="shared" si="6"/>
        <v>163.76501204819277</v>
      </c>
      <c r="N13" s="102">
        <f t="shared" ref="N13:N14" si="17">N26*$B$34/$B$33</f>
        <v>0.62717176149383258</v>
      </c>
      <c r="O13" s="107">
        <f t="shared" si="8"/>
        <v>0.19325825166983568</v>
      </c>
      <c r="P13" s="108">
        <f t="shared" si="9"/>
        <v>144.53842696629212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1.2931948710448056</v>
      </c>
      <c r="F14" s="107">
        <f t="shared" si="13"/>
        <v>0.48387304373263162</v>
      </c>
      <c r="G14" s="108">
        <f t="shared" si="14"/>
        <v>159.78746987951811</v>
      </c>
      <c r="H14" s="102">
        <f t="shared" si="15"/>
        <v>1.3697875286431671</v>
      </c>
      <c r="I14" s="107">
        <f t="shared" si="2"/>
        <v>0.49708507630052168</v>
      </c>
      <c r="J14" s="108">
        <f t="shared" si="3"/>
        <v>156.95928491620111</v>
      </c>
      <c r="K14" s="102">
        <f t="shared" si="16"/>
        <v>1.1977315586758326</v>
      </c>
      <c r="L14" s="107">
        <f t="shared" si="5"/>
        <v>0.38840973136365864</v>
      </c>
      <c r="M14" s="108">
        <f t="shared" si="6"/>
        <v>147.99200000000002</v>
      </c>
      <c r="N14" s="102">
        <f t="shared" si="17"/>
        <v>0.54946906537955242</v>
      </c>
      <c r="O14" s="107">
        <f t="shared" si="8"/>
        <v>0.11555555555555552</v>
      </c>
      <c r="P14" s="108">
        <f t="shared" si="9"/>
        <v>126.63101123595504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1.2750217931841452</v>
      </c>
      <c r="F15" s="119">
        <f t="shared" si="13"/>
        <v>0.46569996587197127</v>
      </c>
      <c r="G15" s="120">
        <f t="shared" si="14"/>
        <v>157.54200000000003</v>
      </c>
      <c r="H15" s="118">
        <f>H28*$B$35/10/$B$33</f>
        <v>1.3287877724148021</v>
      </c>
      <c r="I15" s="119">
        <f t="shared" si="2"/>
        <v>0.45608532007215663</v>
      </c>
      <c r="J15" s="120">
        <f t="shared" si="3"/>
        <v>152.26126256983244</v>
      </c>
      <c r="K15" s="118">
        <f>K28*$B$35/10/$B$33</f>
        <v>1.280142362634684</v>
      </c>
      <c r="L15" s="119">
        <f t="shared" si="5"/>
        <v>0.47082053532251</v>
      </c>
      <c r="M15" s="120">
        <f t="shared" si="6"/>
        <v>158.17469879518075</v>
      </c>
      <c r="N15" s="118">
        <f>N28*$B$35/10/$B$33</f>
        <v>0.49157466725171872</v>
      </c>
      <c r="O15" s="119">
        <f t="shared" si="8"/>
        <v>5.7661157427721821E-2</v>
      </c>
      <c r="P15" s="120">
        <f t="shared" si="9"/>
        <v>113.28862921348318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1.56</v>
      </c>
      <c r="C20" s="135" t="s">
        <v>172</v>
      </c>
      <c r="D20" s="136" t="s">
        <v>172</v>
      </c>
      <c r="E20" s="134">
        <v>1.66</v>
      </c>
      <c r="F20" s="135" t="s">
        <v>172</v>
      </c>
      <c r="G20" s="136" t="s">
        <v>172</v>
      </c>
      <c r="H20" s="134">
        <v>1.79</v>
      </c>
      <c r="I20" s="135" t="s">
        <v>172</v>
      </c>
      <c r="J20" s="136" t="s">
        <v>172</v>
      </c>
      <c r="K20" s="134">
        <v>1.66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42.29</v>
      </c>
      <c r="C21" s="144" t="s">
        <v>172</v>
      </c>
      <c r="D21" s="145" t="s">
        <v>172</v>
      </c>
      <c r="E21" s="143">
        <v>46.33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45.76</v>
      </c>
      <c r="L21" s="144" t="s">
        <v>172</v>
      </c>
      <c r="M21" s="145" t="s">
        <v>172</v>
      </c>
      <c r="N21" s="143">
        <v>21.51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41.79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45.49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42.24</v>
      </c>
      <c r="C23" s="144" t="s">
        <v>172</v>
      </c>
      <c r="D23" s="145" t="s">
        <v>172</v>
      </c>
      <c r="E23" s="143">
        <v>45.48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12.04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1.165</v>
      </c>
      <c r="F27" s="144" t="s">
        <v>172</v>
      </c>
      <c r="G27" s="145" t="s">
        <v>172</v>
      </c>
      <c r="H27" s="153">
        <v>1.234</v>
      </c>
      <c r="I27" s="144" t="s">
        <v>172</v>
      </c>
      <c r="J27" s="145" t="s">
        <v>172</v>
      </c>
      <c r="K27" s="153">
        <v>1.079</v>
      </c>
      <c r="L27" s="144" t="s">
        <v>172</v>
      </c>
      <c r="M27" s="145" t="s">
        <v>172</v>
      </c>
      <c r="N27" s="153">
        <v>0.495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4.9800000000000004</v>
      </c>
      <c r="F28" s="158" t="s">
        <v>172</v>
      </c>
      <c r="G28" s="159" t="s">
        <v>172</v>
      </c>
      <c r="H28" s="234">
        <v>5.19</v>
      </c>
      <c r="I28" s="158" t="s">
        <v>172</v>
      </c>
      <c r="J28" s="159" t="s">
        <v>172</v>
      </c>
      <c r="K28" s="234">
        <v>5</v>
      </c>
      <c r="L28" s="158" t="s">
        <v>172</v>
      </c>
      <c r="M28" s="159" t="s">
        <v>172</v>
      </c>
      <c r="N28" s="234">
        <v>1.92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8.2746999999999993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2.0510999999999999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2.2768000000000002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5.2514000000000003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3.1859000000000002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43730</v>
      </c>
      <c r="E2" s="49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0.76915539878502848</v>
      </c>
      <c r="C6" s="103" t="s">
        <v>172</v>
      </c>
      <c r="D6" s="104" t="s">
        <v>172</v>
      </c>
      <c r="E6" s="102">
        <f>E20/$B$33</f>
        <v>0.81814618851655885</v>
      </c>
      <c r="F6" s="103" t="s">
        <v>172</v>
      </c>
      <c r="G6" s="104" t="s">
        <v>172</v>
      </c>
      <c r="H6" s="102">
        <f>H20/$B$33</f>
        <v>0.88183421516754856</v>
      </c>
      <c r="I6" s="103" t="s">
        <v>172</v>
      </c>
      <c r="J6" s="104" t="s">
        <v>172</v>
      </c>
      <c r="K6" s="102">
        <f>K20/$B$33</f>
        <v>0.81814618851655885</v>
      </c>
      <c r="L6" s="103" t="s">
        <v>172</v>
      </c>
      <c r="M6" s="104" t="s">
        <v>172</v>
      </c>
      <c r="N6" s="102">
        <f>N20/$B$33</f>
        <v>0.43601802861062122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0.66288154027042923</v>
      </c>
      <c r="C7" s="107">
        <f>B7-B$6</f>
        <v>-0.10627385851459925</v>
      </c>
      <c r="D7" s="108">
        <f>B7/B$6*100</f>
        <v>86.183044585987261</v>
      </c>
      <c r="E7" s="102">
        <f t="shared" ref="E7:E10" si="0">E21*$B$36/100/$B$33</f>
        <v>0.72633392122281015</v>
      </c>
      <c r="F7" s="107">
        <f>E7-E$6</f>
        <v>-9.1812267293748695E-2</v>
      </c>
      <c r="G7" s="108">
        <f>E7/E$6*100</f>
        <v>88.778011976047907</v>
      </c>
      <c r="H7" s="102">
        <f t="shared" ref="H7:H10" si="1">H21*$B$36/100/$B$33</f>
        <v>0.80388683127572014</v>
      </c>
      <c r="I7" s="107">
        <f t="shared" ref="I7:I15" si="2">H7-H$6</f>
        <v>-7.7947383891828426E-2</v>
      </c>
      <c r="J7" s="108">
        <f t="shared" ref="J7:J15" si="3">H7/H$6*100</f>
        <v>91.16076666666666</v>
      </c>
      <c r="K7" s="102">
        <f t="shared" ref="K7:K10" si="4">K21*$B$36/100/$B$33</f>
        <v>0.71787360376249276</v>
      </c>
      <c r="L7" s="107">
        <f t="shared" ref="L7:L15" si="5">K7-K$6</f>
        <v>-0.10027258475406609</v>
      </c>
      <c r="M7" s="108">
        <f t="shared" ref="M7:M15" si="6">K7/K$6*100</f>
        <v>87.743928143712594</v>
      </c>
      <c r="N7" s="102">
        <f t="shared" ref="N7:N10" si="7">N21*$B$36/100/$B$33</f>
        <v>0.33183245149911816</v>
      </c>
      <c r="O7" s="107">
        <f t="shared" ref="O7:O15" si="8">N7-N$6</f>
        <v>-0.10418557711150306</v>
      </c>
      <c r="P7" s="108">
        <f t="shared" ref="P7:P15" si="9">N7/N$6*100</f>
        <v>76.105213483146059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0.65473456790123452</v>
      </c>
      <c r="C8" s="107">
        <f t="shared" ref="C8:C12" si="11">B8-B$6</f>
        <v>-0.11442083088379396</v>
      </c>
      <c r="D8" s="108">
        <f t="shared" ref="D8:D12" si="12">B8/B$6*100</f>
        <v>85.123834394904435</v>
      </c>
      <c r="E8" s="102">
        <f t="shared" si="0"/>
        <v>0.70361640211640208</v>
      </c>
      <c r="F8" s="107">
        <f t="shared" ref="F8:F15" si="13">E8-E$6</f>
        <v>-0.11452978640015676</v>
      </c>
      <c r="G8" s="108">
        <f t="shared" ref="G8:G15" si="14">E8/E$6*100</f>
        <v>86.001305389221557</v>
      </c>
      <c r="H8" s="102">
        <f t="shared" si="1"/>
        <v>0.78477278071722534</v>
      </c>
      <c r="I8" s="107">
        <f t="shared" si="2"/>
        <v>-9.7061434450323225E-2</v>
      </c>
      <c r="J8" s="108">
        <f t="shared" si="3"/>
        <v>88.99323333333335</v>
      </c>
      <c r="K8" s="102">
        <f t="shared" si="4"/>
        <v>0.71286008230452669</v>
      </c>
      <c r="L8" s="107">
        <f t="shared" si="5"/>
        <v>-0.10528610621203216</v>
      </c>
      <c r="M8" s="108">
        <f t="shared" si="6"/>
        <v>87.131137724550896</v>
      </c>
      <c r="N8" s="102">
        <f t="shared" si="7"/>
        <v>0.38071428571428573</v>
      </c>
      <c r="O8" s="107">
        <f t="shared" si="8"/>
        <v>-5.5303742896335495E-2</v>
      </c>
      <c r="P8" s="108">
        <f t="shared" si="9"/>
        <v>87.316179775280901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0.66178483245149911</v>
      </c>
      <c r="C9" s="107">
        <f t="shared" si="11"/>
        <v>-0.10737056633352937</v>
      </c>
      <c r="D9" s="108">
        <f t="shared" si="12"/>
        <v>86.040458598726104</v>
      </c>
      <c r="E9" s="102">
        <f t="shared" si="0"/>
        <v>0.71254673721340378</v>
      </c>
      <c r="F9" s="107">
        <f t="shared" si="13"/>
        <v>-0.10559945130315507</v>
      </c>
      <c r="G9" s="108">
        <f t="shared" si="14"/>
        <v>87.092838323353277</v>
      </c>
      <c r="H9" s="102">
        <f t="shared" si="1"/>
        <v>0.77866255144032925</v>
      </c>
      <c r="I9" s="107">
        <f t="shared" si="2"/>
        <v>-0.10317166372721931</v>
      </c>
      <c r="J9" s="108">
        <f t="shared" si="3"/>
        <v>88.300333333333342</v>
      </c>
      <c r="K9" s="102">
        <f t="shared" si="4"/>
        <v>0.70690652557319222</v>
      </c>
      <c r="L9" s="107">
        <f t="shared" si="5"/>
        <v>-0.11123966294336662</v>
      </c>
      <c r="M9" s="108">
        <f t="shared" si="6"/>
        <v>86.403449101796411</v>
      </c>
      <c r="N9" s="102">
        <f t="shared" si="7"/>
        <v>0.41988242210464438</v>
      </c>
      <c r="O9" s="107">
        <f t="shared" si="8"/>
        <v>-1.6135606505976841E-2</v>
      </c>
      <c r="P9" s="108">
        <f t="shared" si="9"/>
        <v>96.299325842696632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0.6526978248089359</v>
      </c>
      <c r="C10" s="107">
        <f t="shared" si="11"/>
        <v>-0.11645757397609258</v>
      </c>
      <c r="D10" s="108">
        <f t="shared" si="12"/>
        <v>84.85903184713375</v>
      </c>
      <c r="E10" s="102">
        <f t="shared" si="0"/>
        <v>0.69719282774838343</v>
      </c>
      <c r="F10" s="107">
        <f t="shared" si="13"/>
        <v>-0.12095336076817542</v>
      </c>
      <c r="G10" s="108">
        <f t="shared" si="14"/>
        <v>85.216167664670678</v>
      </c>
      <c r="H10" s="102">
        <f t="shared" si="1"/>
        <v>0.82237419165196946</v>
      </c>
      <c r="I10" s="107">
        <f t="shared" si="2"/>
        <v>-5.9460023515579108E-2</v>
      </c>
      <c r="J10" s="108">
        <f t="shared" si="3"/>
        <v>93.257233333333332</v>
      </c>
      <c r="K10" s="102">
        <f t="shared" si="4"/>
        <v>0.72069370958259849</v>
      </c>
      <c r="L10" s="107">
        <f t="shared" si="5"/>
        <v>-9.7452478933960363E-2</v>
      </c>
      <c r="M10" s="108">
        <f t="shared" si="6"/>
        <v>88.088622754491013</v>
      </c>
      <c r="N10" s="102">
        <f t="shared" si="7"/>
        <v>0.35439329805996483</v>
      </c>
      <c r="O10" s="107">
        <f t="shared" si="8"/>
        <v>-8.1624730550656388E-2</v>
      </c>
      <c r="P10" s="108">
        <f t="shared" si="9"/>
        <v>81.279505617977549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0.65802469135802477</v>
      </c>
      <c r="C11" s="236">
        <f t="shared" si="11"/>
        <v>-0.11113070742700371</v>
      </c>
      <c r="D11" s="237">
        <f t="shared" si="12"/>
        <v>85.551592356687905</v>
      </c>
      <c r="E11" s="235">
        <f>AVERAGE(E7:E10)</f>
        <v>0.70992247207524983</v>
      </c>
      <c r="F11" s="236">
        <f t="shared" si="13"/>
        <v>-0.10822371644130901</v>
      </c>
      <c r="G11" s="237">
        <f t="shared" si="14"/>
        <v>86.772080838323348</v>
      </c>
      <c r="H11" s="235">
        <f>AVERAGE(H7:H10)</f>
        <v>0.79742408877131099</v>
      </c>
      <c r="I11" s="236">
        <f t="shared" si="2"/>
        <v>-8.4410126396237573E-2</v>
      </c>
      <c r="J11" s="237">
        <f t="shared" si="3"/>
        <v>90.427891666666653</v>
      </c>
      <c r="K11" s="235">
        <f>AVERAGE(K7:K10)</f>
        <v>0.71458348030570251</v>
      </c>
      <c r="L11" s="236">
        <f t="shared" si="5"/>
        <v>-0.10356270821085634</v>
      </c>
      <c r="M11" s="237">
        <f t="shared" si="6"/>
        <v>87.341784431137725</v>
      </c>
      <c r="N11" s="235">
        <f>AVERAGE(N7:N10)</f>
        <v>0.37170561434450328</v>
      </c>
      <c r="O11" s="236">
        <f t="shared" si="8"/>
        <v>-6.4312414266117945E-2</v>
      </c>
      <c r="P11" s="237">
        <f t="shared" si="9"/>
        <v>85.250056179775285</v>
      </c>
      <c r="Q11" s="109"/>
    </row>
    <row r="12" spans="1:19" s="96" customFormat="1" ht="15.75" x14ac:dyDescent="0.25">
      <c r="A12" s="110" t="s">
        <v>24</v>
      </c>
      <c r="B12" s="102">
        <f>B25*$B$32/100/$B$33</f>
        <v>1.1605210562414268</v>
      </c>
      <c r="C12" s="107">
        <f t="shared" si="11"/>
        <v>0.39136565745639829</v>
      </c>
      <c r="D12" s="108">
        <f t="shared" si="12"/>
        <v>150.88252101910828</v>
      </c>
      <c r="E12" s="102">
        <f>E25*$B$32/100/$B$33</f>
        <v>1.203518484224966</v>
      </c>
      <c r="F12" s="107">
        <f t="shared" si="13"/>
        <v>0.38537229570840714</v>
      </c>
      <c r="G12" s="108">
        <f t="shared" si="14"/>
        <v>147.10310958083838</v>
      </c>
      <c r="H12" s="102">
        <f>H25*$B$32/100/$B$33</f>
        <v>1.3447957475994516</v>
      </c>
      <c r="I12" s="107">
        <f t="shared" si="2"/>
        <v>0.46296153243190308</v>
      </c>
      <c r="J12" s="108">
        <f t="shared" si="3"/>
        <v>152.4998377777778</v>
      </c>
      <c r="K12" s="102">
        <f>K25*$B$32/100/$B$33</f>
        <v>1.0990961591220851</v>
      </c>
      <c r="L12" s="107">
        <f t="shared" si="5"/>
        <v>0.28094997060552629</v>
      </c>
      <c r="M12" s="108">
        <f t="shared" si="6"/>
        <v>134.33982514970063</v>
      </c>
      <c r="N12" s="102">
        <f>N25*$B$32/100/$B$33</f>
        <v>0.4934466735253773</v>
      </c>
      <c r="O12" s="107">
        <f t="shared" si="8"/>
        <v>5.7428644914756077E-2</v>
      </c>
      <c r="P12" s="108">
        <f t="shared" si="9"/>
        <v>113.17116292134833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1.4096262002743487</v>
      </c>
      <c r="F13" s="107">
        <f t="shared" si="13"/>
        <v>0.59148001175778986</v>
      </c>
      <c r="G13" s="108">
        <f t="shared" si="14"/>
        <v>172.29514970059884</v>
      </c>
      <c r="H13" s="102">
        <f t="shared" ref="H13:H14" si="15">H26*$B$34/$B$33</f>
        <v>1.4704813345091126</v>
      </c>
      <c r="I13" s="107">
        <f t="shared" si="2"/>
        <v>0.588647119341564</v>
      </c>
      <c r="J13" s="108">
        <f t="shared" si="3"/>
        <v>166.75258333333335</v>
      </c>
      <c r="K13" s="102">
        <f t="shared" ref="K13:K14" si="16">K26*$B$34/$B$33</f>
        <v>1.3321742112482855</v>
      </c>
      <c r="L13" s="107">
        <f t="shared" si="5"/>
        <v>0.51402802273172665</v>
      </c>
      <c r="M13" s="108">
        <f t="shared" si="6"/>
        <v>162.82838323353297</v>
      </c>
      <c r="N13" s="102">
        <f t="shared" ref="N13:N14" si="17">N26*$B$34/$B$33</f>
        <v>0.62514819713893788</v>
      </c>
      <c r="O13" s="107">
        <f t="shared" si="8"/>
        <v>0.18913016852831666</v>
      </c>
      <c r="P13" s="108">
        <f t="shared" si="9"/>
        <v>143.37668539325844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1.298980501665687</v>
      </c>
      <c r="F14" s="107">
        <f t="shared" si="13"/>
        <v>0.48083431314912817</v>
      </c>
      <c r="G14" s="108">
        <f t="shared" si="14"/>
        <v>158.77119760479044</v>
      </c>
      <c r="H14" s="102">
        <f t="shared" si="15"/>
        <v>1.3753260337056636</v>
      </c>
      <c r="I14" s="107">
        <f t="shared" si="2"/>
        <v>0.49349181853811508</v>
      </c>
      <c r="J14" s="108">
        <f t="shared" si="3"/>
        <v>155.96197222222224</v>
      </c>
      <c r="K14" s="102">
        <f t="shared" si="16"/>
        <v>1.1993993729178918</v>
      </c>
      <c r="L14" s="107">
        <f t="shared" si="5"/>
        <v>0.38125318440133293</v>
      </c>
      <c r="M14" s="108">
        <f t="shared" si="6"/>
        <v>146.59964071856294</v>
      </c>
      <c r="N14" s="102">
        <f t="shared" si="17"/>
        <v>0.55212203605722132</v>
      </c>
      <c r="O14" s="107">
        <f t="shared" si="8"/>
        <v>0.1161040074466001</v>
      </c>
      <c r="P14" s="108">
        <f t="shared" si="9"/>
        <v>126.6282584269663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1.2639509602194785</v>
      </c>
      <c r="F15" s="119">
        <f t="shared" si="13"/>
        <v>0.44580477170291966</v>
      </c>
      <c r="G15" s="120">
        <f t="shared" si="14"/>
        <v>154.48962275449099</v>
      </c>
      <c r="H15" s="118">
        <f>H28*$B$35/10/$B$33</f>
        <v>1.3249868214775622</v>
      </c>
      <c r="I15" s="119">
        <f t="shared" si="2"/>
        <v>0.44315260631001363</v>
      </c>
      <c r="J15" s="120">
        <f t="shared" si="3"/>
        <v>150.25350555555553</v>
      </c>
      <c r="K15" s="118">
        <f>K28*$B$35/10/$B$33</f>
        <v>1.2715804428767392</v>
      </c>
      <c r="L15" s="119">
        <f t="shared" si="5"/>
        <v>0.45343425436018037</v>
      </c>
      <c r="M15" s="120">
        <f t="shared" si="6"/>
        <v>155.42215568862275</v>
      </c>
      <c r="N15" s="118">
        <f>N28*$B$35/10/$B$33</f>
        <v>0.49337321183617477</v>
      </c>
      <c r="O15" s="119">
        <f t="shared" si="8"/>
        <v>5.7355183225553552E-2</v>
      </c>
      <c r="P15" s="120">
        <f t="shared" si="9"/>
        <v>113.15431460674156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1.57</v>
      </c>
      <c r="C20" s="135" t="s">
        <v>172</v>
      </c>
      <c r="D20" s="136" t="s">
        <v>172</v>
      </c>
      <c r="E20" s="134">
        <v>1.67</v>
      </c>
      <c r="F20" s="135" t="s">
        <v>172</v>
      </c>
      <c r="G20" s="136" t="s">
        <v>172</v>
      </c>
      <c r="H20" s="134">
        <v>1.8</v>
      </c>
      <c r="I20" s="135" t="s">
        <v>172</v>
      </c>
      <c r="J20" s="136" t="s">
        <v>172</v>
      </c>
      <c r="K20" s="134">
        <v>1.67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42.31</v>
      </c>
      <c r="C21" s="144" t="s">
        <v>172</v>
      </c>
      <c r="D21" s="145" t="s">
        <v>172</v>
      </c>
      <c r="E21" s="143">
        <v>46.36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45.82</v>
      </c>
      <c r="L21" s="144" t="s">
        <v>172</v>
      </c>
      <c r="M21" s="145" t="s">
        <v>172</v>
      </c>
      <c r="N21" s="143">
        <v>21.18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41.79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42.24</v>
      </c>
      <c r="C23" s="144" t="s">
        <v>172</v>
      </c>
      <c r="D23" s="145" t="s">
        <v>172</v>
      </c>
      <c r="E23" s="143">
        <v>45.48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41.66</v>
      </c>
      <c r="C24" s="144" t="s">
        <v>172</v>
      </c>
      <c r="D24" s="145" t="s">
        <v>172</v>
      </c>
      <c r="E24" s="143">
        <v>44.5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12.05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1.274</v>
      </c>
      <c r="F26" s="144" t="s">
        <v>172</v>
      </c>
      <c r="G26" s="145" t="s">
        <v>172</v>
      </c>
      <c r="H26" s="153">
        <v>1.329</v>
      </c>
      <c r="I26" s="144" t="s">
        <v>172</v>
      </c>
      <c r="J26" s="145" t="s">
        <v>172</v>
      </c>
      <c r="K26" s="153">
        <v>1.204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1.1739999999999999</v>
      </c>
      <c r="F27" s="144" t="s">
        <v>172</v>
      </c>
      <c r="G27" s="145" t="s">
        <v>172</v>
      </c>
      <c r="H27" s="153">
        <v>1.2430000000000001</v>
      </c>
      <c r="I27" s="144" t="s">
        <v>172</v>
      </c>
      <c r="J27" s="145" t="s">
        <v>172</v>
      </c>
      <c r="K27" s="153">
        <v>1.0840000000000001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4.97</v>
      </c>
      <c r="F28" s="158" t="s">
        <v>172</v>
      </c>
      <c r="G28" s="159" t="s">
        <v>172</v>
      </c>
      <c r="H28" s="234">
        <v>5.21</v>
      </c>
      <c r="I28" s="158" t="s">
        <v>172</v>
      </c>
      <c r="J28" s="159" t="s">
        <v>172</v>
      </c>
      <c r="K28" s="234">
        <v>5</v>
      </c>
      <c r="L28" s="158" t="s">
        <v>172</v>
      </c>
      <c r="M28" s="159" t="s">
        <v>172</v>
      </c>
      <c r="N28" s="234">
        <v>1.94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8.3587000000000007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2.0411999999999999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2.2585000000000002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5.1910999999999996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43737</v>
      </c>
      <c r="E2" s="49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0.76170274309405583</v>
      </c>
      <c r="C6" s="103" t="s">
        <v>172</v>
      </c>
      <c r="D6" s="104" t="s">
        <v>172</v>
      </c>
      <c r="E6" s="102">
        <f>E20/$B$33</f>
        <v>0.8099117774670973</v>
      </c>
      <c r="F6" s="103" t="s">
        <v>172</v>
      </c>
      <c r="G6" s="104" t="s">
        <v>172</v>
      </c>
      <c r="H6" s="102">
        <f>H20/$B$33</f>
        <v>0.87258352215205126</v>
      </c>
      <c r="I6" s="103" t="s">
        <v>172</v>
      </c>
      <c r="J6" s="104" t="s">
        <v>172</v>
      </c>
      <c r="K6" s="102">
        <f>K20/$B$33</f>
        <v>0.8099117774670973</v>
      </c>
      <c r="L6" s="103" t="s">
        <v>172</v>
      </c>
      <c r="M6" s="104" t="s">
        <v>172</v>
      </c>
      <c r="N6" s="102">
        <f>N20/$B$33</f>
        <v>0.42906040592006944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0.65848265921033589</v>
      </c>
      <c r="C7" s="107">
        <f>B7-B$6</f>
        <v>-0.10322008388371995</v>
      </c>
      <c r="D7" s="108">
        <f>B7/B$6*100</f>
        <v>86.448770886075934</v>
      </c>
      <c r="E7" s="102">
        <f t="shared" ref="E7:E10" si="0">E21*$B$36/100/$B$33</f>
        <v>0.72155035433640258</v>
      </c>
      <c r="F7" s="107">
        <f>E7-E$6</f>
        <v>-8.8361423130694727E-2</v>
      </c>
      <c r="G7" s="108">
        <f>E7/E$6*100</f>
        <v>89.089994047619044</v>
      </c>
      <c r="H7" s="102">
        <f t="shared" ref="H7:H10" si="1">H21*$B$36/100/$B$33</f>
        <v>0.79704518150701453</v>
      </c>
      <c r="I7" s="107">
        <f t="shared" ref="I7:I15" si="2">H7-H$6</f>
        <v>-7.5538340645036728E-2</v>
      </c>
      <c r="J7" s="108">
        <f t="shared" ref="J7:J15" si="3">H7/H$6*100</f>
        <v>91.343139226519355</v>
      </c>
      <c r="K7" s="102">
        <f t="shared" ref="K7:K10" si="4">K21*$B$36/100/$B$33</f>
        <v>0.70679313503350516</v>
      </c>
      <c r="L7" s="107">
        <f t="shared" ref="L7:L15" si="5">K7-K$6</f>
        <v>-0.10311864243359214</v>
      </c>
      <c r="M7" s="108">
        <f t="shared" ref="M7:M15" si="6">K7/K$6*100</f>
        <v>87.26791666666665</v>
      </c>
      <c r="N7" s="102">
        <f t="shared" ref="N7:N10" si="7">N21*$B$36/100/$B$33</f>
        <v>0.32900832087933274</v>
      </c>
      <c r="O7" s="107">
        <f t="shared" ref="O7:O15" si="8">N7-N$6</f>
        <v>-0.1000520850407367</v>
      </c>
      <c r="P7" s="108">
        <f t="shared" ref="P7:P15" si="9">N7/N$6*100</f>
        <v>76.681119101123585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0.64916231017692716</v>
      </c>
      <c r="C8" s="107">
        <f t="shared" ref="C8:C12" si="11">B8-B$6</f>
        <v>-0.11254043291712867</v>
      </c>
      <c r="D8" s="108">
        <f t="shared" ref="D8:D12" si="12">B8/B$6*100</f>
        <v>85.225150632911394</v>
      </c>
      <c r="E8" s="102">
        <f t="shared" si="0"/>
        <v>0.69762812515065331</v>
      </c>
      <c r="F8" s="107">
        <f t="shared" ref="F8:F15" si="13">E8-E$6</f>
        <v>-0.11228365231644399</v>
      </c>
      <c r="G8" s="108">
        <f t="shared" ref="G8:G15" si="14">E8/E$6*100</f>
        <v>86.136310714285727</v>
      </c>
      <c r="H8" s="102">
        <f t="shared" si="1"/>
        <v>0.77809380513908311</v>
      </c>
      <c r="I8" s="107">
        <f t="shared" si="2"/>
        <v>-9.4489717012968155E-2</v>
      </c>
      <c r="J8" s="108">
        <f t="shared" si="3"/>
        <v>89.171269613259668</v>
      </c>
      <c r="K8" s="102">
        <f t="shared" si="4"/>
        <v>0.70679313503350516</v>
      </c>
      <c r="L8" s="107">
        <f t="shared" si="5"/>
        <v>-0.10311864243359214</v>
      </c>
      <c r="M8" s="108">
        <f t="shared" si="6"/>
        <v>87.26791666666665</v>
      </c>
      <c r="N8" s="102">
        <f t="shared" si="7"/>
        <v>0.37747413585305883</v>
      </c>
      <c r="O8" s="107">
        <f t="shared" si="8"/>
        <v>-5.1586270067010609E-2</v>
      </c>
      <c r="P8" s="108">
        <f t="shared" si="9"/>
        <v>87.97692134831459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0.65646325025309737</v>
      </c>
      <c r="C9" s="107">
        <f t="shared" si="11"/>
        <v>-0.10523949284095846</v>
      </c>
      <c r="D9" s="108">
        <f t="shared" si="12"/>
        <v>86.183653164556944</v>
      </c>
      <c r="E9" s="102">
        <f t="shared" si="0"/>
        <v>0.70694847418406204</v>
      </c>
      <c r="F9" s="107">
        <f t="shared" si="13"/>
        <v>-0.10296330328303527</v>
      </c>
      <c r="G9" s="108">
        <f t="shared" si="14"/>
        <v>87.287096428571417</v>
      </c>
      <c r="H9" s="102">
        <f t="shared" si="1"/>
        <v>0.77203557826736724</v>
      </c>
      <c r="I9" s="107">
        <f t="shared" si="2"/>
        <v>-0.10054794388468402</v>
      </c>
      <c r="J9" s="108">
        <f t="shared" si="3"/>
        <v>88.47698342541436</v>
      </c>
      <c r="K9" s="102">
        <f t="shared" si="4"/>
        <v>0.70089024731234628</v>
      </c>
      <c r="L9" s="107">
        <f t="shared" si="5"/>
        <v>-0.10902153015475102</v>
      </c>
      <c r="M9" s="108">
        <f t="shared" si="6"/>
        <v>86.539085714285719</v>
      </c>
      <c r="N9" s="102">
        <f t="shared" si="7"/>
        <v>0.41630892349226245</v>
      </c>
      <c r="O9" s="107">
        <f t="shared" si="8"/>
        <v>-1.2751482427806993E-2</v>
      </c>
      <c r="P9" s="108">
        <f t="shared" si="9"/>
        <v>97.02804494382022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0.64838561442414311</v>
      </c>
      <c r="C10" s="107">
        <f t="shared" si="11"/>
        <v>-0.11331712866991273</v>
      </c>
      <c r="D10" s="108">
        <f t="shared" si="12"/>
        <v>85.123182278481011</v>
      </c>
      <c r="E10" s="102">
        <f t="shared" si="0"/>
        <v>0.69296795063394878</v>
      </c>
      <c r="F10" s="107">
        <f t="shared" si="13"/>
        <v>-0.11694382683314852</v>
      </c>
      <c r="G10" s="108">
        <f t="shared" si="14"/>
        <v>85.560917857142854</v>
      </c>
      <c r="H10" s="102">
        <f t="shared" si="1"/>
        <v>0.81537520127271845</v>
      </c>
      <c r="I10" s="107">
        <f t="shared" si="2"/>
        <v>-5.7208320879332808E-2</v>
      </c>
      <c r="J10" s="108">
        <f t="shared" si="3"/>
        <v>93.443799999999996</v>
      </c>
      <c r="K10" s="102">
        <f t="shared" si="4"/>
        <v>0.71657950151858463</v>
      </c>
      <c r="L10" s="107">
        <f t="shared" si="5"/>
        <v>-9.3332275948512677E-2</v>
      </c>
      <c r="M10" s="108">
        <f t="shared" si="6"/>
        <v>88.476241666666681</v>
      </c>
      <c r="N10" s="102">
        <f t="shared" si="7"/>
        <v>0.35137715855951407</v>
      </c>
      <c r="O10" s="107">
        <f t="shared" si="8"/>
        <v>-7.7683247360555374E-2</v>
      </c>
      <c r="P10" s="108">
        <f t="shared" si="9"/>
        <v>81.894566292134826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0.65312345851612585</v>
      </c>
      <c r="C11" s="236">
        <f t="shared" si="11"/>
        <v>-0.10857928457792998</v>
      </c>
      <c r="D11" s="237">
        <f t="shared" si="12"/>
        <v>85.745189240506321</v>
      </c>
      <c r="E11" s="235">
        <f>AVERAGE(E7:E10)</f>
        <v>0.70477372607626665</v>
      </c>
      <c r="F11" s="236">
        <f t="shared" si="13"/>
        <v>-0.10513805139083066</v>
      </c>
      <c r="G11" s="237">
        <f t="shared" si="14"/>
        <v>87.018579761904761</v>
      </c>
      <c r="H11" s="235">
        <f>AVERAGE(H7:H10)</f>
        <v>0.7906374415465458</v>
      </c>
      <c r="I11" s="236">
        <f t="shared" si="2"/>
        <v>-8.1946080605505456E-2</v>
      </c>
      <c r="J11" s="237">
        <f t="shared" si="3"/>
        <v>90.608798066298348</v>
      </c>
      <c r="K11" s="235">
        <f>AVERAGE(K7:K10)</f>
        <v>0.70776400472448531</v>
      </c>
      <c r="L11" s="236">
        <f t="shared" si="5"/>
        <v>-0.102147772742612</v>
      </c>
      <c r="M11" s="237">
        <f t="shared" si="6"/>
        <v>87.387790178571422</v>
      </c>
      <c r="N11" s="235">
        <f>AVERAGE(N7:N10)</f>
        <v>0.36854213469604197</v>
      </c>
      <c r="O11" s="236">
        <f t="shared" si="8"/>
        <v>-6.0518271224027476E-2</v>
      </c>
      <c r="P11" s="237">
        <f t="shared" si="9"/>
        <v>85.895162921348287</v>
      </c>
      <c r="Q11" s="109"/>
    </row>
    <row r="12" spans="1:19" s="96" customFormat="1" ht="15.75" x14ac:dyDescent="0.25">
      <c r="A12" s="110" t="s">
        <v>24</v>
      </c>
      <c r="B12" s="102">
        <f>B25*$B$32/100/$B$33</f>
        <v>1.1760492021404811</v>
      </c>
      <c r="C12" s="107">
        <f t="shared" si="11"/>
        <v>0.41434645904642531</v>
      </c>
      <c r="D12" s="108">
        <f t="shared" si="12"/>
        <v>154.39739620253167</v>
      </c>
      <c r="E12" s="102">
        <f>E25*$B$32/100/$B$33</f>
        <v>1.2196219495733502</v>
      </c>
      <c r="F12" s="107">
        <f t="shared" si="13"/>
        <v>0.40971017210625293</v>
      </c>
      <c r="G12" s="108">
        <f t="shared" si="14"/>
        <v>150.58701250000004</v>
      </c>
      <c r="H12" s="102">
        <f>H25*$B$32/100/$B$33</f>
        <v>1.3627895482813481</v>
      </c>
      <c r="I12" s="107">
        <f t="shared" si="2"/>
        <v>0.49020602612929687</v>
      </c>
      <c r="J12" s="108">
        <f t="shared" si="3"/>
        <v>156.17869392265195</v>
      </c>
      <c r="K12" s="102">
        <f>K25*$B$32/100/$B$33</f>
        <v>1.1138024200935257</v>
      </c>
      <c r="L12" s="107">
        <f t="shared" si="5"/>
        <v>0.3038906426264284</v>
      </c>
      <c r="M12" s="108">
        <f t="shared" si="6"/>
        <v>137.52145000000002</v>
      </c>
      <c r="N12" s="102">
        <f>N25*$B$32/100/$B$33</f>
        <v>0.49133459962396964</v>
      </c>
      <c r="O12" s="107">
        <f t="shared" si="8"/>
        <v>6.2274193703900194E-2</v>
      </c>
      <c r="P12" s="108">
        <f t="shared" si="9"/>
        <v>114.51408539325844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1.4021059634575519</v>
      </c>
      <c r="F13" s="107">
        <f t="shared" si="13"/>
        <v>0.59219418599045459</v>
      </c>
      <c r="G13" s="108">
        <f t="shared" si="14"/>
        <v>173.11835714285715</v>
      </c>
      <c r="H13" s="102">
        <f t="shared" ref="H13:H14" si="15">H26*$B$34/$B$33</f>
        <v>1.4621650195246587</v>
      </c>
      <c r="I13" s="107">
        <f t="shared" si="2"/>
        <v>0.58958149737260745</v>
      </c>
      <c r="J13" s="108">
        <f t="shared" si="3"/>
        <v>167.56734254143643</v>
      </c>
      <c r="K13" s="102">
        <f t="shared" ref="K13:K14" si="16">K26*$B$34/$B$33</f>
        <v>1.3256671648266884</v>
      </c>
      <c r="L13" s="107">
        <f t="shared" si="5"/>
        <v>0.51575538735959114</v>
      </c>
      <c r="M13" s="108">
        <f t="shared" si="6"/>
        <v>163.68044047619048</v>
      </c>
      <c r="N13" s="102">
        <f t="shared" ref="N13:N14" si="17">N26*$B$34/$B$33</f>
        <v>0.61697030323482616</v>
      </c>
      <c r="O13" s="107">
        <f t="shared" si="8"/>
        <v>0.18790989731475671</v>
      </c>
      <c r="P13" s="108">
        <f t="shared" si="9"/>
        <v>143.79567415730335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1.2546882803837438</v>
      </c>
      <c r="F14" s="107">
        <f t="shared" si="13"/>
        <v>0.4447765029166465</v>
      </c>
      <c r="G14" s="108">
        <f t="shared" si="14"/>
        <v>154.91666071428571</v>
      </c>
      <c r="H14" s="102">
        <f t="shared" si="15"/>
        <v>1.3420469073904451</v>
      </c>
      <c r="I14" s="107">
        <f t="shared" si="2"/>
        <v>0.46946338523839382</v>
      </c>
      <c r="J14" s="108">
        <f t="shared" si="3"/>
        <v>153.80154143646411</v>
      </c>
      <c r="K14" s="102">
        <f t="shared" si="16"/>
        <v>1.1826174131032154</v>
      </c>
      <c r="L14" s="107">
        <f t="shared" si="5"/>
        <v>0.37270563563611814</v>
      </c>
      <c r="M14" s="108">
        <f t="shared" si="6"/>
        <v>146.01805357142857</v>
      </c>
      <c r="N14" s="102">
        <f t="shared" si="17"/>
        <v>0.54053150460396271</v>
      </c>
      <c r="O14" s="107">
        <f t="shared" si="8"/>
        <v>0.11147109868389327</v>
      </c>
      <c r="P14" s="108">
        <f t="shared" si="9"/>
        <v>125.98028089887639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1.2387766957527842</v>
      </c>
      <c r="F15" s="119">
        <f t="shared" si="13"/>
        <v>0.42886491828568685</v>
      </c>
      <c r="G15" s="120">
        <f t="shared" si="14"/>
        <v>152.95205357142859</v>
      </c>
      <c r="H15" s="118">
        <f>H28*$B$35/10/$B$33</f>
        <v>1.3163566504362916</v>
      </c>
      <c r="I15" s="119">
        <f t="shared" si="2"/>
        <v>0.44377312828424031</v>
      </c>
      <c r="J15" s="120">
        <f t="shared" si="3"/>
        <v>150.85738121546959</v>
      </c>
      <c r="K15" s="118">
        <f>K28*$B$35/10/$B$33</f>
        <v>1.2537921708528177</v>
      </c>
      <c r="L15" s="119">
        <f t="shared" si="5"/>
        <v>0.44388039338572038</v>
      </c>
      <c r="M15" s="120">
        <f t="shared" si="6"/>
        <v>154.80601785714285</v>
      </c>
      <c r="N15" s="118">
        <f>N28*$B$35/10/$B$33</f>
        <v>0.49050551993443564</v>
      </c>
      <c r="O15" s="119">
        <f t="shared" si="8"/>
        <v>6.1445114014366198E-2</v>
      </c>
      <c r="P15" s="120">
        <f t="shared" si="9"/>
        <v>114.32085393258424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42.39</v>
      </c>
      <c r="C21" s="144" t="s">
        <v>172</v>
      </c>
      <c r="D21" s="145" t="s">
        <v>172</v>
      </c>
      <c r="E21" s="143">
        <v>46.45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45.5</v>
      </c>
      <c r="L21" s="144" t="s">
        <v>172</v>
      </c>
      <c r="M21" s="145" t="s">
        <v>172</v>
      </c>
      <c r="N21" s="143">
        <v>21.18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41.79</v>
      </c>
      <c r="C22" s="144" t="s">
        <v>172</v>
      </c>
      <c r="D22" s="145" t="s">
        <v>172</v>
      </c>
      <c r="E22" s="143">
        <v>44.91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45.5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42.26</v>
      </c>
      <c r="C23" s="144" t="s">
        <v>172</v>
      </c>
      <c r="D23" s="145" t="s">
        <v>172</v>
      </c>
      <c r="E23" s="143">
        <v>45.51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45.12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41.74</v>
      </c>
      <c r="C24" s="144" t="s">
        <v>172</v>
      </c>
      <c r="D24" s="145" t="s">
        <v>172</v>
      </c>
      <c r="E24" s="143">
        <v>44.61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46.13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11.84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1.214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1.149</v>
      </c>
      <c r="F27" s="144" t="s">
        <v>172</v>
      </c>
      <c r="G27" s="145" t="s">
        <v>172</v>
      </c>
      <c r="H27" s="153">
        <v>1.2290000000000001</v>
      </c>
      <c r="I27" s="144" t="s">
        <v>172</v>
      </c>
      <c r="J27" s="145" t="s">
        <v>172</v>
      </c>
      <c r="K27" s="153">
        <v>1.083</v>
      </c>
      <c r="L27" s="144" t="s">
        <v>172</v>
      </c>
      <c r="M27" s="145" t="s">
        <v>172</v>
      </c>
      <c r="N27" s="153">
        <v>0.495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4.95</v>
      </c>
      <c r="F28" s="158" t="s">
        <v>172</v>
      </c>
      <c r="G28" s="159" t="s">
        <v>172</v>
      </c>
      <c r="H28" s="234">
        <v>5.26</v>
      </c>
      <c r="I28" s="158" t="s">
        <v>172</v>
      </c>
      <c r="J28" s="159" t="s">
        <v>172</v>
      </c>
      <c r="K28" s="234">
        <v>5.01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8.6079000000000008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2.0743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2.2650999999999999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5.1910999999999996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3.2222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43745</v>
      </c>
      <c r="E2" s="49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0.7618496552389219</v>
      </c>
      <c r="C6" s="103" t="s">
        <v>172</v>
      </c>
      <c r="D6" s="104" t="s">
        <v>172</v>
      </c>
      <c r="E6" s="102">
        <f>E20/$B$33</f>
        <v>0.81006798784898015</v>
      </c>
      <c r="F6" s="103" t="s">
        <v>172</v>
      </c>
      <c r="G6" s="104" t="s">
        <v>172</v>
      </c>
      <c r="H6" s="102">
        <f>H20/$B$33</f>
        <v>0.872751820242056</v>
      </c>
      <c r="I6" s="103" t="s">
        <v>172</v>
      </c>
      <c r="J6" s="104" t="s">
        <v>172</v>
      </c>
      <c r="K6" s="102">
        <f>K20/$B$33</f>
        <v>0.81006798784898015</v>
      </c>
      <c r="L6" s="103" t="s">
        <v>172</v>
      </c>
      <c r="M6" s="104" t="s">
        <v>172</v>
      </c>
      <c r="N6" s="102">
        <f>N20/$B$33</f>
        <v>0.42914316022951926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0.65319457061574793</v>
      </c>
      <c r="C7" s="107">
        <f>B7-B$6</f>
        <v>-0.10865508462317397</v>
      </c>
      <c r="D7" s="108">
        <f>B7/B$6*100</f>
        <v>85.7379886075949</v>
      </c>
      <c r="E7" s="102">
        <f t="shared" ref="E7:E10" si="0">E21*$B$36/100/$B$33</f>
        <v>0.71603432180915183</v>
      </c>
      <c r="F7" s="107">
        <f>E7-E$6</f>
        <v>-9.4033666039828323E-2</v>
      </c>
      <c r="G7" s="108">
        <f>E7/E$6*100</f>
        <v>88.391879761904761</v>
      </c>
      <c r="H7" s="102">
        <f t="shared" ref="H7:H10" si="1">H21*$B$36/100/$B$33</f>
        <v>0.79027147885626114</v>
      </c>
      <c r="I7" s="107">
        <f t="shared" ref="I7:I15" si="2">H7-H$6</f>
        <v>-8.2480341385794853E-2</v>
      </c>
      <c r="J7" s="108">
        <f t="shared" ref="J7:J15" si="3">H7/H$6*100</f>
        <v>90.54939337016576</v>
      </c>
      <c r="K7" s="102">
        <f t="shared" ref="K7:K10" si="4">K21*$B$36/100/$B$33</f>
        <v>0.70740925791986109</v>
      </c>
      <c r="L7" s="107">
        <f t="shared" ref="L7:L15" si="5">K7-K$6</f>
        <v>-0.10265872992911906</v>
      </c>
      <c r="M7" s="108">
        <f t="shared" ref="M7:M15" si="6">K7/K$6*100</f>
        <v>87.327146428571425</v>
      </c>
      <c r="N7" s="102">
        <f t="shared" ref="N7:N10" si="7">N21*$B$36/100/$B$33</f>
        <v>0.3274443897970008</v>
      </c>
      <c r="O7" s="107">
        <f t="shared" ref="O7:O15" si="8">N7-N$6</f>
        <v>-0.10169877043251846</v>
      </c>
      <c r="P7" s="108">
        <f t="shared" ref="P7:P15" si="9">N7/N$6*100</f>
        <v>76.301901123595499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0.64903605766912587</v>
      </c>
      <c r="C8" s="107">
        <f t="shared" ref="C8:C12" si="11">B8-B$6</f>
        <v>-0.11281359756979603</v>
      </c>
      <c r="D8" s="108">
        <f t="shared" ref="D8:D12" si="12">B8/B$6*100</f>
        <v>85.192144303797463</v>
      </c>
      <c r="E8" s="102">
        <f t="shared" si="0"/>
        <v>0.69739802304836296</v>
      </c>
      <c r="F8" s="107">
        <f t="shared" ref="F8:F15" si="13">E8-E$6</f>
        <v>-0.11266996480061719</v>
      </c>
      <c r="G8" s="108">
        <f t="shared" ref="G8:G15" si="14">E8/E$6*100</f>
        <v>86.091295238095228</v>
      </c>
      <c r="H8" s="102">
        <f t="shared" si="1"/>
        <v>0.77148116109744924</v>
      </c>
      <c r="I8" s="107">
        <f t="shared" si="2"/>
        <v>-0.10127065914460676</v>
      </c>
      <c r="J8" s="108">
        <f t="shared" si="3"/>
        <v>88.396396685082877</v>
      </c>
      <c r="K8" s="102">
        <f t="shared" si="4"/>
        <v>0.70402083996335396</v>
      </c>
      <c r="L8" s="107">
        <f t="shared" si="5"/>
        <v>-0.10604714788562619</v>
      </c>
      <c r="M8" s="108">
        <f t="shared" si="6"/>
        <v>86.908858333333328</v>
      </c>
      <c r="N8" s="102">
        <f t="shared" si="7"/>
        <v>0.37426616519600753</v>
      </c>
      <c r="O8" s="107">
        <f t="shared" si="8"/>
        <v>-5.4876995033511733E-2</v>
      </c>
      <c r="P8" s="108">
        <f t="shared" si="9"/>
        <v>87.212426966292128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0.65442672259993251</v>
      </c>
      <c r="C9" s="107">
        <f t="shared" si="11"/>
        <v>-0.10742293263898939</v>
      </c>
      <c r="D9" s="108">
        <f t="shared" si="12"/>
        <v>85.89972025316456</v>
      </c>
      <c r="E9" s="102">
        <f t="shared" si="0"/>
        <v>0.70448289695742317</v>
      </c>
      <c r="F9" s="107">
        <f t="shared" si="13"/>
        <v>-0.10558509089155699</v>
      </c>
      <c r="G9" s="108">
        <f t="shared" si="14"/>
        <v>86.96589761904761</v>
      </c>
      <c r="H9" s="102">
        <f t="shared" si="1"/>
        <v>0.76547442017455036</v>
      </c>
      <c r="I9" s="107">
        <f t="shared" si="2"/>
        <v>-0.10727740006750563</v>
      </c>
      <c r="J9" s="108">
        <f t="shared" si="3"/>
        <v>87.708143646408843</v>
      </c>
      <c r="K9" s="102">
        <f t="shared" si="4"/>
        <v>0.6970899850523169</v>
      </c>
      <c r="L9" s="107">
        <f t="shared" si="5"/>
        <v>-0.11297800279666326</v>
      </c>
      <c r="M9" s="108">
        <f t="shared" si="6"/>
        <v>86.053269047619054</v>
      </c>
      <c r="N9" s="102">
        <f t="shared" si="7"/>
        <v>0.41277091470176963</v>
      </c>
      <c r="O9" s="107">
        <f t="shared" si="8"/>
        <v>-1.6372245527749629E-2</v>
      </c>
      <c r="P9" s="108">
        <f t="shared" si="9"/>
        <v>96.184898876404503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0.64287529774820384</v>
      </c>
      <c r="C10" s="107">
        <f t="shared" si="11"/>
        <v>-0.11897435749071805</v>
      </c>
      <c r="D10" s="108">
        <f t="shared" si="12"/>
        <v>84.383486075949349</v>
      </c>
      <c r="E10" s="102">
        <f t="shared" si="0"/>
        <v>0.68784884517093381</v>
      </c>
      <c r="F10" s="107">
        <f t="shared" si="13"/>
        <v>-0.12221914267804634</v>
      </c>
      <c r="G10" s="108">
        <f t="shared" si="14"/>
        <v>84.912483333333313</v>
      </c>
      <c r="H10" s="102">
        <f t="shared" si="1"/>
        <v>0.80844572062298081</v>
      </c>
      <c r="I10" s="107">
        <f t="shared" si="2"/>
        <v>-6.4306099619075185E-2</v>
      </c>
      <c r="J10" s="108">
        <f t="shared" si="3"/>
        <v>92.631799999999998</v>
      </c>
      <c r="K10" s="102">
        <f t="shared" si="4"/>
        <v>0.71095169487439114</v>
      </c>
      <c r="L10" s="107">
        <f t="shared" si="5"/>
        <v>-9.9116292974589015E-2</v>
      </c>
      <c r="M10" s="108">
        <f t="shared" si="6"/>
        <v>87.764447619047615</v>
      </c>
      <c r="N10" s="102">
        <f t="shared" si="7"/>
        <v>0.34839097352813536</v>
      </c>
      <c r="O10" s="107">
        <f t="shared" si="8"/>
        <v>-8.0752186701383899E-2</v>
      </c>
      <c r="P10" s="108">
        <f t="shared" si="9"/>
        <v>81.182925842696619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0.64988316215825248</v>
      </c>
      <c r="C11" s="236">
        <f t="shared" si="11"/>
        <v>-0.11196649308066942</v>
      </c>
      <c r="D11" s="237">
        <f t="shared" si="12"/>
        <v>85.303334810126557</v>
      </c>
      <c r="E11" s="235">
        <f>AVERAGE(E7:E10)</f>
        <v>0.70144102174646794</v>
      </c>
      <c r="F11" s="236">
        <f t="shared" si="13"/>
        <v>-0.10862696610251221</v>
      </c>
      <c r="G11" s="237">
        <f t="shared" si="14"/>
        <v>86.590388988095242</v>
      </c>
      <c r="H11" s="235">
        <f>AVERAGE(H7:H10)</f>
        <v>0.78391819518781036</v>
      </c>
      <c r="I11" s="236">
        <f t="shared" si="2"/>
        <v>-8.8833625054245635E-2</v>
      </c>
      <c r="J11" s="237">
        <f t="shared" si="3"/>
        <v>89.821433425414369</v>
      </c>
      <c r="K11" s="235">
        <f>AVERAGE(K7:K10)</f>
        <v>0.70486794445248069</v>
      </c>
      <c r="L11" s="236">
        <f t="shared" si="5"/>
        <v>-0.10520004339649947</v>
      </c>
      <c r="M11" s="237">
        <f t="shared" si="6"/>
        <v>87.013430357142838</v>
      </c>
      <c r="N11" s="235">
        <f>AVERAGE(N7:N10)</f>
        <v>0.3657181108057283</v>
      </c>
      <c r="O11" s="236">
        <f t="shared" si="8"/>
        <v>-6.3425049423790958E-2</v>
      </c>
      <c r="P11" s="237">
        <f t="shared" si="9"/>
        <v>85.220538202247184</v>
      </c>
      <c r="Q11" s="109"/>
    </row>
    <row r="12" spans="1:19" s="96" customFormat="1" ht="15.75" x14ac:dyDescent="0.25">
      <c r="A12" s="110" t="s">
        <v>24</v>
      </c>
      <c r="B12" s="102">
        <f>B25*$B$32/100/$B$33</f>
        <v>1.1530317373065238</v>
      </c>
      <c r="C12" s="107">
        <f t="shared" si="11"/>
        <v>0.39118208206760186</v>
      </c>
      <c r="D12" s="108">
        <f t="shared" si="12"/>
        <v>151.34636202531641</v>
      </c>
      <c r="E12" s="102">
        <f>E25*$B$32/100/$B$33</f>
        <v>1.1957516852307244</v>
      </c>
      <c r="F12" s="107">
        <f t="shared" si="13"/>
        <v>0.38568369738174424</v>
      </c>
      <c r="G12" s="108">
        <f t="shared" si="14"/>
        <v>147.61127499999998</v>
      </c>
      <c r="H12" s="102">
        <f>H25*$B$32/100/$B$33</f>
        <v>1.3361172284102416</v>
      </c>
      <c r="I12" s="107">
        <f t="shared" si="2"/>
        <v>0.46336540816818561</v>
      </c>
      <c r="J12" s="108">
        <f t="shared" si="3"/>
        <v>153.0924596685083</v>
      </c>
      <c r="K12" s="102">
        <f>K25*$B$32/100/$B$33</f>
        <v>1.0920032402719513</v>
      </c>
      <c r="L12" s="107">
        <f t="shared" si="5"/>
        <v>0.28193525242297113</v>
      </c>
      <c r="M12" s="108">
        <f t="shared" si="6"/>
        <v>134.8039</v>
      </c>
      <c r="N12" s="102">
        <f>N25*$B$32/100/$B$33</f>
        <v>0.48009084333863733</v>
      </c>
      <c r="O12" s="107">
        <f t="shared" si="8"/>
        <v>5.0947683109118069E-2</v>
      </c>
      <c r="P12" s="108">
        <f t="shared" si="9"/>
        <v>111.87195505617977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1.4098677853319834</v>
      </c>
      <c r="F13" s="107">
        <f t="shared" si="13"/>
        <v>0.59979979748300327</v>
      </c>
      <c r="G13" s="108">
        <f t="shared" si="14"/>
        <v>174.0431428571429</v>
      </c>
      <c r="H13" s="102">
        <f t="shared" ref="H13:H14" si="15">H26*$B$34/$B$33</f>
        <v>1.470259318192777</v>
      </c>
      <c r="I13" s="107">
        <f t="shared" si="2"/>
        <v>0.597507497950721</v>
      </c>
      <c r="J13" s="108">
        <f t="shared" si="3"/>
        <v>168.46247513812156</v>
      </c>
      <c r="K13" s="102">
        <f t="shared" ref="K13:K14" si="16">K26*$B$34/$B$33</f>
        <v>1.3330058344182458</v>
      </c>
      <c r="L13" s="107">
        <f t="shared" si="5"/>
        <v>0.52293784656926567</v>
      </c>
      <c r="M13" s="108">
        <f t="shared" si="6"/>
        <v>164.55480952380955</v>
      </c>
      <c r="N13" s="102">
        <f t="shared" ref="N13:N14" si="17">N26*$B$34/$B$33</f>
        <v>0.62038574666088042</v>
      </c>
      <c r="O13" s="107">
        <f t="shared" si="8"/>
        <v>0.19124258643136116</v>
      </c>
      <c r="P13" s="108">
        <f t="shared" si="9"/>
        <v>144.56382022471911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1.2616340228554896</v>
      </c>
      <c r="F14" s="107">
        <f t="shared" si="13"/>
        <v>0.45156603500650949</v>
      </c>
      <c r="G14" s="108">
        <f t="shared" si="14"/>
        <v>155.74421428571429</v>
      </c>
      <c r="H14" s="102">
        <f t="shared" si="15"/>
        <v>1.3494762524711896</v>
      </c>
      <c r="I14" s="107">
        <f t="shared" si="2"/>
        <v>0.47672443222913363</v>
      </c>
      <c r="J14" s="108">
        <f t="shared" si="3"/>
        <v>154.62313812154699</v>
      </c>
      <c r="K14" s="102">
        <f t="shared" si="16"/>
        <v>1.1913602391629297</v>
      </c>
      <c r="L14" s="107">
        <f t="shared" si="5"/>
        <v>0.3812922513139495</v>
      </c>
      <c r="M14" s="108">
        <f t="shared" si="6"/>
        <v>147.06916666666666</v>
      </c>
      <c r="N14" s="102">
        <f t="shared" si="17"/>
        <v>0.52375929408361066</v>
      </c>
      <c r="O14" s="107">
        <f t="shared" si="8"/>
        <v>9.46161338540914E-2</v>
      </c>
      <c r="P14" s="108">
        <f t="shared" si="9"/>
        <v>122.04768539325845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1.2551027050484593</v>
      </c>
      <c r="F15" s="119">
        <f t="shared" si="13"/>
        <v>0.44503471719947918</v>
      </c>
      <c r="G15" s="120">
        <f t="shared" si="14"/>
        <v>154.93794642857142</v>
      </c>
      <c r="H15" s="118">
        <f>H28*$B$35/10/$B$33</f>
        <v>1.3260984136168572</v>
      </c>
      <c r="I15" s="119">
        <f t="shared" si="2"/>
        <v>0.45334659337480121</v>
      </c>
      <c r="J15" s="120">
        <f t="shared" si="3"/>
        <v>151.94450276243094</v>
      </c>
      <c r="K15" s="118">
        <f>K28*$B$35/10/$B$33</f>
        <v>1.2677805101499589</v>
      </c>
      <c r="L15" s="119">
        <f t="shared" si="5"/>
        <v>0.4577125223009787</v>
      </c>
      <c r="M15" s="120">
        <f t="shared" si="6"/>
        <v>156.50297619047618</v>
      </c>
      <c r="N15" s="118">
        <f>N28*$B$35/10/$B$33</f>
        <v>0.4944343989584839</v>
      </c>
      <c r="O15" s="119">
        <f t="shared" si="8"/>
        <v>6.529123872896464E-2</v>
      </c>
      <c r="P15" s="120">
        <f t="shared" si="9"/>
        <v>115.2143258426966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42.41</v>
      </c>
      <c r="C21" s="144" t="s">
        <v>172</v>
      </c>
      <c r="D21" s="145" t="s">
        <v>172</v>
      </c>
      <c r="E21" s="143">
        <v>46.49</v>
      </c>
      <c r="F21" s="144" t="s">
        <v>172</v>
      </c>
      <c r="G21" s="145" t="s">
        <v>172</v>
      </c>
      <c r="H21" s="143">
        <v>51.31</v>
      </c>
      <c r="I21" s="144" t="s">
        <v>172</v>
      </c>
      <c r="J21" s="145" t="s">
        <v>172</v>
      </c>
      <c r="K21" s="143">
        <v>45.93</v>
      </c>
      <c r="L21" s="144" t="s">
        <v>172</v>
      </c>
      <c r="M21" s="145" t="s">
        <v>172</v>
      </c>
      <c r="N21" s="143">
        <v>21.26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42.14</v>
      </c>
      <c r="C22" s="144" t="s">
        <v>172</v>
      </c>
      <c r="D22" s="145" t="s">
        <v>172</v>
      </c>
      <c r="E22" s="143">
        <v>45.28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45.71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42.49</v>
      </c>
      <c r="C23" s="144" t="s">
        <v>172</v>
      </c>
      <c r="D23" s="145" t="s">
        <v>172</v>
      </c>
      <c r="E23" s="143">
        <v>45.74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45.26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41.74</v>
      </c>
      <c r="C24" s="144" t="s">
        <v>172</v>
      </c>
      <c r="D24" s="145" t="s">
        <v>172</v>
      </c>
      <c r="E24" s="143">
        <v>44.66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46.16</v>
      </c>
      <c r="L24" s="144" t="s">
        <v>172</v>
      </c>
      <c r="M24" s="145" t="s">
        <v>172</v>
      </c>
      <c r="N24" s="143">
        <v>22.62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11.8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1.284</v>
      </c>
      <c r="F26" s="144" t="s">
        <v>172</v>
      </c>
      <c r="G26" s="145" t="s">
        <v>172</v>
      </c>
      <c r="H26" s="153">
        <v>1.339</v>
      </c>
      <c r="I26" s="144" t="s">
        <v>172</v>
      </c>
      <c r="J26" s="145" t="s">
        <v>172</v>
      </c>
      <c r="K26" s="153">
        <v>1.214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1.149</v>
      </c>
      <c r="F27" s="144" t="s">
        <v>172</v>
      </c>
      <c r="G27" s="145" t="s">
        <v>172</v>
      </c>
      <c r="H27" s="153">
        <v>1.2290000000000001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0.47699999999999998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4.95</v>
      </c>
      <c r="F28" s="158" t="s">
        <v>172</v>
      </c>
      <c r="G28" s="159" t="s">
        <v>172</v>
      </c>
      <c r="H28" s="234">
        <v>5.23</v>
      </c>
      <c r="I28" s="158" t="s">
        <v>172</v>
      </c>
      <c r="J28" s="159" t="s">
        <v>172</v>
      </c>
      <c r="K28" s="234">
        <v>5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8.4377999999999993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2.0739000000000001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2.2772000000000001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5.2584999999999997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3.1941999999999999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43752</v>
      </c>
      <c r="E2" s="49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0.77054376981224093</v>
      </c>
      <c r="C6" s="103" t="s">
        <v>172</v>
      </c>
      <c r="D6" s="104" t="s">
        <v>172</v>
      </c>
      <c r="E6" s="102">
        <f>E20/$B$33</f>
        <v>0.81931236283833209</v>
      </c>
      <c r="F6" s="103" t="s">
        <v>172</v>
      </c>
      <c r="G6" s="104" t="s">
        <v>172</v>
      </c>
      <c r="H6" s="102">
        <f>H20/$B$33</f>
        <v>0.88271153377225076</v>
      </c>
      <c r="I6" s="103" t="s">
        <v>172</v>
      </c>
      <c r="J6" s="104" t="s">
        <v>172</v>
      </c>
      <c r="K6" s="102">
        <f>K20/$B$33</f>
        <v>0.81931236283833209</v>
      </c>
      <c r="L6" s="103" t="s">
        <v>172</v>
      </c>
      <c r="M6" s="104" t="s">
        <v>172</v>
      </c>
      <c r="N6" s="102">
        <f>N20/$B$33</f>
        <v>0.43404047793221168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0.66021313825896122</v>
      </c>
      <c r="C7" s="107">
        <f>B7-B$6</f>
        <v>-0.11033063155327971</v>
      </c>
      <c r="D7" s="108">
        <f>B7/B$6*100</f>
        <v>85.681458227848097</v>
      </c>
      <c r="E7" s="102">
        <f t="shared" ref="E7:E10" si="0">E21*$B$36/100/$B$33</f>
        <v>0.72391381614240424</v>
      </c>
      <c r="F7" s="107">
        <f>E7-E$6</f>
        <v>-9.5398546695927844E-2</v>
      </c>
      <c r="G7" s="108">
        <f>E7/E$6*100</f>
        <v>88.356266666666656</v>
      </c>
      <c r="H7" s="102">
        <f t="shared" ref="H7:H10" si="1">H21*$B$36/100/$B$33</f>
        <v>0.80256624237990737</v>
      </c>
      <c r="I7" s="107">
        <f t="shared" ref="I7:I15" si="2">H7-H$6</f>
        <v>-8.0145291392343387E-2</v>
      </c>
      <c r="J7" s="108">
        <f t="shared" ref="J7:J15" si="3">H7/H$6*100</f>
        <v>90.920556906077337</v>
      </c>
      <c r="K7" s="102">
        <f t="shared" ref="K7:K10" si="4">K21*$B$36/100/$B$33</f>
        <v>0.71488046817849304</v>
      </c>
      <c r="L7" s="107">
        <f t="shared" ref="L7:L15" si="5">K7-K$6</f>
        <v>-0.10443189465983904</v>
      </c>
      <c r="M7" s="108">
        <f t="shared" ref="M7:M15" si="6">K7/K$6*100</f>
        <v>87.253714285714295</v>
      </c>
      <c r="N7" s="102">
        <f t="shared" ref="N7:N10" si="7">N21*$B$36/100/$B$33</f>
        <v>0.33563560107290902</v>
      </c>
      <c r="O7" s="107">
        <f t="shared" ref="O7:O15" si="8">N7-N$6</f>
        <v>-9.8404876859302659E-2</v>
      </c>
      <c r="P7" s="108">
        <f t="shared" ref="P7:P15" si="9">N7/N$6*100</f>
        <v>77.328179775280887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0.65694244330651064</v>
      </c>
      <c r="C8" s="107">
        <f t="shared" ref="C8:C12" si="11">B8-B$6</f>
        <v>-0.11360132650573029</v>
      </c>
      <c r="D8" s="108">
        <f t="shared" ref="D8:D12" si="12">B8/B$6*100</f>
        <v>85.256992405063286</v>
      </c>
      <c r="E8" s="102">
        <f t="shared" si="0"/>
        <v>0.7055356254572055</v>
      </c>
      <c r="F8" s="107">
        <f t="shared" ref="F8:F15" si="13">E8-E$6</f>
        <v>-0.11377673738112659</v>
      </c>
      <c r="G8" s="108">
        <f t="shared" ref="G8:G15" si="14">E8/E$6*100</f>
        <v>86.113142857142861</v>
      </c>
      <c r="H8" s="102">
        <f t="shared" si="1"/>
        <v>0.78013861984881738</v>
      </c>
      <c r="I8" s="107">
        <f t="shared" si="2"/>
        <v>-0.10257291392343337</v>
      </c>
      <c r="J8" s="108">
        <f t="shared" si="3"/>
        <v>88.379792265193373</v>
      </c>
      <c r="K8" s="102">
        <f t="shared" si="4"/>
        <v>0.71238851011948301</v>
      </c>
      <c r="L8" s="107">
        <f t="shared" si="5"/>
        <v>-0.10692385271884908</v>
      </c>
      <c r="M8" s="108">
        <f t="shared" si="6"/>
        <v>86.949561904761907</v>
      </c>
      <c r="N8" s="102">
        <f t="shared" si="7"/>
        <v>0.37846613021214337</v>
      </c>
      <c r="O8" s="107">
        <f t="shared" si="8"/>
        <v>-5.5574347720068307E-2</v>
      </c>
      <c r="P8" s="108">
        <f t="shared" si="9"/>
        <v>87.196044943820212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0.66114762253109005</v>
      </c>
      <c r="C9" s="107">
        <f t="shared" si="11"/>
        <v>-0.10939614728115088</v>
      </c>
      <c r="D9" s="108">
        <f t="shared" si="12"/>
        <v>85.8027341772152</v>
      </c>
      <c r="E9" s="102">
        <f t="shared" si="0"/>
        <v>0.71160977322604246</v>
      </c>
      <c r="F9" s="107">
        <f t="shared" si="13"/>
        <v>-0.10770258961228962</v>
      </c>
      <c r="G9" s="108">
        <f t="shared" si="14"/>
        <v>86.854514285714288</v>
      </c>
      <c r="H9" s="102">
        <f t="shared" si="1"/>
        <v>0.77406447207998053</v>
      </c>
      <c r="I9" s="107">
        <f t="shared" si="2"/>
        <v>-0.10864706169227023</v>
      </c>
      <c r="J9" s="108">
        <f t="shared" si="3"/>
        <v>87.691668508287293</v>
      </c>
      <c r="K9" s="102">
        <f t="shared" si="4"/>
        <v>0.70693735186539874</v>
      </c>
      <c r="L9" s="107">
        <f t="shared" si="5"/>
        <v>-0.11237501097293334</v>
      </c>
      <c r="M9" s="108">
        <f t="shared" si="6"/>
        <v>86.284228571428585</v>
      </c>
      <c r="N9" s="102">
        <f t="shared" si="7"/>
        <v>0.4174029748841746</v>
      </c>
      <c r="O9" s="107">
        <f t="shared" si="8"/>
        <v>-1.6637503048037072E-2</v>
      </c>
      <c r="P9" s="108">
        <f t="shared" si="9"/>
        <v>96.166831460674146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0.65117979029505002</v>
      </c>
      <c r="C10" s="107">
        <f t="shared" si="11"/>
        <v>-0.11936397951719091</v>
      </c>
      <c r="D10" s="108">
        <f t="shared" si="12"/>
        <v>84.509124050632906</v>
      </c>
      <c r="E10" s="102">
        <f t="shared" si="0"/>
        <v>0.69805975128017561</v>
      </c>
      <c r="F10" s="107">
        <f t="shared" si="13"/>
        <v>-0.12125261155815648</v>
      </c>
      <c r="G10" s="108">
        <f t="shared" si="14"/>
        <v>85.200685714285711</v>
      </c>
      <c r="H10" s="102">
        <f t="shared" si="1"/>
        <v>0.81751799073396736</v>
      </c>
      <c r="I10" s="107">
        <f t="shared" si="2"/>
        <v>-6.5193543038283397E-2</v>
      </c>
      <c r="J10" s="108">
        <f t="shared" si="3"/>
        <v>92.614400000000003</v>
      </c>
      <c r="K10" s="102">
        <f t="shared" si="4"/>
        <v>0.72142185808339421</v>
      </c>
      <c r="L10" s="107">
        <f t="shared" si="5"/>
        <v>-9.7890504754937879E-2</v>
      </c>
      <c r="M10" s="108">
        <f t="shared" si="6"/>
        <v>88.052114285714282</v>
      </c>
      <c r="N10" s="102">
        <f t="shared" si="7"/>
        <v>0.35245631797122656</v>
      </c>
      <c r="O10" s="107">
        <f t="shared" si="8"/>
        <v>-8.1584159960985114E-2</v>
      </c>
      <c r="P10" s="108">
        <f t="shared" si="9"/>
        <v>81.203559550561806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0.65737074859790301</v>
      </c>
      <c r="C11" s="236">
        <f t="shared" si="11"/>
        <v>-0.11317302121433792</v>
      </c>
      <c r="D11" s="237">
        <f t="shared" si="12"/>
        <v>85.312577215189876</v>
      </c>
      <c r="E11" s="235">
        <f>AVERAGE(E7:E10)</f>
        <v>0.70977974152645695</v>
      </c>
      <c r="F11" s="236">
        <f t="shared" si="13"/>
        <v>-0.10953262131187513</v>
      </c>
      <c r="G11" s="237">
        <f t="shared" si="14"/>
        <v>86.631152380952386</v>
      </c>
      <c r="H11" s="235">
        <f>AVERAGE(H7:H10)</f>
        <v>0.7935718312606681</v>
      </c>
      <c r="I11" s="236">
        <f t="shared" si="2"/>
        <v>-8.9139702511582652E-2</v>
      </c>
      <c r="J11" s="237">
        <f t="shared" si="3"/>
        <v>89.901604419889495</v>
      </c>
      <c r="K11" s="235">
        <f>AVERAGE(K7:K10)</f>
        <v>0.71390704706169217</v>
      </c>
      <c r="L11" s="236">
        <f t="shared" si="5"/>
        <v>-0.10540531577663992</v>
      </c>
      <c r="M11" s="237">
        <f t="shared" si="6"/>
        <v>87.13490476190475</v>
      </c>
      <c r="N11" s="235">
        <f>AVERAGE(N7:N10)</f>
        <v>0.37099025603511337</v>
      </c>
      <c r="O11" s="236">
        <f t="shared" si="8"/>
        <v>-6.3050221897098302E-2</v>
      </c>
      <c r="P11" s="237">
        <f t="shared" si="9"/>
        <v>85.473653932584256</v>
      </c>
      <c r="Q11" s="109"/>
    </row>
    <row r="12" spans="1:19" s="96" customFormat="1" ht="15.75" x14ac:dyDescent="0.25">
      <c r="A12" s="110" t="s">
        <v>24</v>
      </c>
      <c r="B12" s="102">
        <f>B25*$B$32/100/$B$33</f>
        <v>1.1508486320409657</v>
      </c>
      <c r="C12" s="107">
        <f t="shared" si="11"/>
        <v>0.38030486222872473</v>
      </c>
      <c r="D12" s="108">
        <f t="shared" si="12"/>
        <v>149.35538734177217</v>
      </c>
      <c r="E12" s="102">
        <f>E25*$B$32/100/$B$33</f>
        <v>1.1934876956839797</v>
      </c>
      <c r="F12" s="107">
        <f t="shared" si="13"/>
        <v>0.37417533284564763</v>
      </c>
      <c r="G12" s="108">
        <f t="shared" si="14"/>
        <v>145.66943571428575</v>
      </c>
      <c r="H12" s="102">
        <f>H25*$B$32/100/$B$33</f>
        <v>1.3335874762253113</v>
      </c>
      <c r="I12" s="107">
        <f t="shared" si="2"/>
        <v>0.45087594245306051</v>
      </c>
      <c r="J12" s="108">
        <f t="shared" si="3"/>
        <v>151.07851491712708</v>
      </c>
      <c r="K12" s="102">
        <f>K25*$B$32/100/$B$33</f>
        <v>1.0899356839795173</v>
      </c>
      <c r="L12" s="107">
        <f t="shared" si="5"/>
        <v>0.27062332114118526</v>
      </c>
      <c r="M12" s="108">
        <f t="shared" si="6"/>
        <v>133.03054285714288</v>
      </c>
      <c r="N12" s="102">
        <f>N25*$B$32/100/$B$33</f>
        <v>0.47309056327724947</v>
      </c>
      <c r="O12" s="107">
        <f t="shared" si="8"/>
        <v>3.9050085345037788E-2</v>
      </c>
      <c r="P12" s="108">
        <f t="shared" si="9"/>
        <v>108.99687640449439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1.3815098756400879</v>
      </c>
      <c r="F13" s="107">
        <f t="shared" si="13"/>
        <v>0.56219751280175578</v>
      </c>
      <c r="G13" s="108">
        <f t="shared" si="14"/>
        <v>168.61821428571432</v>
      </c>
      <c r="H13" s="102">
        <f t="shared" ref="H13:H14" si="15">H26*$B$34/$B$33</f>
        <v>1.4421024140453547</v>
      </c>
      <c r="I13" s="107">
        <f t="shared" si="2"/>
        <v>0.55939088027310391</v>
      </c>
      <c r="J13" s="108">
        <f t="shared" si="3"/>
        <v>163.37187845303865</v>
      </c>
      <c r="K13" s="102">
        <f t="shared" ref="K13:K14" si="16">K26*$B$34/$B$33</f>
        <v>1.3264257498171177</v>
      </c>
      <c r="L13" s="107">
        <f t="shared" si="5"/>
        <v>0.50711338697878561</v>
      </c>
      <c r="M13" s="108">
        <f t="shared" si="6"/>
        <v>161.89499999999998</v>
      </c>
      <c r="N13" s="102">
        <f t="shared" ref="N13:N14" si="17">N26*$B$34/$B$33</f>
        <v>0.62245062179956101</v>
      </c>
      <c r="O13" s="107">
        <f t="shared" si="8"/>
        <v>0.18841014386734933</v>
      </c>
      <c r="P13" s="108">
        <f t="shared" si="9"/>
        <v>143.4084269662921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1.2415961960497439</v>
      </c>
      <c r="F14" s="107">
        <f t="shared" si="13"/>
        <v>0.42228383321141183</v>
      </c>
      <c r="G14" s="108">
        <f t="shared" si="14"/>
        <v>151.54124999999999</v>
      </c>
      <c r="H14" s="102">
        <f t="shared" si="15"/>
        <v>1.3319341623994148</v>
      </c>
      <c r="I14" s="107">
        <f t="shared" si="2"/>
        <v>0.449222628627164</v>
      </c>
      <c r="J14" s="108">
        <f t="shared" si="3"/>
        <v>150.89121546961323</v>
      </c>
      <c r="K14" s="102">
        <f t="shared" si="16"/>
        <v>1.1644784198975857</v>
      </c>
      <c r="L14" s="107">
        <f t="shared" si="5"/>
        <v>0.34516605705925363</v>
      </c>
      <c r="M14" s="108">
        <f t="shared" si="6"/>
        <v>142.12874999999997</v>
      </c>
      <c r="N14" s="102">
        <f t="shared" si="17"/>
        <v>0.54973957571324061</v>
      </c>
      <c r="O14" s="107">
        <f t="shared" si="8"/>
        <v>0.11569909778102894</v>
      </c>
      <c r="P14" s="108">
        <f t="shared" si="9"/>
        <v>126.65629213483145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1.2623801999512316</v>
      </c>
      <c r="F15" s="119">
        <f t="shared" si="13"/>
        <v>0.44306783711289954</v>
      </c>
      <c r="G15" s="120">
        <f t="shared" si="14"/>
        <v>154.07801190476192</v>
      </c>
      <c r="H15" s="118">
        <f>H28*$B$35/10/$B$33</f>
        <v>1.323710412094611</v>
      </c>
      <c r="I15" s="119">
        <f t="shared" si="2"/>
        <v>0.44099887832236029</v>
      </c>
      <c r="J15" s="120">
        <f t="shared" si="3"/>
        <v>149.95956906077345</v>
      </c>
      <c r="K15" s="118">
        <f>K28*$B$35/10/$B$33</f>
        <v>1.2700464764691537</v>
      </c>
      <c r="L15" s="119">
        <f t="shared" si="5"/>
        <v>0.45073411363082161</v>
      </c>
      <c r="M15" s="120">
        <f t="shared" si="6"/>
        <v>155.01370833333331</v>
      </c>
      <c r="N15" s="118">
        <f>N28*$B$35/10/$B$33</f>
        <v>0.49319712265301147</v>
      </c>
      <c r="O15" s="119">
        <f t="shared" si="8"/>
        <v>5.9156644720799789E-2</v>
      </c>
      <c r="P15" s="120">
        <f t="shared" si="9"/>
        <v>113.62929213483146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42.39</v>
      </c>
      <c r="C21" s="144" t="s">
        <v>172</v>
      </c>
      <c r="D21" s="145" t="s">
        <v>172</v>
      </c>
      <c r="E21" s="143">
        <v>46.48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45.9</v>
      </c>
      <c r="L21" s="144" t="s">
        <v>172</v>
      </c>
      <c r="M21" s="145" t="s">
        <v>172</v>
      </c>
      <c r="N21" s="143">
        <v>21.55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42.18</v>
      </c>
      <c r="C22" s="144" t="s">
        <v>172</v>
      </c>
      <c r="D22" s="145" t="s">
        <v>172</v>
      </c>
      <c r="E22" s="143">
        <v>45.3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45.74</v>
      </c>
      <c r="L22" s="144" t="s">
        <v>172</v>
      </c>
      <c r="M22" s="145" t="s">
        <v>172</v>
      </c>
      <c r="N22" s="143">
        <v>24.3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42.45</v>
      </c>
      <c r="C23" s="144" t="s">
        <v>172</v>
      </c>
      <c r="D23" s="145" t="s">
        <v>172</v>
      </c>
      <c r="E23" s="143">
        <v>45.69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45.39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41.81</v>
      </c>
      <c r="C24" s="144" t="s">
        <v>172</v>
      </c>
      <c r="D24" s="145" t="s">
        <v>172</v>
      </c>
      <c r="E24" s="143">
        <v>44.82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46.32</v>
      </c>
      <c r="L24" s="144" t="s">
        <v>172</v>
      </c>
      <c r="M24" s="145" t="s">
        <v>172</v>
      </c>
      <c r="N24" s="143">
        <v>22.63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11.65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1.254</v>
      </c>
      <c r="F26" s="144" t="s">
        <v>172</v>
      </c>
      <c r="G26" s="145" t="s">
        <v>172</v>
      </c>
      <c r="H26" s="153">
        <v>1.3089999999999999</v>
      </c>
      <c r="I26" s="144" t="s">
        <v>172</v>
      </c>
      <c r="J26" s="145" t="s">
        <v>172</v>
      </c>
      <c r="K26" s="153">
        <v>1.204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1.127</v>
      </c>
      <c r="F27" s="144" t="s">
        <v>172</v>
      </c>
      <c r="G27" s="145" t="s">
        <v>172</v>
      </c>
      <c r="H27" s="153">
        <v>1.2090000000000001</v>
      </c>
      <c r="I27" s="144" t="s">
        <v>172</v>
      </c>
      <c r="J27" s="145" t="s">
        <v>172</v>
      </c>
      <c r="K27" s="153">
        <v>1.0569999999999999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4.9400000000000004</v>
      </c>
      <c r="F28" s="158" t="s">
        <v>172</v>
      </c>
      <c r="G28" s="159" t="s">
        <v>172</v>
      </c>
      <c r="H28" s="234">
        <v>5.18</v>
      </c>
      <c r="I28" s="158" t="s">
        <v>172</v>
      </c>
      <c r="J28" s="159" t="s">
        <v>172</v>
      </c>
      <c r="K28" s="234">
        <v>4.97</v>
      </c>
      <c r="L28" s="158" t="s">
        <v>172</v>
      </c>
      <c r="M28" s="159" t="s">
        <v>172</v>
      </c>
      <c r="N28" s="234">
        <v>1.93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8.3268000000000004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2.0505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2.2589999999999999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5.2398999999999996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3.1936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43759</v>
      </c>
      <c r="E2" s="49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0.77496566607808515</v>
      </c>
      <c r="C6" s="103" t="s">
        <v>172</v>
      </c>
      <c r="D6" s="104" t="s">
        <v>172</v>
      </c>
      <c r="E6" s="102">
        <f>E20/$B$33</f>
        <v>0.82401412595644485</v>
      </c>
      <c r="F6" s="103" t="s">
        <v>172</v>
      </c>
      <c r="G6" s="104" t="s">
        <v>172</v>
      </c>
      <c r="H6" s="102">
        <f>H20/$B$33</f>
        <v>0.88777712379831264</v>
      </c>
      <c r="I6" s="103" t="s">
        <v>172</v>
      </c>
      <c r="J6" s="104" t="s">
        <v>172</v>
      </c>
      <c r="K6" s="102">
        <f>K20/$B$33</f>
        <v>0.82401412595644485</v>
      </c>
      <c r="L6" s="103" t="s">
        <v>172</v>
      </c>
      <c r="M6" s="104" t="s">
        <v>172</v>
      </c>
      <c r="N6" s="102">
        <f>N20/$B$33</f>
        <v>0.43653129291740239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0.66370264861683337</v>
      </c>
      <c r="C7" s="107">
        <f>B7-B$6</f>
        <v>-0.11126301746125178</v>
      </c>
      <c r="D7" s="108">
        <f>B7/B$6*100</f>
        <v>85.642845569620235</v>
      </c>
      <c r="E7" s="102">
        <f t="shared" ref="E7:E10" si="0">E21*$B$36/100/$B$33</f>
        <v>0.72860288404944096</v>
      </c>
      <c r="F7" s="107">
        <f>E7-E$6</f>
        <v>-9.5411241907003896E-2</v>
      </c>
      <c r="G7" s="108">
        <f>E7/E$6*100</f>
        <v>88.421164285714312</v>
      </c>
      <c r="H7" s="102">
        <f t="shared" ref="H7:H10" si="1">H21*$B$36/100/$B$33</f>
        <v>0.80585762213066514</v>
      </c>
      <c r="I7" s="107">
        <f t="shared" ref="I7:I15" si="2">H7-H$6</f>
        <v>-8.1919501667647499E-2</v>
      </c>
      <c r="J7" s="108">
        <f t="shared" ref="J7:J15" si="3">H7/H$6*100</f>
        <v>90.772514917127083</v>
      </c>
      <c r="K7" s="102">
        <f t="shared" ref="K7:K10" si="4">K21*$B$36/100/$B$33</f>
        <v>0.72078357857563269</v>
      </c>
      <c r="L7" s="107">
        <f t="shared" ref="L7:L15" si="5">K7-K$6</f>
        <v>-0.10323054738081217</v>
      </c>
      <c r="M7" s="108">
        <f t="shared" ref="M7:M15" si="6">K7/K$6*100</f>
        <v>87.472235714285716</v>
      </c>
      <c r="N7" s="102">
        <f t="shared" ref="N7:N10" si="7">N21*$B$36/100/$B$33</f>
        <v>0.33372795762213064</v>
      </c>
      <c r="O7" s="107">
        <f t="shared" ref="O7:O15" si="8">N7-N$6</f>
        <v>-0.10280333529527175</v>
      </c>
      <c r="P7" s="108">
        <f t="shared" ref="P7:P15" si="9">N7/N$6*100</f>
        <v>76.449950561797749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0.65932383755150092</v>
      </c>
      <c r="C8" s="107">
        <f t="shared" ref="C8:C12" si="11">B8-B$6</f>
        <v>-0.11564182852658422</v>
      </c>
      <c r="D8" s="108">
        <f t="shared" ref="D8:D12" si="12">B8/B$6*100</f>
        <v>85.077812658227856</v>
      </c>
      <c r="E8" s="102">
        <f t="shared" si="0"/>
        <v>0.70764714537963502</v>
      </c>
      <c r="F8" s="107">
        <f t="shared" ref="F8:F15" si="13">E8-E$6</f>
        <v>-0.11636698057680983</v>
      </c>
      <c r="G8" s="108">
        <f t="shared" ref="G8:G15" si="14">E8/E$6*100</f>
        <v>85.878035714285716</v>
      </c>
      <c r="H8" s="102">
        <f t="shared" si="1"/>
        <v>0.78333802236609773</v>
      </c>
      <c r="I8" s="107">
        <f t="shared" si="2"/>
        <v>-0.10443910143221491</v>
      </c>
      <c r="J8" s="108">
        <f t="shared" si="3"/>
        <v>88.235887292817694</v>
      </c>
      <c r="K8" s="102">
        <f t="shared" si="4"/>
        <v>0.71687392583872867</v>
      </c>
      <c r="L8" s="107">
        <f t="shared" si="5"/>
        <v>-0.10714020011771619</v>
      </c>
      <c r="M8" s="108">
        <f t="shared" si="6"/>
        <v>86.99777142857144</v>
      </c>
      <c r="N8" s="102">
        <f t="shared" si="7"/>
        <v>0.31511801059446726</v>
      </c>
      <c r="O8" s="107">
        <f t="shared" si="8"/>
        <v>-0.12141328232293513</v>
      </c>
      <c r="P8" s="108">
        <f t="shared" si="9"/>
        <v>72.186808988764028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0.66323349028840495</v>
      </c>
      <c r="C9" s="107">
        <f t="shared" si="11"/>
        <v>-0.1117321757896802</v>
      </c>
      <c r="D9" s="108">
        <f t="shared" si="12"/>
        <v>85.582306329113919</v>
      </c>
      <c r="E9" s="102">
        <f t="shared" si="0"/>
        <v>0.71374620364920538</v>
      </c>
      <c r="F9" s="107">
        <f t="shared" si="13"/>
        <v>-0.11026792230723947</v>
      </c>
      <c r="G9" s="108">
        <f t="shared" si="14"/>
        <v>86.618200000000016</v>
      </c>
      <c r="H9" s="102">
        <f t="shared" si="1"/>
        <v>0.77723896409652737</v>
      </c>
      <c r="I9" s="107">
        <f t="shared" si="2"/>
        <v>-0.11053815970178527</v>
      </c>
      <c r="J9" s="108">
        <f t="shared" si="3"/>
        <v>87.548883977900559</v>
      </c>
      <c r="K9" s="102">
        <f t="shared" si="4"/>
        <v>0.71280788699234832</v>
      </c>
      <c r="L9" s="107">
        <f t="shared" si="5"/>
        <v>-0.11120623896409654</v>
      </c>
      <c r="M9" s="108">
        <f t="shared" si="6"/>
        <v>86.504328571428573</v>
      </c>
      <c r="N9" s="102">
        <f t="shared" si="7"/>
        <v>0.38001824602707474</v>
      </c>
      <c r="O9" s="107">
        <f t="shared" si="8"/>
        <v>-5.6513046890327656E-2</v>
      </c>
      <c r="P9" s="108">
        <f t="shared" si="9"/>
        <v>87.05406741573033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0.65291200706297825</v>
      </c>
      <c r="C10" s="107">
        <f t="shared" si="11"/>
        <v>-0.1220536590151069</v>
      </c>
      <c r="D10" s="108">
        <f t="shared" si="12"/>
        <v>84.250443037974691</v>
      </c>
      <c r="E10" s="102">
        <f t="shared" si="0"/>
        <v>0.69670011771630358</v>
      </c>
      <c r="F10" s="107">
        <f t="shared" si="13"/>
        <v>-0.12731400824014127</v>
      </c>
      <c r="G10" s="108">
        <f t="shared" si="14"/>
        <v>84.54953571428571</v>
      </c>
      <c r="H10" s="102">
        <f t="shared" si="1"/>
        <v>0.8208706886403766</v>
      </c>
      <c r="I10" s="107">
        <f t="shared" si="2"/>
        <v>-6.6906435157936039E-2</v>
      </c>
      <c r="J10" s="108">
        <f t="shared" si="3"/>
        <v>92.4636</v>
      </c>
      <c r="K10" s="102">
        <f t="shared" si="4"/>
        <v>0.73501471453796352</v>
      </c>
      <c r="L10" s="107">
        <f t="shared" si="5"/>
        <v>-8.8999411418481333E-2</v>
      </c>
      <c r="M10" s="108">
        <f t="shared" si="6"/>
        <v>89.199285714285722</v>
      </c>
      <c r="N10" s="102">
        <f t="shared" si="7"/>
        <v>0.3604699823425544</v>
      </c>
      <c r="O10" s="107">
        <f t="shared" si="8"/>
        <v>-7.6061310574847996E-2</v>
      </c>
      <c r="P10" s="108">
        <f t="shared" si="9"/>
        <v>82.575977528089879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0.65979299587992934</v>
      </c>
      <c r="C11" s="236">
        <f t="shared" si="11"/>
        <v>-0.1151726701981558</v>
      </c>
      <c r="D11" s="237">
        <f t="shared" si="12"/>
        <v>85.138351898734172</v>
      </c>
      <c r="E11" s="235">
        <f>AVERAGE(E7:E10)</f>
        <v>0.71167408769864626</v>
      </c>
      <c r="F11" s="236">
        <f t="shared" si="13"/>
        <v>-0.11234003825779859</v>
      </c>
      <c r="G11" s="237">
        <f t="shared" si="14"/>
        <v>86.366733928571435</v>
      </c>
      <c r="H11" s="235">
        <f>AVERAGE(H7:H10)</f>
        <v>0.79682632430841671</v>
      </c>
      <c r="I11" s="236">
        <f t="shared" si="2"/>
        <v>-9.0950799489895928E-2</v>
      </c>
      <c r="J11" s="237">
        <f t="shared" si="3"/>
        <v>89.755221546961337</v>
      </c>
      <c r="K11" s="235">
        <f>AVERAGE(K7:K10)</f>
        <v>0.72137002648616833</v>
      </c>
      <c r="L11" s="236">
        <f t="shared" si="5"/>
        <v>-0.10264409947027653</v>
      </c>
      <c r="M11" s="237">
        <f t="shared" si="6"/>
        <v>87.543405357142873</v>
      </c>
      <c r="N11" s="235">
        <f>AVERAGE(N7:N10)</f>
        <v>0.34733354914655673</v>
      </c>
      <c r="O11" s="236">
        <f t="shared" si="8"/>
        <v>-8.9197743770845661E-2</v>
      </c>
      <c r="P11" s="237">
        <f t="shared" si="9"/>
        <v>79.566701123595493</v>
      </c>
      <c r="Q11" s="109"/>
    </row>
    <row r="12" spans="1:19" s="96" customFormat="1" ht="15.75" x14ac:dyDescent="0.25">
      <c r="A12" s="110" t="s">
        <v>24</v>
      </c>
      <c r="B12" s="102">
        <f>B25*$B$32/100/$B$33</f>
        <v>1.1301249166176182</v>
      </c>
      <c r="C12" s="107">
        <f t="shared" si="11"/>
        <v>0.35515925053953301</v>
      </c>
      <c r="D12" s="108">
        <f t="shared" si="12"/>
        <v>145.82903037974683</v>
      </c>
      <c r="E12" s="102">
        <f>E25*$B$32/100/$B$33</f>
        <v>1.1719961644104375</v>
      </c>
      <c r="F12" s="107">
        <f t="shared" si="13"/>
        <v>0.34798203845399267</v>
      </c>
      <c r="G12" s="108">
        <f t="shared" si="14"/>
        <v>142.23010595238097</v>
      </c>
      <c r="H12" s="102">
        <f>H25*$B$32/100/$B$33</f>
        <v>1.3095731214439867</v>
      </c>
      <c r="I12" s="107">
        <f t="shared" si="2"/>
        <v>0.4217959976456741</v>
      </c>
      <c r="J12" s="108">
        <f t="shared" si="3"/>
        <v>147.5114740331492</v>
      </c>
      <c r="K12" s="102">
        <f>K25*$B$32/100/$B$33</f>
        <v>1.0703088483421621</v>
      </c>
      <c r="L12" s="107">
        <f t="shared" si="5"/>
        <v>0.24629472238571726</v>
      </c>
      <c r="M12" s="108">
        <f t="shared" si="6"/>
        <v>129.88962380952381</v>
      </c>
      <c r="N12" s="102">
        <f>N25*$B$32/100/$B$33</f>
        <v>0.46457146360604273</v>
      </c>
      <c r="O12" s="107">
        <f t="shared" si="8"/>
        <v>2.8040170688640342E-2</v>
      </c>
      <c r="P12" s="108">
        <f t="shared" si="9"/>
        <v>106.42340449438201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1.3727251324308414</v>
      </c>
      <c r="F13" s="107">
        <f t="shared" si="13"/>
        <v>0.54871100647439652</v>
      </c>
      <c r="G13" s="108">
        <f t="shared" si="14"/>
        <v>166.59</v>
      </c>
      <c r="H13" s="102">
        <f t="shared" ref="H13:H14" si="15">H26*$B$34/$B$33</f>
        <v>1.4339081812831074</v>
      </c>
      <c r="I13" s="107">
        <f t="shared" si="2"/>
        <v>0.54613105748479474</v>
      </c>
      <c r="J13" s="108">
        <f t="shared" si="3"/>
        <v>161.51668508287293</v>
      </c>
      <c r="K13" s="102">
        <f t="shared" ref="K13:K14" si="16">K26*$B$34/$B$33</f>
        <v>1.3171041789287814</v>
      </c>
      <c r="L13" s="107">
        <f t="shared" si="5"/>
        <v>0.49309005297233655</v>
      </c>
      <c r="M13" s="108">
        <f t="shared" si="6"/>
        <v>159.84</v>
      </c>
      <c r="N13" s="102">
        <f t="shared" ref="N13:N14" si="17">N26*$B$34/$B$33</f>
        <v>0.62851677457327826</v>
      </c>
      <c r="O13" s="107">
        <f t="shared" si="8"/>
        <v>0.19198548165587587</v>
      </c>
      <c r="P13" s="108">
        <f t="shared" si="9"/>
        <v>143.97977528089885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1.2470217775161858</v>
      </c>
      <c r="F14" s="107">
        <f t="shared" si="13"/>
        <v>0.42300765155974096</v>
      </c>
      <c r="G14" s="108">
        <f t="shared" si="14"/>
        <v>151.33500000000001</v>
      </c>
      <c r="H14" s="102">
        <f t="shared" si="15"/>
        <v>1.3237786933490285</v>
      </c>
      <c r="I14" s="107">
        <f t="shared" si="2"/>
        <v>0.4360015695507159</v>
      </c>
      <c r="J14" s="108">
        <f t="shared" si="3"/>
        <v>149.11160220994472</v>
      </c>
      <c r="K14" s="102">
        <f t="shared" si="16"/>
        <v>1.1925132430841672</v>
      </c>
      <c r="L14" s="107">
        <f t="shared" si="5"/>
        <v>0.36849911712772232</v>
      </c>
      <c r="M14" s="108">
        <f t="shared" si="6"/>
        <v>144.72000000000003</v>
      </c>
      <c r="N14" s="102">
        <f t="shared" si="17"/>
        <v>0.55509711595055911</v>
      </c>
      <c r="O14" s="107">
        <f t="shared" si="8"/>
        <v>0.11856582303315671</v>
      </c>
      <c r="P14" s="108">
        <f t="shared" si="9"/>
        <v>127.16089887640449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1.275208014518344</v>
      </c>
      <c r="F15" s="119">
        <f t="shared" si="13"/>
        <v>0.45119388856189913</v>
      </c>
      <c r="G15" s="120">
        <f t="shared" si="14"/>
        <v>154.7556011904762</v>
      </c>
      <c r="H15" s="118">
        <f>H28*$B$35/10/$B$33</f>
        <v>1.3323456444967627</v>
      </c>
      <c r="I15" s="119">
        <f t="shared" si="2"/>
        <v>0.4445685206984501</v>
      </c>
      <c r="J15" s="120">
        <f t="shared" si="3"/>
        <v>150.076591160221</v>
      </c>
      <c r="K15" s="118">
        <f>K28*$B$35/10/$B$33</f>
        <v>1.2855966745144201</v>
      </c>
      <c r="L15" s="119">
        <f t="shared" si="5"/>
        <v>0.4615825485579752</v>
      </c>
      <c r="M15" s="120">
        <f t="shared" si="6"/>
        <v>156.01633928571428</v>
      </c>
      <c r="N15" s="118">
        <f>N28*$B$35/10/$B$33</f>
        <v>0.50644717480871082</v>
      </c>
      <c r="O15" s="119">
        <f t="shared" si="8"/>
        <v>6.9915881891308429E-2</v>
      </c>
      <c r="P15" s="120">
        <f t="shared" si="9"/>
        <v>116.01623595505615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42.44</v>
      </c>
      <c r="C21" s="144" t="s">
        <v>172</v>
      </c>
      <c r="D21" s="145" t="s">
        <v>172</v>
      </c>
      <c r="E21" s="143">
        <v>46.59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46.09</v>
      </c>
      <c r="L21" s="144" t="s">
        <v>172</v>
      </c>
      <c r="M21" s="145" t="s">
        <v>172</v>
      </c>
      <c r="N21" s="143">
        <v>21.34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42.16</v>
      </c>
      <c r="C22" s="144" t="s">
        <v>172</v>
      </c>
      <c r="D22" s="145" t="s">
        <v>172</v>
      </c>
      <c r="E22" s="143">
        <v>45.25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45.84</v>
      </c>
      <c r="L22" s="144" t="s">
        <v>172</v>
      </c>
      <c r="M22" s="145" t="s">
        <v>172</v>
      </c>
      <c r="N22" s="143">
        <v>20.149999999999999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42.41</v>
      </c>
      <c r="C23" s="144" t="s">
        <v>172</v>
      </c>
      <c r="D23" s="145" t="s">
        <v>172</v>
      </c>
      <c r="E23" s="143">
        <v>45.64</v>
      </c>
      <c r="F23" s="144" t="s">
        <v>172</v>
      </c>
      <c r="G23" s="145" t="s">
        <v>172</v>
      </c>
      <c r="H23" s="143">
        <v>49.7</v>
      </c>
      <c r="I23" s="144" t="s">
        <v>172</v>
      </c>
      <c r="J23" s="145" t="s">
        <v>172</v>
      </c>
      <c r="K23" s="143">
        <v>45.58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41.75</v>
      </c>
      <c r="C24" s="144" t="s">
        <v>172</v>
      </c>
      <c r="D24" s="145" t="s">
        <v>172</v>
      </c>
      <c r="E24" s="143">
        <v>44.55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</v>
      </c>
      <c r="L24" s="144" t="s">
        <v>172</v>
      </c>
      <c r="M24" s="145" t="s">
        <v>172</v>
      </c>
      <c r="N24" s="143">
        <v>23.05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11.65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1.2889999999999999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0.56499999999999995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1.121</v>
      </c>
      <c r="F27" s="144" t="s">
        <v>172</v>
      </c>
      <c r="G27" s="145" t="s">
        <v>172</v>
      </c>
      <c r="H27" s="153">
        <v>1.19</v>
      </c>
      <c r="I27" s="144" t="s">
        <v>172</v>
      </c>
      <c r="J27" s="145" t="s">
        <v>172</v>
      </c>
      <c r="K27" s="153">
        <v>1.0720000000000001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5.13</v>
      </c>
      <c r="I28" s="158" t="s">
        <v>172</v>
      </c>
      <c r="J28" s="159" t="s">
        <v>172</v>
      </c>
      <c r="K28" s="234">
        <v>4.95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8.1302000000000003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2.0388000000000002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2.2679999999999998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5.2950999999999997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3.1884000000000001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43766</v>
      </c>
      <c r="E2" s="493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0.77182355527331348</v>
      </c>
      <c r="C6" s="103" t="s">
        <v>172</v>
      </c>
      <c r="D6" s="104" t="s">
        <v>172</v>
      </c>
      <c r="E6" s="102">
        <f>E20/$B$33</f>
        <v>0.82067314737921937</v>
      </c>
      <c r="F6" s="103" t="s">
        <v>172</v>
      </c>
      <c r="G6" s="104" t="s">
        <v>172</v>
      </c>
      <c r="H6" s="102">
        <f>H20/$B$33</f>
        <v>0.88417761711689713</v>
      </c>
      <c r="I6" s="103" t="s">
        <v>172</v>
      </c>
      <c r="J6" s="104" t="s">
        <v>172</v>
      </c>
      <c r="K6" s="102">
        <f>K20/$B$33</f>
        <v>0.82067314737921937</v>
      </c>
      <c r="L6" s="103" t="s">
        <v>172</v>
      </c>
      <c r="M6" s="104" t="s">
        <v>172</v>
      </c>
      <c r="N6" s="102">
        <f>N20/$B$33</f>
        <v>0.43476136974256269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0.66455444287040211</v>
      </c>
      <c r="C7" s="107">
        <f>B7-B$6</f>
        <v>-0.10726911240291137</v>
      </c>
      <c r="D7" s="108">
        <f>B7/B$6*100</f>
        <v>86.101860759493675</v>
      </c>
      <c r="E7" s="102">
        <f t="shared" ref="E7:E10" si="0">E21*$B$36/100/$B$33</f>
        <v>0.72941194861022907</v>
      </c>
      <c r="F7" s="107">
        <f>E7-E$6</f>
        <v>-9.1261198768990304E-2</v>
      </c>
      <c r="G7" s="108">
        <f>E7/E$6*100</f>
        <v>88.879714285714286</v>
      </c>
      <c r="H7" s="102">
        <f t="shared" ref="H7:H10" si="1">H21*$B$36/100/$B$33</f>
        <v>0.80727228762639835</v>
      </c>
      <c r="I7" s="107">
        <f t="shared" ref="I7:I15" si="2">H7-H$6</f>
        <v>-7.6905329490498775E-2</v>
      </c>
      <c r="J7" s="108">
        <f t="shared" ref="J7:J15" si="3">H7/H$6*100</f>
        <v>91.302049723756909</v>
      </c>
      <c r="K7" s="102">
        <f t="shared" ref="K7:K10" si="4">K21*$B$36/100/$B$33</f>
        <v>0.72204889844169806</v>
      </c>
      <c r="L7" s="107">
        <f t="shared" ref="L7:L15" si="5">K7-K$6</f>
        <v>-9.8624248937521308E-2</v>
      </c>
      <c r="M7" s="108">
        <f t="shared" ref="M7:M15" si="6">K7/K$6*100</f>
        <v>87.982517857142867</v>
      </c>
      <c r="N7" s="102">
        <f t="shared" ref="N7:N10" si="7">N21*$B$36/100/$B$33</f>
        <v>0.33196390015143373</v>
      </c>
      <c r="O7" s="107">
        <f t="shared" ref="O7:O15" si="8">N7-N$6</f>
        <v>-0.10279746959112895</v>
      </c>
      <c r="P7" s="108">
        <f t="shared" ref="P7:P15" si="9">N7/N$6*100</f>
        <v>76.355426966292129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 t="shared" ref="B8:B10" si="10">B22*$B$36/100/$B$33</f>
        <v>0.66079458746519459</v>
      </c>
      <c r="C8" s="107">
        <f t="shared" ref="C8:C12" si="11">B8-B$6</f>
        <v>-0.11102896780811888</v>
      </c>
      <c r="D8" s="108">
        <f t="shared" ref="D8:D12" si="12">B8/B$6*100</f>
        <v>85.614721518987338</v>
      </c>
      <c r="E8" s="102">
        <f t="shared" si="0"/>
        <v>0.70857608323970489</v>
      </c>
      <c r="F8" s="107">
        <f t="shared" ref="F8:F15" si="13">E8-E$6</f>
        <v>-0.11209706413951448</v>
      </c>
      <c r="G8" s="108">
        <f t="shared" ref="G8:G15" si="14">E8/E$6*100</f>
        <v>86.340839285714281</v>
      </c>
      <c r="H8" s="102">
        <f t="shared" si="1"/>
        <v>0.78471315519515417</v>
      </c>
      <c r="I8" s="107">
        <f t="shared" si="2"/>
        <v>-9.9464461921742964E-2</v>
      </c>
      <c r="J8" s="108">
        <f t="shared" si="3"/>
        <v>88.750624309392265</v>
      </c>
      <c r="K8" s="102">
        <f t="shared" si="4"/>
        <v>0.7187590249621415</v>
      </c>
      <c r="L8" s="107">
        <f t="shared" si="5"/>
        <v>-0.10191412241707787</v>
      </c>
      <c r="M8" s="108">
        <f t="shared" si="6"/>
        <v>87.581642857142853</v>
      </c>
      <c r="N8" s="102">
        <f t="shared" si="7"/>
        <v>0.34700332177226323</v>
      </c>
      <c r="O8" s="107">
        <f t="shared" si="8"/>
        <v>-8.7758047970299458E-2</v>
      </c>
      <c r="P8" s="108">
        <f t="shared" si="9"/>
        <v>79.814662921348315</v>
      </c>
      <c r="Q8" s="109" t="s">
        <v>175</v>
      </c>
    </row>
    <row r="9" spans="1:19" s="96" customFormat="1" ht="15.75" x14ac:dyDescent="0.25">
      <c r="A9" s="110" t="s">
        <v>177</v>
      </c>
      <c r="B9" s="102">
        <f t="shared" si="10"/>
        <v>0.66533774607982032</v>
      </c>
      <c r="C9" s="107">
        <f t="shared" si="11"/>
        <v>-0.10648580919349315</v>
      </c>
      <c r="D9" s="108">
        <f t="shared" si="12"/>
        <v>86.203348101265831</v>
      </c>
      <c r="E9" s="102">
        <f t="shared" si="0"/>
        <v>0.71640911533388696</v>
      </c>
      <c r="F9" s="107">
        <f t="shared" si="13"/>
        <v>-0.10426403204533241</v>
      </c>
      <c r="G9" s="108">
        <f t="shared" si="14"/>
        <v>87.295303571428576</v>
      </c>
      <c r="H9" s="102">
        <f t="shared" si="1"/>
        <v>0.7739035709051828</v>
      </c>
      <c r="I9" s="107">
        <f t="shared" si="2"/>
        <v>-0.11027404621171433</v>
      </c>
      <c r="J9" s="108">
        <f t="shared" si="3"/>
        <v>87.528066298342523</v>
      </c>
      <c r="K9" s="102">
        <f t="shared" si="4"/>
        <v>0.71374588442186504</v>
      </c>
      <c r="L9" s="107">
        <f t="shared" si="5"/>
        <v>-0.10692726295735433</v>
      </c>
      <c r="M9" s="108">
        <f t="shared" si="6"/>
        <v>86.970785714285711</v>
      </c>
      <c r="N9" s="102">
        <f t="shared" si="7"/>
        <v>0.38068535977724582</v>
      </c>
      <c r="O9" s="107">
        <f t="shared" si="8"/>
        <v>-5.4076009965316862E-2</v>
      </c>
      <c r="P9" s="108">
        <f t="shared" si="9"/>
        <v>87.561910112359527</v>
      </c>
      <c r="Q9" s="109" t="s">
        <v>175</v>
      </c>
    </row>
    <row r="10" spans="1:19" s="96" customFormat="1" ht="15.75" x14ac:dyDescent="0.25">
      <c r="A10" s="110" t="s">
        <v>178</v>
      </c>
      <c r="B10" s="102">
        <f t="shared" si="10"/>
        <v>0.65625142885056909</v>
      </c>
      <c r="C10" s="107">
        <f t="shared" si="11"/>
        <v>-0.11557212642274439</v>
      </c>
      <c r="D10" s="108">
        <f t="shared" si="12"/>
        <v>85.026094936708859</v>
      </c>
      <c r="E10" s="102">
        <f t="shared" si="0"/>
        <v>0.7019963362805921</v>
      </c>
      <c r="F10" s="107">
        <f t="shared" si="13"/>
        <v>-0.11867681109862727</v>
      </c>
      <c r="G10" s="108">
        <f t="shared" si="14"/>
        <v>85.539089285714297</v>
      </c>
      <c r="H10" s="102">
        <f t="shared" si="1"/>
        <v>0.82231170924722785</v>
      </c>
      <c r="I10" s="107">
        <f t="shared" si="2"/>
        <v>-6.1865907869669279E-2</v>
      </c>
      <c r="J10" s="108">
        <f t="shared" si="3"/>
        <v>93.003</v>
      </c>
      <c r="K10" s="102">
        <f t="shared" si="4"/>
        <v>0.72721869962385821</v>
      </c>
      <c r="L10" s="107">
        <f t="shared" si="5"/>
        <v>-9.3454447755361159E-2</v>
      </c>
      <c r="M10" s="108">
        <f t="shared" si="6"/>
        <v>88.612464285714296</v>
      </c>
      <c r="N10" s="102">
        <f t="shared" si="7"/>
        <v>0.35687294221093252</v>
      </c>
      <c r="O10" s="107">
        <f t="shared" si="8"/>
        <v>-7.7888427531630167E-2</v>
      </c>
      <c r="P10" s="108">
        <f t="shared" si="9"/>
        <v>82.084786516853924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0.6617345513164965</v>
      </c>
      <c r="C11" s="236">
        <f t="shared" si="11"/>
        <v>-0.11008900395681698</v>
      </c>
      <c r="D11" s="237">
        <f t="shared" si="12"/>
        <v>85.736506329113922</v>
      </c>
      <c r="E11" s="235">
        <f>AVERAGE(E7:E10)</f>
        <v>0.71409837086610328</v>
      </c>
      <c r="F11" s="236">
        <f t="shared" si="13"/>
        <v>-0.10657477651311609</v>
      </c>
      <c r="G11" s="237">
        <f t="shared" si="14"/>
        <v>87.01373660714286</v>
      </c>
      <c r="H11" s="235">
        <f>AVERAGE(H7:H10)</f>
        <v>0.79705018074349088</v>
      </c>
      <c r="I11" s="236">
        <f t="shared" si="2"/>
        <v>-8.7127436373406253E-2</v>
      </c>
      <c r="J11" s="237">
        <f t="shared" si="3"/>
        <v>90.145935082872924</v>
      </c>
      <c r="K11" s="235">
        <f>AVERAGE(K7:K10)</f>
        <v>0.72044312686239065</v>
      </c>
      <c r="L11" s="236">
        <f t="shared" si="5"/>
        <v>-0.10023002051682872</v>
      </c>
      <c r="M11" s="237">
        <f t="shared" si="6"/>
        <v>87.786852678571421</v>
      </c>
      <c r="N11" s="235">
        <f>AVERAGE(N7:N10)</f>
        <v>0.35413138097796881</v>
      </c>
      <c r="O11" s="236">
        <f t="shared" si="8"/>
        <v>-8.0629988764593874E-2</v>
      </c>
      <c r="P11" s="237">
        <f t="shared" si="9"/>
        <v>81.45419662921347</v>
      </c>
      <c r="Q11" s="109"/>
    </row>
    <row r="12" spans="1:19" s="96" customFormat="1" ht="15.75" x14ac:dyDescent="0.25">
      <c r="A12" s="110" t="s">
        <v>24</v>
      </c>
      <c r="B12" s="102">
        <f>B25*$B$32/100/$B$33</f>
        <v>1.1300836305016855</v>
      </c>
      <c r="C12" s="107">
        <f t="shared" si="11"/>
        <v>0.358260075228372</v>
      </c>
      <c r="D12" s="108">
        <f t="shared" si="12"/>
        <v>146.41735443037979</v>
      </c>
      <c r="E12" s="102">
        <f>E25*$B$32/100/$B$33</f>
        <v>1.171953348639539</v>
      </c>
      <c r="F12" s="107">
        <f t="shared" si="13"/>
        <v>0.35128020126031967</v>
      </c>
      <c r="G12" s="108">
        <f t="shared" si="14"/>
        <v>142.80391071428573</v>
      </c>
      <c r="H12" s="102">
        <f>H25*$B$32/100/$B$33</f>
        <v>1.309525279663915</v>
      </c>
      <c r="I12" s="107">
        <f t="shared" si="2"/>
        <v>0.42534766254701784</v>
      </c>
      <c r="J12" s="108">
        <f t="shared" si="3"/>
        <v>148.10658563535912</v>
      </c>
      <c r="K12" s="102">
        <f>K25*$B$32/100/$B$33</f>
        <v>1.0702697474476088</v>
      </c>
      <c r="L12" s="107">
        <f t="shared" si="5"/>
        <v>0.24959660006838946</v>
      </c>
      <c r="M12" s="108">
        <f t="shared" si="6"/>
        <v>130.41364285714286</v>
      </c>
      <c r="N12" s="102">
        <f>N25*$B$32/100/$B$33</f>
        <v>0.45857310341458646</v>
      </c>
      <c r="O12" s="107">
        <f t="shared" si="8"/>
        <v>2.3811733672023772E-2</v>
      </c>
      <c r="P12" s="108">
        <f t="shared" si="9"/>
        <v>105.4769662921348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1.3683650041522153</v>
      </c>
      <c r="F13" s="107">
        <f t="shared" si="13"/>
        <v>0.54769185677299592</v>
      </c>
      <c r="G13" s="108">
        <f t="shared" si="14"/>
        <v>166.73690476190478</v>
      </c>
      <c r="H13" s="102">
        <f t="shared" ref="H13:H14" si="15">H26*$B$34/$B$33</f>
        <v>1.4293537198964388</v>
      </c>
      <c r="I13" s="107">
        <f t="shared" si="2"/>
        <v>0.54517610277954165</v>
      </c>
      <c r="J13" s="108">
        <f t="shared" si="3"/>
        <v>161.65911602209943</v>
      </c>
      <c r="K13" s="102">
        <f t="shared" ref="K13:K14" si="16">K26*$B$34/$B$33</f>
        <v>1.3240095745200526</v>
      </c>
      <c r="L13" s="107">
        <f t="shared" si="5"/>
        <v>0.50333642714083326</v>
      </c>
      <c r="M13" s="108">
        <f t="shared" si="6"/>
        <v>161.33214285714283</v>
      </c>
      <c r="N13" s="102">
        <f t="shared" ref="N13:N14" si="17">N26*$B$34/$B$33</f>
        <v>0.60434272873821515</v>
      </c>
      <c r="O13" s="107">
        <f t="shared" si="8"/>
        <v>0.16958135899565246</v>
      </c>
      <c r="P13" s="108">
        <f t="shared" si="9"/>
        <v>139.00561797752812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 t="shared" ref="E14" si="18">E27*$B$34/$B$33</f>
        <v>1.2541497728493967</v>
      </c>
      <c r="F14" s="107">
        <f t="shared" si="13"/>
        <v>0.43347662547017729</v>
      </c>
      <c r="G14" s="108">
        <f t="shared" si="14"/>
        <v>152.81964285714284</v>
      </c>
      <c r="H14" s="102">
        <f t="shared" si="15"/>
        <v>1.3306628889648771</v>
      </c>
      <c r="I14" s="107">
        <f t="shared" si="2"/>
        <v>0.44648527184797993</v>
      </c>
      <c r="J14" s="108">
        <f t="shared" si="3"/>
        <v>150.49723756906076</v>
      </c>
      <c r="K14" s="102">
        <f t="shared" si="16"/>
        <v>1.1998143715499976</v>
      </c>
      <c r="L14" s="107">
        <f t="shared" si="5"/>
        <v>0.37914122417077822</v>
      </c>
      <c r="M14" s="108">
        <f t="shared" si="6"/>
        <v>146.19880952380953</v>
      </c>
      <c r="N14" s="102">
        <f t="shared" si="17"/>
        <v>0.55333398466122807</v>
      </c>
      <c r="O14" s="107">
        <f t="shared" si="8"/>
        <v>0.11857261491866539</v>
      </c>
      <c r="P14" s="108">
        <f t="shared" si="9"/>
        <v>127.27303370786515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1.2718313712080505</v>
      </c>
      <c r="F15" s="119">
        <f t="shared" si="13"/>
        <v>0.45115822382883108</v>
      </c>
      <c r="G15" s="120">
        <f t="shared" si="14"/>
        <v>154.97416666666669</v>
      </c>
      <c r="H15" s="118">
        <f>H28*$B$35/10/$B$33</f>
        <v>1.3496985980167064</v>
      </c>
      <c r="I15" s="119">
        <f t="shared" si="2"/>
        <v>0.46552098089980931</v>
      </c>
      <c r="J15" s="120">
        <f t="shared" si="3"/>
        <v>152.65016574585633</v>
      </c>
      <c r="K15" s="118">
        <f>K28*$B$35/10/$B$33</f>
        <v>1.2874048165697816</v>
      </c>
      <c r="L15" s="119">
        <f t="shared" si="5"/>
        <v>0.46673166919056219</v>
      </c>
      <c r="M15" s="120">
        <f t="shared" si="6"/>
        <v>156.87180952380953</v>
      </c>
      <c r="N15" s="118">
        <f>N28*$B$35/10/$B$33</f>
        <v>0.50354140002930969</v>
      </c>
      <c r="O15" s="119">
        <f t="shared" si="8"/>
        <v>6.8780030286747007E-2</v>
      </c>
      <c r="P15" s="120">
        <f t="shared" si="9"/>
        <v>115.82017977528088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1" t="s">
        <v>214</v>
      </c>
      <c r="X19" s="311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46.56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46.09</v>
      </c>
      <c r="L21" s="144" t="s">
        <v>172</v>
      </c>
      <c r="M21" s="145" t="s">
        <v>172</v>
      </c>
      <c r="N21" s="143">
        <v>21.19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42.18</v>
      </c>
      <c r="C22" s="144" t="s">
        <v>172</v>
      </c>
      <c r="D22" s="145" t="s">
        <v>172</v>
      </c>
      <c r="E22" s="143">
        <v>45.23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45.88</v>
      </c>
      <c r="L22" s="144" t="s">
        <v>172</v>
      </c>
      <c r="M22" s="145" t="s">
        <v>172</v>
      </c>
      <c r="N22" s="143">
        <v>22.15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42.47</v>
      </c>
      <c r="C23" s="144" t="s">
        <v>172</v>
      </c>
      <c r="D23" s="145" t="s">
        <v>172</v>
      </c>
      <c r="E23" s="143">
        <v>45.73</v>
      </c>
      <c r="F23" s="144" t="s">
        <v>172</v>
      </c>
      <c r="G23" s="145" t="s">
        <v>172</v>
      </c>
      <c r="H23" s="143">
        <v>49.4</v>
      </c>
      <c r="I23" s="144" t="s">
        <v>172</v>
      </c>
      <c r="J23" s="145" t="s">
        <v>172</v>
      </c>
      <c r="K23" s="143">
        <v>45.56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41.89</v>
      </c>
      <c r="C24" s="144" t="s">
        <v>172</v>
      </c>
      <c r="D24" s="145" t="s">
        <v>172</v>
      </c>
      <c r="E24" s="143">
        <v>44.81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46.42</v>
      </c>
      <c r="L24" s="144" t="s">
        <v>172</v>
      </c>
      <c r="M24" s="145" t="s">
        <v>172</v>
      </c>
      <c r="N24" s="143">
        <v>22.78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1.2889999999999999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0.54500000000000004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1.131</v>
      </c>
      <c r="F27" s="144" t="s">
        <v>172</v>
      </c>
      <c r="G27" s="145" t="s">
        <v>172</v>
      </c>
      <c r="H27" s="153">
        <v>1.2</v>
      </c>
      <c r="I27" s="144" t="s">
        <v>172</v>
      </c>
      <c r="J27" s="145" t="s">
        <v>172</v>
      </c>
      <c r="K27" s="153">
        <v>1.0820000000000001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4.9000000000000004</v>
      </c>
      <c r="F28" s="158" t="s">
        <v>172</v>
      </c>
      <c r="G28" s="159" t="s">
        <v>172</v>
      </c>
      <c r="H28" s="234">
        <v>5.2</v>
      </c>
      <c r="I28" s="158" t="s">
        <v>172</v>
      </c>
      <c r="J28" s="159" t="s">
        <v>172</v>
      </c>
      <c r="K28" s="234">
        <v>4.96</v>
      </c>
      <c r="L28" s="158" t="s">
        <v>172</v>
      </c>
      <c r="M28" s="159" t="s">
        <v>172</v>
      </c>
      <c r="N28" s="234">
        <v>1.94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05">
        <v>8.1630000000000003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06">
        <v>2.0470999999999999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07">
        <v>2.27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06">
        <v>5.3133999999999997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3.2069999999999999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43773</v>
      </c>
      <c r="E2" s="493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0.76926822143239693</v>
      </c>
      <c r="C6" s="103" t="s">
        <v>172</v>
      </c>
      <c r="D6" s="104" t="s">
        <v>172</v>
      </c>
      <c r="E6" s="102">
        <f>E20/$B$33</f>
        <v>0.81795608354837135</v>
      </c>
      <c r="F6" s="103" t="s">
        <v>172</v>
      </c>
      <c r="G6" s="104" t="s">
        <v>172</v>
      </c>
      <c r="H6" s="102">
        <f>H20/$B$33</f>
        <v>0.8812503042991382</v>
      </c>
      <c r="I6" s="103" t="s">
        <v>172</v>
      </c>
      <c r="J6" s="104" t="s">
        <v>172</v>
      </c>
      <c r="K6" s="102">
        <f>K20/$B$33</f>
        <v>0.81795608354837135</v>
      </c>
      <c r="L6" s="103" t="s">
        <v>172</v>
      </c>
      <c r="M6" s="104" t="s">
        <v>172</v>
      </c>
      <c r="N6" s="102">
        <f>N20/$B$33</f>
        <v>0.43332197283217294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0.66253741662203613</v>
      </c>
      <c r="C7" s="107">
        <f t="shared" ref="C7:C12" si="0">B7-B$6</f>
        <v>-0.10673080481036079</v>
      </c>
      <c r="D7" s="108">
        <f t="shared" ref="D7:D12" si="1">B7/B$6*100</f>
        <v>86.125670886075937</v>
      </c>
      <c r="E7" s="102">
        <f>E21*$B$36/100/$B$33</f>
        <v>0.72675979356346465</v>
      </c>
      <c r="F7" s="107">
        <f t="shared" ref="F7:F15" si="2">E7-E$6</f>
        <v>-9.1196289984906698E-2</v>
      </c>
      <c r="G7" s="108">
        <f t="shared" ref="G7:G15" si="3">E7/E$6*100</f>
        <v>88.850710714285725</v>
      </c>
      <c r="H7" s="102">
        <f>H21*$B$36/100/$B$33</f>
        <v>0.80520172355031894</v>
      </c>
      <c r="I7" s="107">
        <f t="shared" ref="I7:I15" si="4">H7-H$6</f>
        <v>-7.6048580748819261E-2</v>
      </c>
      <c r="J7" s="108">
        <f t="shared" ref="J7:J15" si="5">H7/H$6*100</f>
        <v>91.370376795580128</v>
      </c>
      <c r="K7" s="102">
        <f>K21*$B$36/100/$B$33</f>
        <v>0.72535346414138957</v>
      </c>
      <c r="L7" s="107">
        <f t="shared" ref="L7:L15" si="6">K7-K$6</f>
        <v>-9.2602619406981779E-2</v>
      </c>
      <c r="M7" s="108">
        <f t="shared" ref="M7:M15" si="7">K7/K$6*100</f>
        <v>88.67877857142858</v>
      </c>
      <c r="N7" s="102">
        <f>N21*$B$36/100/$B$33</f>
        <v>0.33470640245386829</v>
      </c>
      <c r="O7" s="107">
        <f t="shared" ref="O7:O15" si="8">N7-N$6</f>
        <v>-9.8615570378304651E-2</v>
      </c>
      <c r="P7" s="108">
        <f t="shared" ref="P7:P15" si="9">N7/N$6*100</f>
        <v>77.241964044943828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0.65753713423243576</v>
      </c>
      <c r="C8" s="107">
        <f t="shared" si="0"/>
        <v>-0.11173108719996117</v>
      </c>
      <c r="D8" s="108">
        <f t="shared" si="1"/>
        <v>85.475665822784791</v>
      </c>
      <c r="E8" s="102">
        <f>E22*$B$36/100/$B$33</f>
        <v>0.70707118165441352</v>
      </c>
      <c r="F8" s="107">
        <f t="shared" si="2"/>
        <v>-0.11088490189395783</v>
      </c>
      <c r="G8" s="108">
        <f t="shared" si="3"/>
        <v>86.443660714285713</v>
      </c>
      <c r="H8" s="102">
        <f>H22*$B$36/100/$B$33</f>
        <v>0.78270045279711775</v>
      </c>
      <c r="I8" s="107">
        <f t="shared" si="4"/>
        <v>-9.8549851502020447E-2</v>
      </c>
      <c r="J8" s="108">
        <f t="shared" si="5"/>
        <v>88.81704198895028</v>
      </c>
      <c r="K8" s="102">
        <f>K22*$B$36/100/$B$33</f>
        <v>0.71738426408296407</v>
      </c>
      <c r="L8" s="107">
        <f t="shared" si="6"/>
        <v>-0.10057181946540728</v>
      </c>
      <c r="M8" s="108">
        <f t="shared" si="7"/>
        <v>87.704496428571431</v>
      </c>
      <c r="N8" s="102">
        <f>N22*$B$36/100/$B$33</f>
        <v>0.35392623788889427</v>
      </c>
      <c r="O8" s="107">
        <f t="shared" si="8"/>
        <v>-7.9395734943278673E-2</v>
      </c>
      <c r="P8" s="108">
        <f t="shared" si="9"/>
        <v>81.677426966292131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0.66410000486878606</v>
      </c>
      <c r="C9" s="107">
        <f t="shared" si="0"/>
        <v>-0.10516821656361086</v>
      </c>
      <c r="D9" s="108">
        <f t="shared" si="1"/>
        <v>86.328797468354409</v>
      </c>
      <c r="E9" s="102">
        <f>E23*$B$36/100/$B$33</f>
        <v>0.72660353473878958</v>
      </c>
      <c r="F9" s="107">
        <f t="shared" si="2"/>
        <v>-9.1352548809581768E-2</v>
      </c>
      <c r="G9" s="108">
        <f t="shared" si="3"/>
        <v>88.831607142857138</v>
      </c>
      <c r="H9" s="102">
        <f>H23*$B$36/100/$B$33</f>
        <v>0.77191859389454198</v>
      </c>
      <c r="I9" s="107">
        <f t="shared" si="4"/>
        <v>-0.10933171040459622</v>
      </c>
      <c r="J9" s="108">
        <f t="shared" si="5"/>
        <v>87.593569060773461</v>
      </c>
      <c r="K9" s="102">
        <f>K23*$B$36/100/$B$33</f>
        <v>0.7128527581673888</v>
      </c>
      <c r="L9" s="107">
        <f t="shared" si="6"/>
        <v>-0.10510332538098255</v>
      </c>
      <c r="M9" s="108">
        <f t="shared" si="7"/>
        <v>87.150492857142865</v>
      </c>
      <c r="N9" s="102">
        <f>N23*$B$36/100/$B$33</f>
        <v>0.37970894396027072</v>
      </c>
      <c r="O9" s="107">
        <f t="shared" si="8"/>
        <v>-5.3613028871902224E-2</v>
      </c>
      <c r="P9" s="108">
        <f t="shared" si="9"/>
        <v>87.627438202247205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0.65566202833633569</v>
      </c>
      <c r="C10" s="107">
        <f t="shared" si="0"/>
        <v>-0.11360619309606124</v>
      </c>
      <c r="D10" s="108">
        <f t="shared" si="1"/>
        <v>85.231913924050616</v>
      </c>
      <c r="E10" s="102">
        <f>E24*$B$36/100/$B$33</f>
        <v>0.7005083110180631</v>
      </c>
      <c r="F10" s="107">
        <f t="shared" si="2"/>
        <v>-0.11744777253030825</v>
      </c>
      <c r="G10" s="108">
        <f t="shared" si="3"/>
        <v>85.641310714285709</v>
      </c>
      <c r="H10" s="102">
        <f>H24*$B$36/100/$B$33</f>
        <v>0.82020257071911973</v>
      </c>
      <c r="I10" s="107">
        <f t="shared" si="4"/>
        <v>-6.1047733580018471E-2</v>
      </c>
      <c r="J10" s="108">
        <f t="shared" si="5"/>
        <v>93.072600000000008</v>
      </c>
      <c r="K10" s="102">
        <f>K24*$B$36/100/$B$33</f>
        <v>0.73129129947903981</v>
      </c>
      <c r="L10" s="107">
        <f t="shared" si="6"/>
        <v>-8.6664784069331535E-2</v>
      </c>
      <c r="M10" s="108">
        <f t="shared" si="7"/>
        <v>89.404714285714277</v>
      </c>
      <c r="N10" s="102">
        <f>N24*$B$36/100/$B$33</f>
        <v>0.35595760260966941</v>
      </c>
      <c r="O10" s="107">
        <f t="shared" si="8"/>
        <v>-7.7364370222503531E-2</v>
      </c>
      <c r="P10" s="108">
        <f t="shared" si="9"/>
        <v>82.146215730337076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0.65995914601489836</v>
      </c>
      <c r="C11" s="236">
        <f t="shared" si="0"/>
        <v>-0.10930907541749857</v>
      </c>
      <c r="D11" s="237">
        <f t="shared" si="1"/>
        <v>85.790512025316431</v>
      </c>
      <c r="E11" s="235">
        <f>AVERAGE(E7:E10)</f>
        <v>0.71523570524368263</v>
      </c>
      <c r="F11" s="236">
        <f t="shared" si="2"/>
        <v>-0.10272037830468872</v>
      </c>
      <c r="G11" s="237">
        <f t="shared" si="3"/>
        <v>87.44182232142856</v>
      </c>
      <c r="H11" s="235">
        <f>AVERAGE(H7:H10)</f>
        <v>0.79500583524027457</v>
      </c>
      <c r="I11" s="236">
        <f t="shared" si="4"/>
        <v>-8.6244469058863626E-2</v>
      </c>
      <c r="J11" s="237">
        <f t="shared" si="5"/>
        <v>90.213396961325969</v>
      </c>
      <c r="K11" s="235">
        <f>AVERAGE(K7:K10)</f>
        <v>0.72172044646769562</v>
      </c>
      <c r="L11" s="236">
        <f t="shared" si="6"/>
        <v>-9.6235637080675729E-2</v>
      </c>
      <c r="M11" s="237">
        <f t="shared" si="7"/>
        <v>88.234620535714299</v>
      </c>
      <c r="N11" s="235">
        <f>AVERAGE(N7:N10)</f>
        <v>0.35607479672817566</v>
      </c>
      <c r="O11" s="236">
        <f t="shared" si="8"/>
        <v>-7.7247176103997284E-2</v>
      </c>
      <c r="P11" s="237">
        <f t="shared" si="9"/>
        <v>82.173261235955053</v>
      </c>
      <c r="Q11" s="109"/>
    </row>
    <row r="12" spans="1:19" s="96" customFormat="1" ht="15.75" x14ac:dyDescent="0.25">
      <c r="A12" s="110" t="s">
        <v>24</v>
      </c>
      <c r="B12" s="102">
        <f>B25*$B$32/100/$B$33</f>
        <v>1.1435484590291638</v>
      </c>
      <c r="C12" s="107">
        <f t="shared" si="0"/>
        <v>0.37428023759676687</v>
      </c>
      <c r="D12" s="108">
        <f t="shared" si="1"/>
        <v>148.65406202531642</v>
      </c>
      <c r="E12" s="102">
        <f>E25*$B$32/100/$B$33</f>
        <v>1.1859170504893128</v>
      </c>
      <c r="F12" s="107">
        <f t="shared" si="2"/>
        <v>0.36796096694094149</v>
      </c>
      <c r="G12" s="108">
        <f t="shared" si="3"/>
        <v>144.98541845238094</v>
      </c>
      <c r="H12" s="102">
        <f>H25*$B$32/100/$B$33</f>
        <v>1.3251281367155168</v>
      </c>
      <c r="I12" s="107">
        <f t="shared" si="4"/>
        <v>0.44387783241637857</v>
      </c>
      <c r="J12" s="108">
        <f t="shared" si="5"/>
        <v>150.36909834254143</v>
      </c>
      <c r="K12" s="102">
        <f>K25*$B$32/100/$B$33</f>
        <v>1.0830218998003798</v>
      </c>
      <c r="L12" s="107">
        <f t="shared" si="6"/>
        <v>0.26506581625200842</v>
      </c>
      <c r="M12" s="108">
        <f t="shared" si="7"/>
        <v>132.40587380952383</v>
      </c>
      <c r="N12" s="102">
        <f>N25*$B$32/100/$B$33</f>
        <v>0.46282642290277032</v>
      </c>
      <c r="O12" s="107">
        <f t="shared" si="8"/>
        <v>2.9504450070597377E-2</v>
      </c>
      <c r="P12" s="108">
        <f t="shared" si="9"/>
        <v>106.80889775280897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1.3768121135400944</v>
      </c>
      <c r="F13" s="107">
        <f t="shared" si="2"/>
        <v>0.55885602999172301</v>
      </c>
      <c r="G13" s="108">
        <f t="shared" si="3"/>
        <v>168.32347619047619</v>
      </c>
      <c r="H13" s="102">
        <f>H26*$B$34/$B$33</f>
        <v>1.4381773211938262</v>
      </c>
      <c r="I13" s="107">
        <f t="shared" si="4"/>
        <v>0.55692701689468804</v>
      </c>
      <c r="J13" s="108">
        <f t="shared" si="5"/>
        <v>163.19737016574584</v>
      </c>
      <c r="K13" s="102">
        <f>K26*$B$34/$B$33</f>
        <v>1.3098682506451138</v>
      </c>
      <c r="L13" s="107">
        <f t="shared" si="6"/>
        <v>0.49191216709674246</v>
      </c>
      <c r="M13" s="108">
        <f t="shared" si="7"/>
        <v>160.13919047619044</v>
      </c>
      <c r="N13" s="102">
        <f>N26*$B$34/$B$33</f>
        <v>0.60807342129607089</v>
      </c>
      <c r="O13" s="107">
        <f t="shared" si="8"/>
        <v>0.17475144846389795</v>
      </c>
      <c r="P13" s="108">
        <f t="shared" si="9"/>
        <v>140.32831460674157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1.2485030429913822</v>
      </c>
      <c r="F14" s="107">
        <f t="shared" si="2"/>
        <v>0.4305469594430108</v>
      </c>
      <c r="G14" s="108">
        <f t="shared" si="3"/>
        <v>152.63692857142857</v>
      </c>
      <c r="H14" s="102">
        <f>H27*$B$34/$B$33</f>
        <v>1.3556132236233507</v>
      </c>
      <c r="I14" s="107">
        <f t="shared" si="4"/>
        <v>0.47436291932421248</v>
      </c>
      <c r="J14" s="108">
        <f t="shared" si="5"/>
        <v>153.82839779005525</v>
      </c>
      <c r="K14" s="102">
        <f>K27*$B$34/$B$33</f>
        <v>1.2150311115438919</v>
      </c>
      <c r="L14" s="107">
        <f t="shared" si="6"/>
        <v>0.39707502799552052</v>
      </c>
      <c r="M14" s="108">
        <f t="shared" si="7"/>
        <v>148.54478571428569</v>
      </c>
      <c r="N14" s="102">
        <f>N27*$B$34/$B$33</f>
        <v>0.56790710355908269</v>
      </c>
      <c r="O14" s="107">
        <f t="shared" si="8"/>
        <v>0.13458513072690975</v>
      </c>
      <c r="P14" s="108">
        <f t="shared" si="9"/>
        <v>131.05892134831461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1.2865113199279421</v>
      </c>
      <c r="F15" s="119">
        <f t="shared" si="2"/>
        <v>0.46855523637957075</v>
      </c>
      <c r="G15" s="120">
        <f t="shared" si="3"/>
        <v>157.28366666666668</v>
      </c>
      <c r="H15" s="118">
        <f>H28*$B$35/10/$B$33</f>
        <v>1.3598765275816738</v>
      </c>
      <c r="I15" s="119">
        <f t="shared" si="4"/>
        <v>0.47862622328253557</v>
      </c>
      <c r="J15" s="120">
        <f t="shared" si="5"/>
        <v>154.31217679558009</v>
      </c>
      <c r="K15" s="118">
        <f>K28*$B$35/10/$B$33</f>
        <v>1.2943718778908417</v>
      </c>
      <c r="L15" s="119">
        <f t="shared" si="6"/>
        <v>0.47641579434247039</v>
      </c>
      <c r="M15" s="120">
        <f t="shared" si="7"/>
        <v>158.24466666666666</v>
      </c>
      <c r="N15" s="118">
        <f>N28*$B$35/10/$B$33</f>
        <v>0.51093626758849009</v>
      </c>
      <c r="O15" s="119">
        <f t="shared" si="8"/>
        <v>7.7614294756317148E-2</v>
      </c>
      <c r="P15" s="120">
        <f t="shared" si="9"/>
        <v>117.91146067415727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4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4" t="s">
        <v>214</v>
      </c>
      <c r="X19" s="314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46.51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46.42</v>
      </c>
      <c r="L21" s="144" t="s">
        <v>172</v>
      </c>
      <c r="M21" s="145" t="s">
        <v>172</v>
      </c>
      <c r="N21" s="143">
        <v>21.42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42.08</v>
      </c>
      <c r="C22" s="144" t="s">
        <v>172</v>
      </c>
      <c r="D22" s="145" t="s">
        <v>172</v>
      </c>
      <c r="E22" s="143">
        <v>45.25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45.91</v>
      </c>
      <c r="L22" s="144" t="s">
        <v>172</v>
      </c>
      <c r="M22" s="145" t="s">
        <v>172</v>
      </c>
      <c r="N22" s="143">
        <v>22.65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42.5</v>
      </c>
      <c r="C23" s="144" t="s">
        <v>172</v>
      </c>
      <c r="D23" s="145" t="s">
        <v>172</v>
      </c>
      <c r="E23" s="143">
        <v>46.5</v>
      </c>
      <c r="F23" s="144" t="s">
        <v>172</v>
      </c>
      <c r="G23" s="145" t="s">
        <v>172</v>
      </c>
      <c r="H23" s="143">
        <v>49.4</v>
      </c>
      <c r="I23" s="144" t="s">
        <v>172</v>
      </c>
      <c r="J23" s="145" t="s">
        <v>172</v>
      </c>
      <c r="K23" s="143">
        <v>45.62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41.96</v>
      </c>
      <c r="C24" s="144" t="s">
        <v>172</v>
      </c>
      <c r="D24" s="145" t="s">
        <v>172</v>
      </c>
      <c r="E24" s="143">
        <v>44.83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46.8</v>
      </c>
      <c r="L24" s="144" t="s">
        <v>172</v>
      </c>
      <c r="M24" s="145" t="s">
        <v>172</v>
      </c>
      <c r="N24" s="143">
        <v>22.78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11.47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1.234</v>
      </c>
      <c r="F26" s="144" t="s">
        <v>172</v>
      </c>
      <c r="G26" s="145" t="s">
        <v>172</v>
      </c>
      <c r="H26" s="153">
        <v>1.2889999999999999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0.54500000000000004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1.119</v>
      </c>
      <c r="F27" s="144" t="s">
        <v>172</v>
      </c>
      <c r="G27" s="145" t="s">
        <v>172</v>
      </c>
      <c r="H27" s="153">
        <v>1.2150000000000001</v>
      </c>
      <c r="I27" s="144" t="s">
        <v>172</v>
      </c>
      <c r="J27" s="145" t="s">
        <v>172</v>
      </c>
      <c r="K27" s="153">
        <v>1.089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5.19</v>
      </c>
      <c r="I28" s="158" t="s">
        <v>172</v>
      </c>
      <c r="J28" s="159" t="s">
        <v>172</v>
      </c>
      <c r="K28" s="234">
        <v>4.9400000000000004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3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8.2876999999999992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2.0539000000000001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2.2915999999999999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5.3815999999999997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3.2094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H19:J19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9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43780</v>
      </c>
      <c r="E2" s="493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0.77322110208476069</v>
      </c>
      <c r="C6" s="103" t="s">
        <v>172</v>
      </c>
      <c r="D6" s="104" t="s">
        <v>172</v>
      </c>
      <c r="E6" s="102">
        <f>E20/$B$33</f>
        <v>0.82215914652050492</v>
      </c>
      <c r="F6" s="103" t="s">
        <v>172</v>
      </c>
      <c r="G6" s="104" t="s">
        <v>172</v>
      </c>
      <c r="H6" s="102">
        <f>H20/$B$33</f>
        <v>0.88577860428697264</v>
      </c>
      <c r="I6" s="103" t="s">
        <v>172</v>
      </c>
      <c r="J6" s="104" t="s">
        <v>172</v>
      </c>
      <c r="K6" s="102">
        <f>K20/$B$33</f>
        <v>0.82215914652050492</v>
      </c>
      <c r="L6" s="103" t="s">
        <v>172</v>
      </c>
      <c r="M6" s="104" t="s">
        <v>172</v>
      </c>
      <c r="N6" s="102">
        <f>N20/$B$33</f>
        <v>0.43554859547812469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0.66647250660663582</v>
      </c>
      <c r="C7" s="107">
        <f t="shared" ref="C7:C12" si="0">B7-B$6</f>
        <v>-0.10674859547812487</v>
      </c>
      <c r="D7" s="108">
        <f t="shared" ref="D7:D12" si="1">B7/B$6*100</f>
        <v>86.194298734177181</v>
      </c>
      <c r="E7" s="102">
        <f>E21*$B$36/100/$B$33</f>
        <v>0.73137539395125761</v>
      </c>
      <c r="F7" s="107">
        <f t="shared" ref="F7:F15" si="2">E7-E$6</f>
        <v>-9.0783752569247311E-2</v>
      </c>
      <c r="G7" s="108">
        <f t="shared" ref="G7:G15" si="3">E7/E$6*100</f>
        <v>88.957885714285709</v>
      </c>
      <c r="H7" s="102">
        <f>H21*$B$36/100/$B$33</f>
        <v>0.80979316824899661</v>
      </c>
      <c r="I7" s="107">
        <f t="shared" ref="I7:I15" si="4">H7-H$6</f>
        <v>-7.5985436037976029E-2</v>
      </c>
      <c r="J7" s="108">
        <f t="shared" ref="J7:J15" si="5">H7/H$6*100</f>
        <v>91.421622099447504</v>
      </c>
      <c r="K7" s="102">
        <f>K21*$B$36/100/$B$33</f>
        <v>0.73357549182734649</v>
      </c>
      <c r="L7" s="107">
        <f t="shared" ref="L7:L15" si="6">K7-K$6</f>
        <v>-8.8583654693158431E-2</v>
      </c>
      <c r="M7" s="108">
        <f t="shared" ref="M7:M15" si="7">K7/K$6*100</f>
        <v>89.225485714285711</v>
      </c>
      <c r="N7" s="102">
        <f>N21*$B$36/100/$B$33</f>
        <v>0.33598637564842898</v>
      </c>
      <c r="O7" s="107">
        <f t="shared" ref="O7:O15" si="8">N7-N$6</f>
        <v>-9.9562219829695708E-2</v>
      </c>
      <c r="P7" s="108">
        <f t="shared" ref="P7:P15" si="9">N7/N$6*100</f>
        <v>77.14096179775278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0.66222946070275024</v>
      </c>
      <c r="C8" s="107">
        <f t="shared" si="0"/>
        <v>-0.11099164138201045</v>
      </c>
      <c r="D8" s="108">
        <f t="shared" si="1"/>
        <v>85.645549367088606</v>
      </c>
      <c r="E8" s="102">
        <f>E22*$B$36/100/$B$33</f>
        <v>0.7115745130664578</v>
      </c>
      <c r="F8" s="107">
        <f t="shared" si="2"/>
        <v>-0.11058463345404712</v>
      </c>
      <c r="G8" s="108">
        <f t="shared" si="3"/>
        <v>86.549485714285723</v>
      </c>
      <c r="H8" s="102">
        <f>H22*$B$36/100/$B$33</f>
        <v>0.78716359009493975</v>
      </c>
      <c r="I8" s="107">
        <f t="shared" si="4"/>
        <v>-9.861501419203289E-2</v>
      </c>
      <c r="J8" s="108">
        <f t="shared" si="5"/>
        <v>88.866855248618776</v>
      </c>
      <c r="K8" s="102">
        <f>K22*$B$36/100/$B$33</f>
        <v>0.72100350396398161</v>
      </c>
      <c r="L8" s="107">
        <f t="shared" si="6"/>
        <v>-0.10115564255652332</v>
      </c>
      <c r="M8" s="108">
        <f t="shared" si="7"/>
        <v>87.696342857142866</v>
      </c>
      <c r="N8" s="102">
        <f>N22*$B$36/100/$B$33</f>
        <v>0.36615914652050502</v>
      </c>
      <c r="O8" s="107">
        <f t="shared" si="8"/>
        <v>-6.938944895761967E-2</v>
      </c>
      <c r="P8" s="108">
        <f t="shared" si="9"/>
        <v>84.068494382022465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0.66631535675834386</v>
      </c>
      <c r="C9" s="107">
        <f t="shared" si="0"/>
        <v>-0.10690574532641683</v>
      </c>
      <c r="D9" s="108">
        <f t="shared" si="1"/>
        <v>86.173974683544301</v>
      </c>
      <c r="E9" s="102">
        <f>E23*$B$36/100/$B$33</f>
        <v>0.73058964470979748</v>
      </c>
      <c r="F9" s="107">
        <f t="shared" si="2"/>
        <v>-9.1569501810707443E-2</v>
      </c>
      <c r="G9" s="108">
        <f t="shared" si="3"/>
        <v>88.862314285714305</v>
      </c>
      <c r="H9" s="102">
        <f>H23*$B$36/100/$B$33</f>
        <v>0.77632025056278742</v>
      </c>
      <c r="I9" s="107">
        <f t="shared" si="4"/>
        <v>-0.10945835372418522</v>
      </c>
      <c r="J9" s="108">
        <f t="shared" si="5"/>
        <v>87.642696132596683</v>
      </c>
      <c r="K9" s="102">
        <f>K23*$B$36/100/$B$33</f>
        <v>0.71676045806009581</v>
      </c>
      <c r="L9" s="107">
        <f t="shared" si="6"/>
        <v>-0.10539868846040912</v>
      </c>
      <c r="M9" s="108">
        <f t="shared" si="7"/>
        <v>87.180257142857144</v>
      </c>
      <c r="N9" s="102">
        <f>N23*$B$36/100/$B$33</f>
        <v>0.38187413134971127</v>
      </c>
      <c r="O9" s="107">
        <f t="shared" si="8"/>
        <v>-5.3674464128413424E-2</v>
      </c>
      <c r="P9" s="108">
        <f t="shared" si="9"/>
        <v>87.676584269662925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0.65908646373690893</v>
      </c>
      <c r="C10" s="107">
        <f t="shared" si="0"/>
        <v>-0.11413463834785176</v>
      </c>
      <c r="D10" s="108">
        <f t="shared" si="1"/>
        <v>85.239068354430358</v>
      </c>
      <c r="E10" s="102">
        <f>E24*$B$36/100/$B$33</f>
        <v>0.70544566898306738</v>
      </c>
      <c r="F10" s="107">
        <f t="shared" si="2"/>
        <v>-0.11671347753743755</v>
      </c>
      <c r="G10" s="108">
        <f t="shared" si="3"/>
        <v>85.804028571428574</v>
      </c>
      <c r="H10" s="102">
        <f>H24*$B$36/100/$B$33</f>
        <v>0.82487955368503474</v>
      </c>
      <c r="I10" s="107">
        <f t="shared" si="4"/>
        <v>-6.0899050601937899E-2</v>
      </c>
      <c r="J10" s="108">
        <f t="shared" si="5"/>
        <v>93.124800000000008</v>
      </c>
      <c r="K10" s="102">
        <f>K24*$B$36/100/$B$33</f>
        <v>0.73703278848977194</v>
      </c>
      <c r="L10" s="107">
        <f t="shared" si="6"/>
        <v>-8.5126358030732985E-2</v>
      </c>
      <c r="M10" s="108">
        <f t="shared" si="7"/>
        <v>89.646000000000015</v>
      </c>
      <c r="N10" s="102">
        <f>N24*$B$36/100/$B$33</f>
        <v>0.35798735440931778</v>
      </c>
      <c r="O10" s="107">
        <f t="shared" si="8"/>
        <v>-7.7561241068806908E-2</v>
      </c>
      <c r="P10" s="108">
        <f t="shared" si="9"/>
        <v>82.192287640449436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0.66352594695115963</v>
      </c>
      <c r="C11" s="236">
        <f t="shared" si="0"/>
        <v>-0.10969515513360106</v>
      </c>
      <c r="D11" s="237">
        <f t="shared" si="1"/>
        <v>85.813222784810108</v>
      </c>
      <c r="E11" s="235">
        <f>AVERAGE(E7:E10)</f>
        <v>0.71974630517764504</v>
      </c>
      <c r="F11" s="236">
        <f t="shared" si="2"/>
        <v>-0.10241284134285988</v>
      </c>
      <c r="G11" s="237">
        <f t="shared" si="3"/>
        <v>87.543428571428578</v>
      </c>
      <c r="H11" s="235">
        <f>AVERAGE(H7:H10)</f>
        <v>0.79953914064793963</v>
      </c>
      <c r="I11" s="236">
        <f t="shared" si="4"/>
        <v>-8.6239463639033009E-2</v>
      </c>
      <c r="J11" s="237">
        <f t="shared" si="5"/>
        <v>90.263993370165736</v>
      </c>
      <c r="K11" s="235">
        <f>AVERAGE(K7:K10)</f>
        <v>0.72709306058529899</v>
      </c>
      <c r="L11" s="236">
        <f t="shared" si="6"/>
        <v>-9.5066085935205935E-2</v>
      </c>
      <c r="M11" s="237">
        <f t="shared" si="7"/>
        <v>88.437021428571441</v>
      </c>
      <c r="N11" s="235">
        <f>AVERAGE(N7:N10)</f>
        <v>0.36050175198199075</v>
      </c>
      <c r="O11" s="236">
        <f t="shared" si="8"/>
        <v>-7.5046843496133941E-2</v>
      </c>
      <c r="P11" s="237">
        <f t="shared" si="9"/>
        <v>82.769582022471894</v>
      </c>
      <c r="Q11" s="109"/>
    </row>
    <row r="12" spans="1:19" s="96" customFormat="1" ht="15.75" x14ac:dyDescent="0.25">
      <c r="A12" s="110" t="s">
        <v>24</v>
      </c>
      <c r="B12" s="102">
        <f>B25*$B$32/100/$B$33</f>
        <v>1.1509363022413626</v>
      </c>
      <c r="C12" s="107">
        <f t="shared" si="0"/>
        <v>0.37771520015660187</v>
      </c>
      <c r="D12" s="108">
        <f t="shared" si="1"/>
        <v>148.84957215189877</v>
      </c>
      <c r="E12" s="102">
        <f>E25*$B$32/100/$B$33</f>
        <v>1.1935786140745817</v>
      </c>
      <c r="F12" s="107">
        <f t="shared" si="2"/>
        <v>0.37141946755407673</v>
      </c>
      <c r="G12" s="108">
        <f t="shared" si="3"/>
        <v>145.1761035714286</v>
      </c>
      <c r="H12" s="102">
        <f>H25*$B$32/100/$B$33</f>
        <v>1.3336890672408734</v>
      </c>
      <c r="I12" s="107">
        <f t="shared" si="4"/>
        <v>0.4479104629539008</v>
      </c>
      <c r="J12" s="108">
        <f t="shared" si="5"/>
        <v>150.56686408839784</v>
      </c>
      <c r="K12" s="102">
        <f>K25*$B$32/100/$B$33</f>
        <v>1.0900187139081923</v>
      </c>
      <c r="L12" s="107">
        <f t="shared" si="6"/>
        <v>0.26785956738768735</v>
      </c>
      <c r="M12" s="108">
        <f t="shared" si="7"/>
        <v>132.5800142857143</v>
      </c>
      <c r="N12" s="102">
        <f>N25*$B$32/100/$B$33</f>
        <v>0.46581649212097487</v>
      </c>
      <c r="O12" s="107">
        <f t="shared" si="8"/>
        <v>3.0267896642850178E-2</v>
      </c>
      <c r="P12" s="108">
        <f t="shared" si="9"/>
        <v>106.94937303370786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1.378055397866301</v>
      </c>
      <c r="F13" s="107">
        <f t="shared" si="2"/>
        <v>0.55589625134579612</v>
      </c>
      <c r="G13" s="108">
        <f t="shared" si="3"/>
        <v>167.61419047619049</v>
      </c>
      <c r="H13" s="102">
        <f>H26*$B$34/$B$33</f>
        <v>1.4389822844279141</v>
      </c>
      <c r="I13" s="107">
        <f t="shared" si="4"/>
        <v>0.55320368014094146</v>
      </c>
      <c r="J13" s="108">
        <f t="shared" si="5"/>
        <v>162.45394475138119</v>
      </c>
      <c r="K13" s="102">
        <f>K26*$B$34/$B$33</f>
        <v>1.2783568562200252</v>
      </c>
      <c r="L13" s="107">
        <f t="shared" si="6"/>
        <v>0.45619770969952023</v>
      </c>
      <c r="M13" s="108">
        <f t="shared" si="7"/>
        <v>155.4877619047619</v>
      </c>
      <c r="N13" s="102">
        <f>N26*$B$34/$B$33</f>
        <v>0.58157482626994228</v>
      </c>
      <c r="O13" s="107">
        <f t="shared" si="8"/>
        <v>0.14602623079181759</v>
      </c>
      <c r="P13" s="108">
        <f t="shared" si="9"/>
        <v>133.52696629213483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1.2694947636292451</v>
      </c>
      <c r="F14" s="107">
        <f t="shared" si="2"/>
        <v>0.44733561710874015</v>
      </c>
      <c r="G14" s="108">
        <f t="shared" si="3"/>
        <v>154.40985714285713</v>
      </c>
      <c r="H14" s="102">
        <f>H27*$B$34/$B$33</f>
        <v>1.3459303122247235</v>
      </c>
      <c r="I14" s="107">
        <f t="shared" si="4"/>
        <v>0.46015170793775084</v>
      </c>
      <c r="J14" s="108">
        <f t="shared" si="5"/>
        <v>151.94883977900554</v>
      </c>
      <c r="K14" s="102">
        <f>K27*$B$34/$B$33</f>
        <v>1.2019213076245472</v>
      </c>
      <c r="L14" s="107">
        <f t="shared" si="6"/>
        <v>0.37976216110404226</v>
      </c>
      <c r="M14" s="108">
        <f t="shared" si="7"/>
        <v>146.19083333333333</v>
      </c>
      <c r="N14" s="102">
        <f>N27*$B$34/$B$33</f>
        <v>0.57492825682685711</v>
      </c>
      <c r="O14" s="107">
        <f t="shared" si="8"/>
        <v>0.13937966134873242</v>
      </c>
      <c r="P14" s="108">
        <f t="shared" si="9"/>
        <v>132.00094382022471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1.2753649309973574</v>
      </c>
      <c r="F15" s="119">
        <f t="shared" si="2"/>
        <v>0.45320578447685245</v>
      </c>
      <c r="G15" s="120">
        <f t="shared" si="3"/>
        <v>155.12385119047622</v>
      </c>
      <c r="H15" s="118">
        <f>H28*$B$35/10/$B$33</f>
        <v>1.3403020456102572</v>
      </c>
      <c r="I15" s="119">
        <f t="shared" si="4"/>
        <v>0.45452344132328459</v>
      </c>
      <c r="J15" s="120">
        <f t="shared" si="5"/>
        <v>151.3134364640884</v>
      </c>
      <c r="K15" s="118">
        <f>K28*$B$35/10/$B$33</f>
        <v>1.2857548693354215</v>
      </c>
      <c r="L15" s="119">
        <f t="shared" si="6"/>
        <v>0.46359572281491657</v>
      </c>
      <c r="M15" s="120">
        <f t="shared" si="7"/>
        <v>156.38758928571431</v>
      </c>
      <c r="N15" s="118">
        <f>N28*$B$35/10/$B$33</f>
        <v>0.51430194773416849</v>
      </c>
      <c r="O15" s="119">
        <f t="shared" si="8"/>
        <v>7.8753352256043796E-2</v>
      </c>
      <c r="P15" s="120">
        <f t="shared" si="9"/>
        <v>118.08141573033706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9" t="s">
        <v>214</v>
      </c>
      <c r="X19" s="319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42.41</v>
      </c>
      <c r="C21" s="144" t="s">
        <v>172</v>
      </c>
      <c r="D21" s="145" t="s">
        <v>172</v>
      </c>
      <c r="E21" s="143">
        <v>46.54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46.68</v>
      </c>
      <c r="L21" s="144" t="s">
        <v>172</v>
      </c>
      <c r="M21" s="145" t="s">
        <v>172</v>
      </c>
      <c r="N21" s="143">
        <v>21.38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42.14</v>
      </c>
      <c r="C22" s="144" t="s">
        <v>172</v>
      </c>
      <c r="D22" s="145" t="s">
        <v>172</v>
      </c>
      <c r="E22" s="143">
        <v>45.28</v>
      </c>
      <c r="F22" s="144" t="s">
        <v>172</v>
      </c>
      <c r="G22" s="145" t="s">
        <v>172</v>
      </c>
      <c r="H22" s="143">
        <v>50.09</v>
      </c>
      <c r="I22" s="144" t="s">
        <v>172</v>
      </c>
      <c r="J22" s="145" t="s">
        <v>172</v>
      </c>
      <c r="K22" s="143">
        <v>45.88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</v>
      </c>
      <c r="C23" s="144" t="s">
        <v>172</v>
      </c>
      <c r="D23" s="145" t="s">
        <v>172</v>
      </c>
      <c r="E23" s="143">
        <v>46.49</v>
      </c>
      <c r="F23" s="144" t="s">
        <v>172</v>
      </c>
      <c r="G23" s="145" t="s">
        <v>172</v>
      </c>
      <c r="H23" s="143">
        <v>49.4</v>
      </c>
      <c r="I23" s="144" t="s">
        <v>172</v>
      </c>
      <c r="J23" s="145" t="s">
        <v>172</v>
      </c>
      <c r="K23" s="143">
        <v>45.61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41.94</v>
      </c>
      <c r="C24" s="144" t="s">
        <v>172</v>
      </c>
      <c r="D24" s="145" t="s">
        <v>172</v>
      </c>
      <c r="E24" s="143">
        <v>44.89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46.9</v>
      </c>
      <c r="L24" s="144" t="s">
        <v>172</v>
      </c>
      <c r="M24" s="145" t="s">
        <v>172</v>
      </c>
      <c r="N24" s="143">
        <v>22.78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11.47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1.1459999999999999</v>
      </c>
      <c r="F27" s="144" t="s">
        <v>172</v>
      </c>
      <c r="G27" s="145" t="s">
        <v>172</v>
      </c>
      <c r="H27" s="153">
        <v>1.2150000000000001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0.51900000000000002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5.16</v>
      </c>
      <c r="I28" s="158" t="s">
        <v>172</v>
      </c>
      <c r="J28" s="159" t="s">
        <v>172</v>
      </c>
      <c r="K28" s="234">
        <v>4.95</v>
      </c>
      <c r="L28" s="158" t="s">
        <v>172</v>
      </c>
      <c r="M28" s="159" t="s">
        <v>172</v>
      </c>
      <c r="N28" s="234">
        <v>1.98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8.2986000000000004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2.0434000000000001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2.2635999999999998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5.3076999999999996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3.2111999999999998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43787</v>
      </c>
      <c r="E2" s="493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0.77231400918955917</v>
      </c>
      <c r="C6" s="103" t="s">
        <v>172</v>
      </c>
      <c r="D6" s="104" t="s">
        <v>172</v>
      </c>
      <c r="E6" s="102">
        <f>E20/$B$33</f>
        <v>0.82119464268256925</v>
      </c>
      <c r="F6" s="103" t="s">
        <v>172</v>
      </c>
      <c r="G6" s="104" t="s">
        <v>172</v>
      </c>
      <c r="H6" s="102">
        <f>H20/$B$33</f>
        <v>0.88473946622348232</v>
      </c>
      <c r="I6" s="103" t="s">
        <v>172</v>
      </c>
      <c r="J6" s="104" t="s">
        <v>172</v>
      </c>
      <c r="K6" s="102">
        <f>K20/$B$33</f>
        <v>0.82119464268256925</v>
      </c>
      <c r="L6" s="103" t="s">
        <v>172</v>
      </c>
      <c r="M6" s="104" t="s">
        <v>172</v>
      </c>
      <c r="N6" s="102">
        <f>N20/$B$33</f>
        <v>0.43503763808778967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0.66493264248704664</v>
      </c>
      <c r="C7" s="107">
        <f t="shared" ref="C7:C12" si="0">B7-B$6</f>
        <v>-0.10738136670251253</v>
      </c>
      <c r="D7" s="108">
        <f t="shared" ref="D7:D12" si="1">B7/B$6*100</f>
        <v>86.096151898734178</v>
      </c>
      <c r="E7" s="102">
        <f>E21*$B$36/100/$B$33</f>
        <v>0.72954402189852396</v>
      </c>
      <c r="F7" s="107">
        <f t="shared" ref="F7:F15" si="2">E7-E$6</f>
        <v>-9.1650620784045289E-2</v>
      </c>
      <c r="G7" s="108">
        <f t="shared" ref="G7:G15" si="3">E7/E$6*100</f>
        <v>88.839354761904772</v>
      </c>
      <c r="H7" s="102">
        <f>H21*$B$36/100/$B$33</f>
        <v>0.80811271385277161</v>
      </c>
      <c r="I7" s="107">
        <f t="shared" ref="I7:I15" si="4">H7-H$6</f>
        <v>-7.6626752370710705E-2</v>
      </c>
      <c r="J7" s="108">
        <f t="shared" ref="J7:J15" si="5">H7/H$6*100</f>
        <v>91.339060220994483</v>
      </c>
      <c r="K7" s="102">
        <f>K21*$B$36/100/$B$33</f>
        <v>0.72875990321634565</v>
      </c>
      <c r="L7" s="107">
        <f t="shared" ref="L7:L15" si="6">K7-K$6</f>
        <v>-9.2434739466223603E-2</v>
      </c>
      <c r="M7" s="108">
        <f t="shared" ref="M7:M15" si="7">K7/K$6*100</f>
        <v>88.743869642857135</v>
      </c>
      <c r="N7" s="102">
        <f>N21*$B$36/100/$B$33</f>
        <v>0.33999386059243325</v>
      </c>
      <c r="O7" s="107">
        <f t="shared" ref="O7:O15" si="8">N7-N$6</f>
        <v>-9.5043777495356419E-2</v>
      </c>
      <c r="P7" s="108">
        <f t="shared" ref="P7:P15" si="9">N7/N$6*100</f>
        <v>78.152746067415706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0.66116887281259162</v>
      </c>
      <c r="C8" s="107">
        <f t="shared" si="0"/>
        <v>-0.11114513637696755</v>
      </c>
      <c r="D8" s="108">
        <f t="shared" si="1"/>
        <v>85.608815189873411</v>
      </c>
      <c r="E8" s="102">
        <f>E22*$B$36/100/$B$33</f>
        <v>0.71009787858050644</v>
      </c>
      <c r="F8" s="107">
        <f t="shared" si="2"/>
        <v>-0.11109676410206282</v>
      </c>
      <c r="G8" s="108">
        <f t="shared" si="3"/>
        <v>86.47132380952381</v>
      </c>
      <c r="H8" s="102">
        <f>H22*$B$36/100/$B$33</f>
        <v>0.80607400527910855</v>
      </c>
      <c r="I8" s="107">
        <f t="shared" si="4"/>
        <v>-7.8665460944373766E-2</v>
      </c>
      <c r="J8" s="108">
        <f t="shared" si="5"/>
        <v>91.108629834254145</v>
      </c>
      <c r="K8" s="102">
        <f>K22*$B$36/100/$B$33</f>
        <v>0.72107554013100017</v>
      </c>
      <c r="L8" s="107">
        <f t="shared" si="6"/>
        <v>-0.10011910255156908</v>
      </c>
      <c r="M8" s="108">
        <f t="shared" si="7"/>
        <v>87.80811547619048</v>
      </c>
      <c r="N8" s="102">
        <f>N22*$B$36/100/$B$33</f>
        <v>0.36539930589500441</v>
      </c>
      <c r="O8" s="107">
        <f t="shared" si="8"/>
        <v>-6.9638332192785257E-2</v>
      </c>
      <c r="P8" s="108">
        <f t="shared" si="9"/>
        <v>83.992573033707856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0.66524628995991797</v>
      </c>
      <c r="C9" s="107">
        <f t="shared" si="0"/>
        <v>-0.1070677192296412</v>
      </c>
      <c r="D9" s="108">
        <f t="shared" si="1"/>
        <v>86.136763291139246</v>
      </c>
      <c r="E9" s="102">
        <f>E23*$B$36/100/$B$33</f>
        <v>0.72954402189852396</v>
      </c>
      <c r="F9" s="107">
        <f t="shared" si="2"/>
        <v>-9.1650620784045289E-2</v>
      </c>
      <c r="G9" s="108">
        <f t="shared" si="3"/>
        <v>88.839354761904772</v>
      </c>
      <c r="H9" s="102">
        <f>H23*$B$36/100/$B$33</f>
        <v>0.78882339427118975</v>
      </c>
      <c r="I9" s="107">
        <f t="shared" si="4"/>
        <v>-9.591607195229257E-2</v>
      </c>
      <c r="J9" s="108">
        <f t="shared" si="5"/>
        <v>89.158834254143642</v>
      </c>
      <c r="K9" s="102">
        <f>K23*$B$36/100/$B$33</f>
        <v>0.71699812298367382</v>
      </c>
      <c r="L9" s="107">
        <f t="shared" si="6"/>
        <v>-0.10419651969889543</v>
      </c>
      <c r="M9" s="108">
        <f t="shared" si="7"/>
        <v>87.311592857142841</v>
      </c>
      <c r="N9" s="102">
        <f>N23*$B$36/100/$B$33</f>
        <v>0.38108167953856686</v>
      </c>
      <c r="O9" s="107">
        <f t="shared" si="8"/>
        <v>-5.3955958549222804E-2</v>
      </c>
      <c r="P9" s="108">
        <f t="shared" si="9"/>
        <v>87.597404494382019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0.65928698797536411</v>
      </c>
      <c r="C10" s="107">
        <f t="shared" si="0"/>
        <v>-0.11302702121419506</v>
      </c>
      <c r="D10" s="108">
        <f t="shared" si="1"/>
        <v>85.365146835443028</v>
      </c>
      <c r="E10" s="102">
        <f>E24*$B$36/100/$B$33</f>
        <v>0.70680458011535841</v>
      </c>
      <c r="F10" s="107">
        <f t="shared" si="2"/>
        <v>-0.11439006256721085</v>
      </c>
      <c r="G10" s="108">
        <f t="shared" si="3"/>
        <v>86.070286309523809</v>
      </c>
      <c r="H10" s="102">
        <f>H24*$B$36/100/$B$33</f>
        <v>0.81391519210088958</v>
      </c>
      <c r="I10" s="107">
        <f t="shared" si="4"/>
        <v>-7.0824274122592734E-2</v>
      </c>
      <c r="J10" s="108">
        <f t="shared" si="5"/>
        <v>91.994900552486186</v>
      </c>
      <c r="K10" s="102">
        <f>K24*$B$36/100/$B$33</f>
        <v>0.73644426630169135</v>
      </c>
      <c r="L10" s="107">
        <f t="shared" si="6"/>
        <v>-8.4750376380877901E-2</v>
      </c>
      <c r="M10" s="108">
        <f t="shared" si="7"/>
        <v>89.679623809523818</v>
      </c>
      <c r="N10" s="102">
        <f>N24*$B$36/100/$B$33</f>
        <v>0.35285340698015449</v>
      </c>
      <c r="O10" s="107">
        <f t="shared" si="8"/>
        <v>-8.2184231107635175E-2</v>
      </c>
      <c r="P10" s="108">
        <f t="shared" si="9"/>
        <v>81.10870786516854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0.66265869830873003</v>
      </c>
      <c r="C11" s="236">
        <f t="shared" si="0"/>
        <v>-0.10965531088082914</v>
      </c>
      <c r="D11" s="237">
        <f t="shared" si="1"/>
        <v>85.801719303797455</v>
      </c>
      <c r="E11" s="235">
        <f>AVERAGE(E7:E10)</f>
        <v>0.71899762562322822</v>
      </c>
      <c r="F11" s="236">
        <f t="shared" si="2"/>
        <v>-0.10219701705934103</v>
      </c>
      <c r="G11" s="237">
        <f t="shared" si="3"/>
        <v>87.555079910714298</v>
      </c>
      <c r="H11" s="235">
        <f>AVERAGE(H7:H10)</f>
        <v>0.80423132637598993</v>
      </c>
      <c r="I11" s="236">
        <f t="shared" si="4"/>
        <v>-8.0508139847492388E-2</v>
      </c>
      <c r="J11" s="237">
        <f t="shared" si="5"/>
        <v>90.900356215469614</v>
      </c>
      <c r="K11" s="235">
        <f>AVERAGE(K7:K10)</f>
        <v>0.72581945815817772</v>
      </c>
      <c r="L11" s="236">
        <f t="shared" si="6"/>
        <v>-9.5375184524391532E-2</v>
      </c>
      <c r="M11" s="237">
        <f t="shared" si="7"/>
        <v>88.385800446428561</v>
      </c>
      <c r="N11" s="235">
        <f>AVERAGE(N7:N10)</f>
        <v>0.35983206325153977</v>
      </c>
      <c r="O11" s="236">
        <f t="shared" si="8"/>
        <v>-7.52055748362499E-2</v>
      </c>
      <c r="P11" s="237">
        <f t="shared" si="9"/>
        <v>82.71285786516853</v>
      </c>
      <c r="Q11" s="109"/>
    </row>
    <row r="12" spans="1:19" s="96" customFormat="1" ht="15.75" x14ac:dyDescent="0.25">
      <c r="A12" s="110" t="s">
        <v>24</v>
      </c>
      <c r="B12" s="102">
        <f>B25*$B$32/100/$B$33</f>
        <v>1.17366221527031</v>
      </c>
      <c r="C12" s="107">
        <f t="shared" si="0"/>
        <v>0.40134820608075084</v>
      </c>
      <c r="D12" s="108">
        <f t="shared" si="1"/>
        <v>151.96697215189874</v>
      </c>
      <c r="E12" s="102">
        <f>E25*$B$32/100/$B$33</f>
        <v>1.2171465245869588</v>
      </c>
      <c r="F12" s="107">
        <f t="shared" si="2"/>
        <v>0.39595188190438957</v>
      </c>
      <c r="G12" s="108">
        <f t="shared" si="3"/>
        <v>148.21656904761906</v>
      </c>
      <c r="H12" s="102">
        <f>H25*$B$32/100/$B$33</f>
        <v>1.3600235409130905</v>
      </c>
      <c r="I12" s="107">
        <f t="shared" si="4"/>
        <v>0.4752840746896082</v>
      </c>
      <c r="J12" s="108">
        <f t="shared" si="5"/>
        <v>153.72022983425418</v>
      </c>
      <c r="K12" s="102">
        <f>K25*$B$32/100/$B$33</f>
        <v>1.1115417733893833</v>
      </c>
      <c r="L12" s="107">
        <f t="shared" si="6"/>
        <v>0.29034713070681406</v>
      </c>
      <c r="M12" s="108">
        <f t="shared" si="7"/>
        <v>135.35667619047621</v>
      </c>
      <c r="N12" s="102">
        <f>N25*$B$32/100/$B$33</f>
        <v>0.47418603969107437</v>
      </c>
      <c r="O12" s="107">
        <f t="shared" si="8"/>
        <v>3.9148401603284699E-2</v>
      </c>
      <c r="P12" s="108">
        <f t="shared" si="9"/>
        <v>108.99885393258427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1.3860935575325057</v>
      </c>
      <c r="F13" s="107">
        <f t="shared" si="2"/>
        <v>0.56489891484993648</v>
      </c>
      <c r="G13" s="108">
        <f t="shared" si="3"/>
        <v>168.78989285714286</v>
      </c>
      <c r="H13" s="102">
        <f>H26*$B$34/$B$33</f>
        <v>1.4468871346172645</v>
      </c>
      <c r="I13" s="107">
        <f t="shared" si="4"/>
        <v>0.56214766839378216</v>
      </c>
      <c r="J13" s="108">
        <f t="shared" si="5"/>
        <v>163.53821546961322</v>
      </c>
      <c r="K13" s="102">
        <f>K26*$B$34/$B$33</f>
        <v>1.2755597810147619</v>
      </c>
      <c r="L13" s="107">
        <f t="shared" si="6"/>
        <v>0.45436513833219261</v>
      </c>
      <c r="M13" s="108">
        <f t="shared" si="7"/>
        <v>155.32977380952377</v>
      </c>
      <c r="N13" s="102">
        <f>N26*$B$34/$B$33</f>
        <v>0.58030232671815429</v>
      </c>
      <c r="O13" s="107">
        <f t="shared" si="8"/>
        <v>0.14526468863036462</v>
      </c>
      <c r="P13" s="108">
        <f t="shared" si="9"/>
        <v>133.39129213483145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1.2667170788933424</v>
      </c>
      <c r="F14" s="107">
        <f t="shared" si="2"/>
        <v>0.44552243621077314</v>
      </c>
      <c r="G14" s="108">
        <f t="shared" si="3"/>
        <v>154.25296428571426</v>
      </c>
      <c r="H14" s="102">
        <f>H27*$B$34/$B$33</f>
        <v>1.3429853846905857</v>
      </c>
      <c r="I14" s="107">
        <f t="shared" si="4"/>
        <v>0.45824591846710339</v>
      </c>
      <c r="J14" s="108">
        <f t="shared" si="5"/>
        <v>151.79444751381214</v>
      </c>
      <c r="K14" s="102">
        <f>K27*$B$34/$B$33</f>
        <v>1.1992914752175188</v>
      </c>
      <c r="L14" s="107">
        <f t="shared" si="6"/>
        <v>0.37809683253494952</v>
      </c>
      <c r="M14" s="108">
        <f t="shared" si="7"/>
        <v>146.04229166666664</v>
      </c>
      <c r="N14" s="102">
        <f>N27*$B$34/$B$33</f>
        <v>0.58582901554404143</v>
      </c>
      <c r="O14" s="107">
        <f t="shared" si="8"/>
        <v>0.15079137745625176</v>
      </c>
      <c r="P14" s="108">
        <f t="shared" si="9"/>
        <v>134.66168539325841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1.2692366800273731</v>
      </c>
      <c r="F15" s="119">
        <f t="shared" si="2"/>
        <v>0.44804203734480386</v>
      </c>
      <c r="G15" s="120">
        <f t="shared" si="3"/>
        <v>154.55978571428571</v>
      </c>
      <c r="H15" s="118">
        <f>H28*$B$35/10/$B$33</f>
        <v>1.328691758725193</v>
      </c>
      <c r="I15" s="119">
        <f t="shared" si="4"/>
        <v>0.44395229250171064</v>
      </c>
      <c r="J15" s="120">
        <f t="shared" si="5"/>
        <v>150.17887292817679</v>
      </c>
      <c r="K15" s="118">
        <f>K28*$B$35/10/$B$33</f>
        <v>1.2847467005572395</v>
      </c>
      <c r="L15" s="119">
        <f t="shared" si="6"/>
        <v>0.46355205787467024</v>
      </c>
      <c r="M15" s="120">
        <f t="shared" si="7"/>
        <v>156.44850000000002</v>
      </c>
      <c r="N15" s="118">
        <f>N28*$B$35/10/$B$33</f>
        <v>0.52217069117215753</v>
      </c>
      <c r="O15" s="119">
        <f t="shared" si="8"/>
        <v>8.7133053084367862E-2</v>
      </c>
      <c r="P15" s="120">
        <f t="shared" si="9"/>
        <v>120.02885393258424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9" t="s">
        <v>214</v>
      </c>
      <c r="X19" s="319" t="s">
        <v>214</v>
      </c>
    </row>
    <row r="20" spans="1:24" s="141" customFormat="1" ht="15.75" x14ac:dyDescent="0.25">
      <c r="A20" s="133" t="s">
        <v>185</v>
      </c>
      <c r="B20" s="134">
        <v>1.58</v>
      </c>
      <c r="C20" s="135" t="s">
        <v>172</v>
      </c>
      <c r="D20" s="136" t="s">
        <v>172</v>
      </c>
      <c r="E20" s="134">
        <v>1.68</v>
      </c>
      <c r="F20" s="135" t="s">
        <v>172</v>
      </c>
      <c r="G20" s="136" t="s">
        <v>172</v>
      </c>
      <c r="H20" s="134">
        <v>1.81</v>
      </c>
      <c r="I20" s="135" t="s">
        <v>172</v>
      </c>
      <c r="J20" s="136" t="s">
        <v>172</v>
      </c>
      <c r="K20" s="134">
        <v>1.68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46.52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46.47</v>
      </c>
      <c r="L21" s="144" t="s">
        <v>172</v>
      </c>
      <c r="M21" s="145" t="s">
        <v>172</v>
      </c>
      <c r="N21" s="143">
        <v>21.68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42.16</v>
      </c>
      <c r="C22" s="144" t="s">
        <v>172</v>
      </c>
      <c r="D22" s="145" t="s">
        <v>172</v>
      </c>
      <c r="E22" s="143">
        <v>45.28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45.98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42.42</v>
      </c>
      <c r="C23" s="144" t="s">
        <v>172</v>
      </c>
      <c r="D23" s="145" t="s">
        <v>172</v>
      </c>
      <c r="E23" s="143">
        <v>46.52</v>
      </c>
      <c r="F23" s="144" t="s">
        <v>172</v>
      </c>
      <c r="G23" s="145" t="s">
        <v>172</v>
      </c>
      <c r="H23" s="143">
        <v>50.3</v>
      </c>
      <c r="I23" s="144" t="s">
        <v>172</v>
      </c>
      <c r="J23" s="145" t="s">
        <v>172</v>
      </c>
      <c r="K23" s="143">
        <v>45.72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42.04</v>
      </c>
      <c r="C24" s="144" t="s">
        <v>172</v>
      </c>
      <c r="D24" s="145" t="s">
        <v>172</v>
      </c>
      <c r="E24" s="143">
        <v>45.07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46.96</v>
      </c>
      <c r="L24" s="144" t="s">
        <v>172</v>
      </c>
      <c r="M24" s="145" t="s">
        <v>172</v>
      </c>
      <c r="N24" s="143">
        <v>22.5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29.39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11.45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1.254</v>
      </c>
      <c r="F26" s="144" t="s">
        <v>172</v>
      </c>
      <c r="G26" s="145" t="s">
        <v>172</v>
      </c>
      <c r="H26" s="153">
        <v>1.3089999999999999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1.1459999999999999</v>
      </c>
      <c r="F27" s="144" t="s">
        <v>172</v>
      </c>
      <c r="G27" s="145" t="s">
        <v>172</v>
      </c>
      <c r="H27" s="153">
        <v>1.2150000000000001</v>
      </c>
      <c r="I27" s="144" t="s">
        <v>172</v>
      </c>
      <c r="J27" s="145" t="s">
        <v>172</v>
      </c>
      <c r="K27" s="153">
        <v>1.085</v>
      </c>
      <c r="L27" s="144" t="s">
        <v>172</v>
      </c>
      <c r="M27" s="145" t="s">
        <v>172</v>
      </c>
      <c r="N27" s="153">
        <v>0.53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5.14</v>
      </c>
      <c r="I28" s="158" t="s">
        <v>172</v>
      </c>
      <c r="J28" s="159" t="s">
        <v>172</v>
      </c>
      <c r="K28" s="234">
        <v>4.97</v>
      </c>
      <c r="L28" s="158" t="s">
        <v>172</v>
      </c>
      <c r="M28" s="159" t="s">
        <v>172</v>
      </c>
      <c r="N28" s="234">
        <v>2.02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8.4724000000000004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2.0457999999999998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2.2612999999999999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5.2884000000000002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3.2082999999999999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P31" sqref="P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43794</v>
      </c>
      <c r="E2" s="493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0.77557192332081359</v>
      </c>
      <c r="C6" s="103" t="s">
        <v>172</v>
      </c>
      <c r="D6" s="104" t="s">
        <v>172</v>
      </c>
      <c r="E6" s="102">
        <f>E20/$B$33</f>
        <v>0.82435003170577037</v>
      </c>
      <c r="F6" s="103" t="s">
        <v>172</v>
      </c>
      <c r="G6" s="104" t="s">
        <v>172</v>
      </c>
      <c r="H6" s="102">
        <f>H20/$B$33</f>
        <v>0.88776157260621436</v>
      </c>
      <c r="I6" s="103" t="s">
        <v>172</v>
      </c>
      <c r="J6" s="104" t="s">
        <v>172</v>
      </c>
      <c r="K6" s="102">
        <f>K20/$B$33</f>
        <v>0.82435003170577037</v>
      </c>
      <c r="L6" s="103" t="s">
        <v>172</v>
      </c>
      <c r="M6" s="104" t="s">
        <v>172</v>
      </c>
      <c r="N6" s="102">
        <f>N20/$B$33</f>
        <v>0.43412516462611578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0.66660295595336816</v>
      </c>
      <c r="C7" s="107">
        <f t="shared" ref="C7:C12" si="0">B7-B$6</f>
        <v>-0.10896896736744544</v>
      </c>
      <c r="D7" s="108">
        <f t="shared" ref="D7:D12" si="1">B7/B$6*100</f>
        <v>85.949856603773583</v>
      </c>
      <c r="E7" s="102">
        <f>E21*$B$36/100/$B$33</f>
        <v>0.73166038729818061</v>
      </c>
      <c r="F7" s="107">
        <f t="shared" ref="F7:F15" si="2">E7-E$6</f>
        <v>-9.2689644407589755E-2</v>
      </c>
      <c r="G7" s="108">
        <f t="shared" ref="G7:G15" si="3">E7/E$6*100</f>
        <v>88.756033136094686</v>
      </c>
      <c r="H7" s="102">
        <f>H21*$B$36/100/$B$33</f>
        <v>0.80976073362275014</v>
      </c>
      <c r="I7" s="107">
        <f t="shared" ref="I7:I15" si="4">H7-H$6</f>
        <v>-7.8000838983464216E-2</v>
      </c>
      <c r="J7" s="108">
        <f t="shared" ref="J7:J15" si="5">H7/H$6*100</f>
        <v>91.213762637362635</v>
      </c>
      <c r="K7" s="102">
        <f>K21*$B$36/100/$B$33</f>
        <v>0.73323182283791033</v>
      </c>
      <c r="L7" s="107">
        <f t="shared" ref="L7:L15" si="6">K7-K$6</f>
        <v>-9.111820886786004E-2</v>
      </c>
      <c r="M7" s="108">
        <f t="shared" ref="M7:M15" si="7">K7/K$6*100</f>
        <v>88.946660355029593</v>
      </c>
      <c r="N7" s="102">
        <f>N21*$B$36/100/$B$33</f>
        <v>0.34100151212135993</v>
      </c>
      <c r="O7" s="107">
        <f t="shared" ref="O7:O15" si="8">N7-N$6</f>
        <v>-9.3123652504755849E-2</v>
      </c>
      <c r="P7" s="108">
        <f t="shared" ref="P7:P15" si="9">N7/N$6*100</f>
        <v>78.54912359550562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0.66110293156431399</v>
      </c>
      <c r="C8" s="107">
        <f t="shared" si="0"/>
        <v>-0.11446899175649961</v>
      </c>
      <c r="D8" s="108">
        <f t="shared" si="1"/>
        <v>85.240699371069198</v>
      </c>
      <c r="E8" s="102">
        <f>E22*$B$36/100/$B$33</f>
        <v>0.71138886883566654</v>
      </c>
      <c r="F8" s="107">
        <f t="shared" si="2"/>
        <v>-0.11296116287010383</v>
      </c>
      <c r="G8" s="108">
        <f t="shared" si="3"/>
        <v>86.296942011834332</v>
      </c>
      <c r="H8" s="102">
        <f>H22*$B$36/100/$B$33</f>
        <v>0.80771786742110141</v>
      </c>
      <c r="I8" s="107">
        <f t="shared" si="4"/>
        <v>-8.0043705185112946E-2</v>
      </c>
      <c r="J8" s="108">
        <f t="shared" si="5"/>
        <v>90.983648351648355</v>
      </c>
      <c r="K8" s="102">
        <f>K22*$B$36/100/$B$33</f>
        <v>0.72396035315350482</v>
      </c>
      <c r="L8" s="107">
        <f t="shared" si="6"/>
        <v>-0.10038967855226555</v>
      </c>
      <c r="M8" s="108">
        <f t="shared" si="7"/>
        <v>87.821959763313629</v>
      </c>
      <c r="N8" s="102">
        <f>N22*$B$36/100/$B$33</f>
        <v>0.34555867518657624</v>
      </c>
      <c r="O8" s="107">
        <f t="shared" si="8"/>
        <v>-8.8566489439539542E-2</v>
      </c>
      <c r="P8" s="108">
        <f t="shared" si="9"/>
        <v>79.598858426966288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0.66691724306131406</v>
      </c>
      <c r="C9" s="107">
        <f t="shared" si="0"/>
        <v>-0.10865468025949954</v>
      </c>
      <c r="D9" s="108">
        <f t="shared" si="1"/>
        <v>85.990379874213843</v>
      </c>
      <c r="E9" s="102">
        <f>E23*$B$36/100/$B$33</f>
        <v>0.73401754060777524</v>
      </c>
      <c r="F9" s="107">
        <f t="shared" si="2"/>
        <v>-9.0332491097995127E-2</v>
      </c>
      <c r="G9" s="108">
        <f t="shared" si="3"/>
        <v>89.04197396449706</v>
      </c>
      <c r="H9" s="102">
        <f>H23*$B$36/100/$B$33</f>
        <v>0.79027493293010098</v>
      </c>
      <c r="I9" s="107">
        <f t="shared" si="4"/>
        <v>-9.7486639676113374E-2</v>
      </c>
      <c r="J9" s="108">
        <f t="shared" si="5"/>
        <v>89.018826373626368</v>
      </c>
      <c r="K9" s="102">
        <f>K23*$B$36/100/$B$33</f>
        <v>0.72081748207404506</v>
      </c>
      <c r="L9" s="107">
        <f t="shared" si="6"/>
        <v>-0.10353254963172531</v>
      </c>
      <c r="M9" s="108">
        <f t="shared" si="7"/>
        <v>87.440705325443773</v>
      </c>
      <c r="N9" s="102">
        <f>N23*$B$36/100/$B$33</f>
        <v>0.38185883615433391</v>
      </c>
      <c r="O9" s="107">
        <f t="shared" si="8"/>
        <v>-5.2266328471781864E-2</v>
      </c>
      <c r="P9" s="108">
        <f t="shared" si="9"/>
        <v>87.960539325842703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0.65984578313253017</v>
      </c>
      <c r="C10" s="107">
        <f t="shared" si="0"/>
        <v>-0.11572614018828342</v>
      </c>
      <c r="D10" s="108">
        <f t="shared" si="1"/>
        <v>85.078606289308183</v>
      </c>
      <c r="E10" s="102">
        <f>E24*$B$36/100/$B$33</f>
        <v>0.70541741378469347</v>
      </c>
      <c r="F10" s="107">
        <f t="shared" si="2"/>
        <v>-0.1189326179210769</v>
      </c>
      <c r="G10" s="108">
        <f t="shared" si="3"/>
        <v>85.572558579881672</v>
      </c>
      <c r="H10" s="102">
        <f>H24*$B$36/100/$B$33</f>
        <v>0.81557504511975021</v>
      </c>
      <c r="I10" s="107">
        <f t="shared" si="4"/>
        <v>-7.2186527486464147E-2</v>
      </c>
      <c r="J10" s="108">
        <f t="shared" si="5"/>
        <v>91.868703296703288</v>
      </c>
      <c r="K10" s="102">
        <f>K24*$B$36/100/$B$33</f>
        <v>0.73967470855080242</v>
      </c>
      <c r="L10" s="107">
        <f t="shared" si="6"/>
        <v>-8.4675323154967952E-2</v>
      </c>
      <c r="M10" s="108">
        <f t="shared" si="7"/>
        <v>89.728231952662725</v>
      </c>
      <c r="N10" s="102">
        <f>N24*$B$36/100/$B$33</f>
        <v>0.36221589190771181</v>
      </c>
      <c r="O10" s="107">
        <f t="shared" si="8"/>
        <v>-7.1909272718403972E-2</v>
      </c>
      <c r="P10" s="108">
        <f t="shared" si="9"/>
        <v>83.435820224719109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0.66361722842788162</v>
      </c>
      <c r="C11" s="236">
        <f t="shared" si="0"/>
        <v>-0.11195469489293197</v>
      </c>
      <c r="D11" s="237">
        <f t="shared" si="1"/>
        <v>85.564885534591212</v>
      </c>
      <c r="E11" s="235">
        <f>AVERAGE(E7:E10)</f>
        <v>0.72062105263157894</v>
      </c>
      <c r="F11" s="236">
        <f t="shared" si="2"/>
        <v>-0.10372897907419143</v>
      </c>
      <c r="G11" s="237">
        <f t="shared" si="3"/>
        <v>87.416876923076941</v>
      </c>
      <c r="H11" s="235">
        <f>AVERAGE(H7:H10)</f>
        <v>0.80583214477342568</v>
      </c>
      <c r="I11" s="236">
        <f t="shared" si="4"/>
        <v>-8.192942783278867E-2</v>
      </c>
      <c r="J11" s="237">
        <f t="shared" si="5"/>
        <v>90.771235164835161</v>
      </c>
      <c r="K11" s="235">
        <f>AVERAGE(K7:K10)</f>
        <v>0.72942109165406566</v>
      </c>
      <c r="L11" s="236">
        <f t="shared" si="6"/>
        <v>-9.4928940051704713E-2</v>
      </c>
      <c r="M11" s="237">
        <f t="shared" si="7"/>
        <v>88.484389349112433</v>
      </c>
      <c r="N11" s="235">
        <f>AVERAGE(N7:N10)</f>
        <v>0.35765872884249544</v>
      </c>
      <c r="O11" s="236">
        <f t="shared" si="8"/>
        <v>-7.6466435783620335E-2</v>
      </c>
      <c r="P11" s="237">
        <f t="shared" si="9"/>
        <v>82.386085393258426</v>
      </c>
      <c r="Q11" s="109"/>
    </row>
    <row r="12" spans="1:19" s="96" customFormat="1" ht="15.75" x14ac:dyDescent="0.25">
      <c r="A12" s="110" t="s">
        <v>24</v>
      </c>
      <c r="B12" s="102">
        <f>B25*$B$32/100/$B$33</f>
        <v>1.1732464172479391</v>
      </c>
      <c r="C12" s="107">
        <f t="shared" si="0"/>
        <v>0.39767449392712551</v>
      </c>
      <c r="D12" s="108">
        <f t="shared" si="1"/>
        <v>151.27499874213837</v>
      </c>
      <c r="E12" s="102">
        <f>E25*$B$32/100/$B$33</f>
        <v>1.2146453733964195</v>
      </c>
      <c r="F12" s="107">
        <f t="shared" si="2"/>
        <v>0.39029534169064917</v>
      </c>
      <c r="G12" s="108">
        <f t="shared" si="3"/>
        <v>147.34582721893489</v>
      </c>
      <c r="H12" s="102">
        <f>H25*$B$32/100/$B$33</f>
        <v>1.3595417199161015</v>
      </c>
      <c r="I12" s="107">
        <f t="shared" si="4"/>
        <v>0.47178014730988715</v>
      </c>
      <c r="J12" s="108">
        <f t="shared" si="5"/>
        <v>153.1426637362637</v>
      </c>
      <c r="K12" s="102">
        <f>K25*$B$32/100/$B$33</f>
        <v>1.1111479830252182</v>
      </c>
      <c r="L12" s="107">
        <f t="shared" si="6"/>
        <v>0.28679795131944785</v>
      </c>
      <c r="M12" s="108">
        <f t="shared" si="7"/>
        <v>134.79079763313609</v>
      </c>
      <c r="N12" s="102">
        <f>N25*$B$32/100/$B$33</f>
        <v>0.48974965123652509</v>
      </c>
      <c r="O12" s="107">
        <f t="shared" si="8"/>
        <v>5.5624486610409307E-2</v>
      </c>
      <c r="P12" s="108">
        <f t="shared" si="9"/>
        <v>112.81300674157305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1.3765250475586555</v>
      </c>
      <c r="F13" s="107">
        <f t="shared" si="2"/>
        <v>0.55217501585288509</v>
      </c>
      <c r="G13" s="108">
        <f t="shared" si="3"/>
        <v>166.98307692307694</v>
      </c>
      <c r="H13" s="102">
        <f>H26*$B$34/$B$33</f>
        <v>1.4373842739378566</v>
      </c>
      <c r="I13" s="107">
        <f t="shared" si="4"/>
        <v>0.54962270133164226</v>
      </c>
      <c r="J13" s="108">
        <f t="shared" si="5"/>
        <v>161.9110714285714</v>
      </c>
      <c r="K13" s="102">
        <f>K26*$B$34/$B$33</f>
        <v>1.2769372225745084</v>
      </c>
      <c r="L13" s="107">
        <f t="shared" si="6"/>
        <v>0.452587190868738</v>
      </c>
      <c r="M13" s="108">
        <f t="shared" si="7"/>
        <v>154.90230769230769</v>
      </c>
      <c r="N13" s="102">
        <f>N26*$B$34/$B$33</f>
        <v>0.5809289790741915</v>
      </c>
      <c r="O13" s="107">
        <f t="shared" si="8"/>
        <v>0.14680381444807572</v>
      </c>
      <c r="P13" s="108">
        <f t="shared" si="9"/>
        <v>133.81601123595505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1.2935351934051997</v>
      </c>
      <c r="F14" s="107">
        <f t="shared" si="2"/>
        <v>0.46918516169942937</v>
      </c>
      <c r="G14" s="108">
        <f t="shared" si="3"/>
        <v>156.91576923076923</v>
      </c>
      <c r="H14" s="102">
        <f>H27*$B$34/$B$33</f>
        <v>1.387590361445783</v>
      </c>
      <c r="I14" s="107">
        <f t="shared" si="4"/>
        <v>0.49982878883956861</v>
      </c>
      <c r="J14" s="108">
        <f t="shared" si="5"/>
        <v>156.30214285714283</v>
      </c>
      <c r="K14" s="102">
        <f>K27*$B$34/$B$33</f>
        <v>1.2116518706404564</v>
      </c>
      <c r="L14" s="107">
        <f t="shared" si="6"/>
        <v>0.38730183893468606</v>
      </c>
      <c r="M14" s="108">
        <f t="shared" si="7"/>
        <v>146.9826923076923</v>
      </c>
      <c r="N14" s="102">
        <f>N27*$B$34/$B$33</f>
        <v>0.6074857324032974</v>
      </c>
      <c r="O14" s="107">
        <f t="shared" si="8"/>
        <v>0.17336056777718162</v>
      </c>
      <c r="P14" s="108">
        <f t="shared" si="9"/>
        <v>139.93331460674159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1.2637005024145165</v>
      </c>
      <c r="F15" s="119">
        <f t="shared" si="2"/>
        <v>0.43935047070874611</v>
      </c>
      <c r="G15" s="120">
        <f t="shared" si="3"/>
        <v>153.29659171597635</v>
      </c>
      <c r="H15" s="118">
        <f>H28*$B$35/10/$B$33</f>
        <v>1.3203225208526412</v>
      </c>
      <c r="I15" s="119">
        <f t="shared" si="4"/>
        <v>0.43256094824642688</v>
      </c>
      <c r="J15" s="120">
        <f t="shared" si="5"/>
        <v>148.72490109890109</v>
      </c>
      <c r="K15" s="118">
        <f>K28*$B$35/10/$B$33</f>
        <v>1.2868640554119311</v>
      </c>
      <c r="L15" s="119">
        <f t="shared" si="6"/>
        <v>0.46251402370616068</v>
      </c>
      <c r="M15" s="120">
        <f t="shared" si="7"/>
        <v>156.10650887573965</v>
      </c>
      <c r="N15" s="118">
        <f>N28*$B$35/10/$B$33</f>
        <v>0.54820408760548256</v>
      </c>
      <c r="O15" s="119">
        <f t="shared" si="8"/>
        <v>0.11407892297936678</v>
      </c>
      <c r="P15" s="120">
        <f t="shared" si="9"/>
        <v>126.27788764044942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9" t="s">
        <v>214</v>
      </c>
      <c r="X19" s="319" t="s">
        <v>214</v>
      </c>
    </row>
    <row r="20" spans="1:24" s="141" customFormat="1" ht="15.75" x14ac:dyDescent="0.25">
      <c r="A20" s="133" t="s">
        <v>185</v>
      </c>
      <c r="B20" s="134">
        <v>1.59</v>
      </c>
      <c r="C20" s="135" t="s">
        <v>172</v>
      </c>
      <c r="D20" s="136" t="s">
        <v>172</v>
      </c>
      <c r="E20" s="134">
        <v>1.69</v>
      </c>
      <c r="F20" s="135" t="s">
        <v>172</v>
      </c>
      <c r="G20" s="136" t="s">
        <v>172</v>
      </c>
      <c r="H20" s="134">
        <v>1.82</v>
      </c>
      <c r="I20" s="135" t="s">
        <v>172</v>
      </c>
      <c r="J20" s="136" t="s">
        <v>172</v>
      </c>
      <c r="K20" s="134">
        <v>1.69</v>
      </c>
      <c r="L20" s="135" t="s">
        <v>172</v>
      </c>
      <c r="M20" s="136" t="s">
        <v>172</v>
      </c>
      <c r="N20" s="143">
        <v>0.89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46.56</v>
      </c>
      <c r="F21" s="144" t="s">
        <v>172</v>
      </c>
      <c r="G21" s="145" t="s">
        <v>172</v>
      </c>
      <c r="H21" s="143">
        <v>51.53</v>
      </c>
      <c r="I21" s="144" t="s">
        <v>172</v>
      </c>
      <c r="J21" s="145" t="s">
        <v>172</v>
      </c>
      <c r="K21" s="143">
        <v>46.66</v>
      </c>
      <c r="L21" s="144" t="s">
        <v>172</v>
      </c>
      <c r="M21" s="145" t="s">
        <v>172</v>
      </c>
      <c r="N21" s="143">
        <v>21.7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42.07</v>
      </c>
      <c r="C22" s="144" t="s">
        <v>172</v>
      </c>
      <c r="D22" s="145" t="s">
        <v>172</v>
      </c>
      <c r="E22" s="143">
        <v>45.27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46.07</v>
      </c>
      <c r="L22" s="144" t="s">
        <v>172</v>
      </c>
      <c r="M22" s="145" t="s">
        <v>172</v>
      </c>
      <c r="N22" s="143">
        <v>21.99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42.44</v>
      </c>
      <c r="C23" s="144" t="s">
        <v>172</v>
      </c>
      <c r="D23" s="145" t="s">
        <v>172</v>
      </c>
      <c r="E23" s="143">
        <v>46.71</v>
      </c>
      <c r="F23" s="144" t="s">
        <v>172</v>
      </c>
      <c r="G23" s="145" t="s">
        <v>172</v>
      </c>
      <c r="H23" s="143">
        <v>50.29</v>
      </c>
      <c r="I23" s="144" t="s">
        <v>172</v>
      </c>
      <c r="J23" s="145" t="s">
        <v>172</v>
      </c>
      <c r="K23" s="143">
        <v>45.87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41.99</v>
      </c>
      <c r="C24" s="144" t="s">
        <v>172</v>
      </c>
      <c r="D24" s="145" t="s">
        <v>172</v>
      </c>
      <c r="E24" s="143">
        <v>44.89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47.07</v>
      </c>
      <c r="L24" s="144" t="s">
        <v>172</v>
      </c>
      <c r="M24" s="145" t="s">
        <v>172</v>
      </c>
      <c r="N24" s="143">
        <v>23.05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29.34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11.83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1.169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1.095</v>
      </c>
      <c r="L27" s="144" t="s">
        <v>172</v>
      </c>
      <c r="M27" s="145" t="s">
        <v>172</v>
      </c>
      <c r="N27" s="153">
        <v>0.54900000000000004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5.13</v>
      </c>
      <c r="I28" s="158" t="s">
        <v>172</v>
      </c>
      <c r="J28" s="159" t="s">
        <v>172</v>
      </c>
      <c r="K28" s="234">
        <v>5</v>
      </c>
      <c r="L28" s="158" t="s">
        <v>172</v>
      </c>
      <c r="M28" s="159" t="s">
        <v>172</v>
      </c>
      <c r="N28" s="234">
        <v>2.13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8.4871999999999996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2.0501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2.2685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5.2763999999999998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3.2216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B11" workbookViewId="0">
      <selection activeCell="I37" sqref="I3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43801</v>
      </c>
      <c r="E2" s="493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0.75879730626956277</v>
      </c>
      <c r="C6" s="103" t="s">
        <v>172</v>
      </c>
      <c r="D6" s="104" t="s">
        <v>172</v>
      </c>
      <c r="E6" s="102">
        <f>E20/$B$33</f>
        <v>0.8062221379114104</v>
      </c>
      <c r="F6" s="103" t="s">
        <v>172</v>
      </c>
      <c r="G6" s="104" t="s">
        <v>172</v>
      </c>
      <c r="H6" s="102">
        <f>H20/$B$33</f>
        <v>0.86787441904581242</v>
      </c>
      <c r="I6" s="103" t="s">
        <v>172</v>
      </c>
      <c r="J6" s="104" t="s">
        <v>172</v>
      </c>
      <c r="K6" s="102">
        <f>K20/$B$33</f>
        <v>0.8062221379114104</v>
      </c>
      <c r="L6" s="103" t="s">
        <v>172</v>
      </c>
      <c r="M6" s="104" t="s">
        <v>172</v>
      </c>
      <c r="N6" s="102">
        <f>N20/$B$33</f>
        <v>0.42682348477662907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0.66123000569097989</v>
      </c>
      <c r="C7" s="107">
        <f t="shared" ref="C7:C12" si="0">B7-B$6</f>
        <v>-9.7567300578582872E-2</v>
      </c>
      <c r="D7" s="108">
        <f t="shared" ref="D7:D12" si="1">B7/B$6*100</f>
        <v>87.141849375000007</v>
      </c>
      <c r="E7" s="102">
        <f>E21*$B$36/100/$B$33</f>
        <v>0.72552709380631697</v>
      </c>
      <c r="F7" s="107">
        <f t="shared" ref="F7:F15" si="2">E7-E$6</f>
        <v>-8.0695044105093428E-2</v>
      </c>
      <c r="G7" s="108">
        <f t="shared" ref="G7:G15" si="3">E7/E$6*100</f>
        <v>89.990966470588234</v>
      </c>
      <c r="H7" s="102">
        <f>H21*$B$36/100/$B$33</f>
        <v>0.80355754054823114</v>
      </c>
      <c r="I7" s="107">
        <f t="shared" ref="I7:I15" si="4">H7-H$6</f>
        <v>-6.4316878497581276E-2</v>
      </c>
      <c r="J7" s="108">
        <f t="shared" ref="J7:J15" si="5">H7/H$6*100</f>
        <v>92.58914918032788</v>
      </c>
      <c r="K7" s="102">
        <f>K21*$B$36/100/$B$33</f>
        <v>0.7344225647348952</v>
      </c>
      <c r="L7" s="107">
        <f t="shared" ref="L7:L15" si="6">K7-K$6</f>
        <v>-7.1799573176515197E-2</v>
      </c>
      <c r="M7" s="108">
        <f t="shared" ref="M7:M15" si="7">K7/K$6*100</f>
        <v>91.09431882352942</v>
      </c>
      <c r="N7" s="102">
        <f>N21*$B$36/100/$B$33</f>
        <v>0.35176125391254859</v>
      </c>
      <c r="O7" s="107">
        <f t="shared" ref="O7:O15" si="8">N7-N$6</f>
        <v>-7.5062230864080481E-2</v>
      </c>
      <c r="P7" s="108">
        <f t="shared" ref="P7:P15" si="9">N7/N$6*100</f>
        <v>82.413753333333332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0.65779666603433551</v>
      </c>
      <c r="C8" s="107">
        <f t="shared" si="0"/>
        <v>-0.10100064023522726</v>
      </c>
      <c r="D8" s="108">
        <f t="shared" si="1"/>
        <v>86.689378124999976</v>
      </c>
      <c r="E8" s="102">
        <f>E22*$B$36/100/$B$33</f>
        <v>0.70695584748174145</v>
      </c>
      <c r="F8" s="107">
        <f t="shared" si="2"/>
        <v>-9.9266290429668946E-2</v>
      </c>
      <c r="G8" s="108">
        <f t="shared" si="3"/>
        <v>87.687476470588237</v>
      </c>
      <c r="H8" s="102">
        <f>H22*$B$36/100/$B$33</f>
        <v>0.80215299250687666</v>
      </c>
      <c r="I8" s="107">
        <f t="shared" si="4"/>
        <v>-6.5721426538935757E-2</v>
      </c>
      <c r="J8" s="108">
        <f t="shared" si="5"/>
        <v>92.427311475409837</v>
      </c>
      <c r="K8" s="102">
        <f>K22*$B$36/100/$B$33</f>
        <v>0.72396648487147874</v>
      </c>
      <c r="L8" s="107">
        <f t="shared" si="6"/>
        <v>-8.2255653039931653E-2</v>
      </c>
      <c r="M8" s="108">
        <f t="shared" si="7"/>
        <v>89.797395882352944</v>
      </c>
      <c r="N8" s="102">
        <f>N22*$B$36/100/$B$33</f>
        <v>0.3573794460779664</v>
      </c>
      <c r="O8" s="107">
        <f t="shared" si="8"/>
        <v>-6.9444038698662669E-2</v>
      </c>
      <c r="P8" s="108">
        <f t="shared" si="9"/>
        <v>83.730033333333324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0.66201031015839895</v>
      </c>
      <c r="C9" s="107">
        <f t="shared" si="0"/>
        <v>-9.6786996111163814E-2</v>
      </c>
      <c r="D9" s="108">
        <f t="shared" si="1"/>
        <v>87.244683749999993</v>
      </c>
      <c r="E9" s="102">
        <f>E23*$B$36/100/$B$33</f>
        <v>0.72849225078250979</v>
      </c>
      <c r="F9" s="107">
        <f t="shared" si="2"/>
        <v>-7.772988712890061E-2</v>
      </c>
      <c r="G9" s="108">
        <f t="shared" si="3"/>
        <v>90.35875058823531</v>
      </c>
      <c r="H9" s="102">
        <f>H23*$B$36/100/$B$33</f>
        <v>0.78498629422365551</v>
      </c>
      <c r="I9" s="107">
        <f t="shared" si="4"/>
        <v>-8.2888124822156906E-2</v>
      </c>
      <c r="J9" s="108">
        <f t="shared" si="5"/>
        <v>90.449295081967207</v>
      </c>
      <c r="K9" s="102">
        <f>K23*$B$36/100/$B$33</f>
        <v>0.72256193683012426</v>
      </c>
      <c r="L9" s="107">
        <f t="shared" si="6"/>
        <v>-8.3660201081286134E-2</v>
      </c>
      <c r="M9" s="108">
        <f t="shared" si="7"/>
        <v>89.623182352941171</v>
      </c>
      <c r="N9" s="102">
        <f>N23*$B$36/100/$B$33</f>
        <v>0.37922797116570234</v>
      </c>
      <c r="O9" s="107">
        <f t="shared" si="8"/>
        <v>-4.7595513610926732E-2</v>
      </c>
      <c r="P9" s="108">
        <f t="shared" si="9"/>
        <v>88.848899999999986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0.65654817888646499</v>
      </c>
      <c r="C10" s="107">
        <f t="shared" si="0"/>
        <v>-0.10224912738309777</v>
      </c>
      <c r="D10" s="108">
        <f t="shared" si="1"/>
        <v>86.524843125000004</v>
      </c>
      <c r="E10" s="102">
        <f>E24*$B$36/100/$B$33</f>
        <v>0.69993310727496916</v>
      </c>
      <c r="F10" s="107">
        <f t="shared" si="2"/>
        <v>-0.10628903063644124</v>
      </c>
      <c r="G10" s="108">
        <f t="shared" si="3"/>
        <v>86.816408823529414</v>
      </c>
      <c r="H10" s="102">
        <f>H24*$B$36/100/$B$33</f>
        <v>0.81916362989661395</v>
      </c>
      <c r="I10" s="107">
        <f t="shared" si="4"/>
        <v>-4.8710789149198463E-2</v>
      </c>
      <c r="J10" s="108">
        <f t="shared" si="5"/>
        <v>94.38734590163935</v>
      </c>
      <c r="K10" s="102">
        <f>K24*$B$36/100/$B$33</f>
        <v>0.76625898700559614</v>
      </c>
      <c r="L10" s="107">
        <f t="shared" si="6"/>
        <v>-3.996315090581426E-2</v>
      </c>
      <c r="M10" s="108">
        <f t="shared" si="7"/>
        <v>95.04315882352941</v>
      </c>
      <c r="N10" s="102">
        <f>N24*$B$36/100/$B$33</f>
        <v>0.35972035948022391</v>
      </c>
      <c r="O10" s="107">
        <f t="shared" si="8"/>
        <v>-6.7103125296405164E-2</v>
      </c>
      <c r="P10" s="108">
        <f t="shared" si="9"/>
        <v>84.278483333333341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0.65939629019254486</v>
      </c>
      <c r="C11" s="236">
        <f t="shared" si="0"/>
        <v>-9.9401016077017901E-2</v>
      </c>
      <c r="D11" s="237">
        <f t="shared" si="1"/>
        <v>86.900188593750002</v>
      </c>
      <c r="E11" s="235">
        <f>AVERAGE(E7:E10)</f>
        <v>0.71522707483638426</v>
      </c>
      <c r="F11" s="236">
        <f t="shared" si="2"/>
        <v>-9.0995063075026139E-2</v>
      </c>
      <c r="G11" s="237">
        <f t="shared" si="3"/>
        <v>88.713400588235288</v>
      </c>
      <c r="H11" s="235">
        <f>AVERAGE(H7:H10)</f>
        <v>0.80246511429384437</v>
      </c>
      <c r="I11" s="236">
        <f t="shared" si="4"/>
        <v>-6.5409304751968045E-2</v>
      </c>
      <c r="J11" s="237">
        <f t="shared" si="5"/>
        <v>92.463275409836072</v>
      </c>
      <c r="K11" s="235">
        <f>AVERAGE(K7:K10)</f>
        <v>0.73680249336052361</v>
      </c>
      <c r="L11" s="236">
        <f t="shared" si="6"/>
        <v>-6.9419644550886783E-2</v>
      </c>
      <c r="M11" s="237">
        <f t="shared" si="7"/>
        <v>91.38951397058824</v>
      </c>
      <c r="N11" s="235">
        <f>AVERAGE(N7:N10)</f>
        <v>0.36202225765911028</v>
      </c>
      <c r="O11" s="236">
        <f t="shared" si="8"/>
        <v>-6.4801227117518789E-2</v>
      </c>
      <c r="P11" s="237">
        <f t="shared" si="9"/>
        <v>84.817792499999996</v>
      </c>
      <c r="Q11" s="109"/>
    </row>
    <row r="12" spans="1:19" s="96" customFormat="1" ht="15.75" x14ac:dyDescent="0.25">
      <c r="A12" s="110" t="s">
        <v>24</v>
      </c>
      <c r="B12" s="102">
        <f>B25*$B$32/100/$B$33</f>
        <v>1.1831540073982738</v>
      </c>
      <c r="C12" s="107">
        <f t="shared" si="0"/>
        <v>0.42435670112871104</v>
      </c>
      <c r="D12" s="108">
        <f t="shared" si="1"/>
        <v>155.92490875000001</v>
      </c>
      <c r="E12" s="102">
        <f>E25*$B$32/100/$B$33</f>
        <v>1.2249025609409088</v>
      </c>
      <c r="F12" s="107">
        <f t="shared" si="2"/>
        <v>0.41868042302949837</v>
      </c>
      <c r="G12" s="108">
        <f t="shared" si="3"/>
        <v>151.93114941176472</v>
      </c>
      <c r="H12" s="102">
        <f>H25*$B$32/100/$B$33</f>
        <v>1.3710224983401311</v>
      </c>
      <c r="I12" s="107">
        <f t="shared" si="4"/>
        <v>0.50314807929431871</v>
      </c>
      <c r="J12" s="108">
        <f t="shared" si="5"/>
        <v>157.97475628415302</v>
      </c>
      <c r="K12" s="102">
        <f>K25*$B$32/100/$B$33</f>
        <v>1.1205311770843214</v>
      </c>
      <c r="L12" s="107">
        <f t="shared" si="6"/>
        <v>0.31430903917291098</v>
      </c>
      <c r="M12" s="108">
        <f t="shared" si="7"/>
        <v>138.98541411764705</v>
      </c>
      <c r="N12" s="102">
        <f>N25*$B$32/100/$B$33</f>
        <v>0.5080798966138671</v>
      </c>
      <c r="O12" s="107">
        <f t="shared" si="8"/>
        <v>8.125641183723803E-2</v>
      </c>
      <c r="P12" s="108">
        <f t="shared" si="9"/>
        <v>119.03747444444446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1.3691315564829745</v>
      </c>
      <c r="F13" s="107">
        <f t="shared" si="2"/>
        <v>0.56290941857156407</v>
      </c>
      <c r="G13" s="108">
        <f t="shared" si="3"/>
        <v>169.82063529411764</v>
      </c>
      <c r="H13" s="102">
        <f>H26*$B$34/$B$33</f>
        <v>1.4296639002181541</v>
      </c>
      <c r="I13" s="107">
        <f t="shared" si="4"/>
        <v>0.56178948117234173</v>
      </c>
      <c r="J13" s="108">
        <f t="shared" si="5"/>
        <v>164.7316557377049</v>
      </c>
      <c r="K13" s="102">
        <f>K26*$B$34/$B$33</f>
        <v>1.270078630370862</v>
      </c>
      <c r="L13" s="107">
        <f t="shared" si="6"/>
        <v>0.4638564924594516</v>
      </c>
      <c r="M13" s="108">
        <f t="shared" si="7"/>
        <v>157.53457647058821</v>
      </c>
      <c r="N13" s="102">
        <f>N26*$B$34/$B$33</f>
        <v>0.58881461633311205</v>
      </c>
      <c r="O13" s="107">
        <f t="shared" si="8"/>
        <v>0.16199113155648298</v>
      </c>
      <c r="P13" s="108">
        <f t="shared" si="9"/>
        <v>137.95272222222221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1.2777827468462486</v>
      </c>
      <c r="F14" s="107">
        <f t="shared" si="2"/>
        <v>0.4715606089348382</v>
      </c>
      <c r="G14" s="108">
        <f t="shared" si="3"/>
        <v>158.49015882352938</v>
      </c>
      <c r="H14" s="102">
        <f>H27*$B$34/$B$33</f>
        <v>1.380137437162098</v>
      </c>
      <c r="I14" s="107">
        <f t="shared" si="4"/>
        <v>0.51226301811628561</v>
      </c>
      <c r="J14" s="108">
        <f t="shared" si="5"/>
        <v>159.02501639344263</v>
      </c>
      <c r="K14" s="102">
        <f>K27*$B$34/$B$33</f>
        <v>1.2051439343640331</v>
      </c>
      <c r="L14" s="107">
        <f t="shared" si="6"/>
        <v>0.39892179645262271</v>
      </c>
      <c r="M14" s="108">
        <f t="shared" si="7"/>
        <v>149.48038235294118</v>
      </c>
      <c r="N14" s="102">
        <f>N27*$B$34/$B$33</f>
        <v>0.60422284928388503</v>
      </c>
      <c r="O14" s="107">
        <f t="shared" si="8"/>
        <v>0.17739936450725596</v>
      </c>
      <c r="P14" s="108">
        <f t="shared" si="9"/>
        <v>141.56270000000001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1.2569987669543774</v>
      </c>
      <c r="F15" s="119">
        <f t="shared" si="2"/>
        <v>0.450776629042967</v>
      </c>
      <c r="G15" s="120">
        <f t="shared" si="3"/>
        <v>155.91221176470589</v>
      </c>
      <c r="H15" s="118">
        <f>H28*$B$35/10/$B$33</f>
        <v>1.3129784691264348</v>
      </c>
      <c r="I15" s="119">
        <f t="shared" si="4"/>
        <v>0.44510405008062237</v>
      </c>
      <c r="J15" s="120">
        <f t="shared" si="5"/>
        <v>151.28668852459018</v>
      </c>
      <c r="K15" s="118">
        <f>K28*$B$35/10/$B$33</f>
        <v>1.2824440861234943</v>
      </c>
      <c r="L15" s="119">
        <f t="shared" si="6"/>
        <v>0.47622194821208386</v>
      </c>
      <c r="M15" s="120">
        <f t="shared" si="7"/>
        <v>159.06832941176469</v>
      </c>
      <c r="N15" s="118">
        <f>N28*$B$35/10/$B$33</f>
        <v>0.57506421322204293</v>
      </c>
      <c r="O15" s="119">
        <f t="shared" si="8"/>
        <v>0.14824072844541386</v>
      </c>
      <c r="P15" s="120">
        <f t="shared" si="9"/>
        <v>134.73115555555552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1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19" t="s">
        <v>214</v>
      </c>
      <c r="X19" s="319" t="s">
        <v>214</v>
      </c>
    </row>
    <row r="20" spans="1:24" s="141" customFormat="1" ht="15.75" x14ac:dyDescent="0.25">
      <c r="A20" s="133" t="s">
        <v>185</v>
      </c>
      <c r="B20" s="134">
        <v>1.6</v>
      </c>
      <c r="C20" s="135" t="s">
        <v>172</v>
      </c>
      <c r="D20" s="136" t="s">
        <v>172</v>
      </c>
      <c r="E20" s="134">
        <v>1.7</v>
      </c>
      <c r="F20" s="135" t="s">
        <v>172</v>
      </c>
      <c r="G20" s="136" t="s">
        <v>172</v>
      </c>
      <c r="H20" s="134">
        <v>1.83</v>
      </c>
      <c r="I20" s="135" t="s">
        <v>172</v>
      </c>
      <c r="J20" s="136" t="s">
        <v>172</v>
      </c>
      <c r="K20" s="134">
        <v>1.7</v>
      </c>
      <c r="L20" s="135" t="s">
        <v>172</v>
      </c>
      <c r="M20" s="136" t="s">
        <v>172</v>
      </c>
      <c r="N20" s="143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42.37</v>
      </c>
      <c r="C21" s="144" t="s">
        <v>172</v>
      </c>
      <c r="D21" s="145" t="s">
        <v>172</v>
      </c>
      <c r="E21" s="143">
        <v>46.49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47.06</v>
      </c>
      <c r="L21" s="144" t="s">
        <v>172</v>
      </c>
      <c r="M21" s="145" t="s">
        <v>172</v>
      </c>
      <c r="N21" s="143">
        <v>22.54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42.15</v>
      </c>
      <c r="C22" s="144" t="s">
        <v>172</v>
      </c>
      <c r="D22" s="145" t="s">
        <v>172</v>
      </c>
      <c r="E22" s="143">
        <v>45.3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46.39</v>
      </c>
      <c r="L22" s="144" t="s">
        <v>172</v>
      </c>
      <c r="M22" s="145" t="s">
        <v>172</v>
      </c>
      <c r="N22" s="143">
        <v>22.9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42.42</v>
      </c>
      <c r="C23" s="144" t="s">
        <v>172</v>
      </c>
      <c r="D23" s="145" t="s">
        <v>172</v>
      </c>
      <c r="E23" s="143">
        <v>46.68</v>
      </c>
      <c r="F23" s="144" t="s">
        <v>172</v>
      </c>
      <c r="G23" s="145" t="s">
        <v>172</v>
      </c>
      <c r="H23" s="143">
        <v>50.3</v>
      </c>
      <c r="I23" s="144" t="s">
        <v>172</v>
      </c>
      <c r="J23" s="145" t="s">
        <v>172</v>
      </c>
      <c r="K23" s="143">
        <v>46.3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42.07</v>
      </c>
      <c r="C24" s="144" t="s">
        <v>172</v>
      </c>
      <c r="D24" s="145" t="s">
        <v>172</v>
      </c>
      <c r="E24" s="143">
        <v>44.85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49.1</v>
      </c>
      <c r="L24" s="144" t="s">
        <v>172</v>
      </c>
      <c r="M24" s="145" t="s">
        <v>172</v>
      </c>
      <c r="N24" s="143">
        <v>23.05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29.34</v>
      </c>
      <c r="F25" s="144" t="s">
        <v>172</v>
      </c>
      <c r="G25" s="145" t="s">
        <v>172</v>
      </c>
      <c r="H25" s="143">
        <v>32.840000000000003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12.17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1.1539999999999999</v>
      </c>
      <c r="L26" s="144" t="s">
        <v>172</v>
      </c>
      <c r="M26" s="145" t="s">
        <v>172</v>
      </c>
      <c r="N26" s="153">
        <v>0.53500000000000003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1.095</v>
      </c>
      <c r="L27" s="144" t="s">
        <v>172</v>
      </c>
      <c r="M27" s="145" t="s">
        <v>172</v>
      </c>
      <c r="N27" s="153">
        <v>0.54900000000000004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4.9400000000000004</v>
      </c>
      <c r="F28" s="158" t="s">
        <v>172</v>
      </c>
      <c r="G28" s="159" t="s">
        <v>172</v>
      </c>
      <c r="H28" s="234">
        <v>5.16</v>
      </c>
      <c r="I28" s="158" t="s">
        <v>172</v>
      </c>
      <c r="J28" s="159" t="s">
        <v>172</v>
      </c>
      <c r="K28" s="234">
        <v>5.04</v>
      </c>
      <c r="L28" s="158" t="s">
        <v>172</v>
      </c>
      <c r="M28" s="159" t="s">
        <v>172</v>
      </c>
      <c r="N28" s="234">
        <v>2.2599999999999998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1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8.8031000000000006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2.1086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2.3207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5.3654000000000002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3.2907000000000002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43807</v>
      </c>
      <c r="E2" s="493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0.76108537392455322</v>
      </c>
      <c r="C6" s="103" t="s">
        <v>172</v>
      </c>
      <c r="D6" s="104" t="s">
        <v>172</v>
      </c>
      <c r="E6" s="102">
        <f>E20/$B$33</f>
        <v>0.80835775739812799</v>
      </c>
      <c r="F6" s="103" t="s">
        <v>172</v>
      </c>
      <c r="G6" s="104" t="s">
        <v>172</v>
      </c>
      <c r="H6" s="102">
        <f>H20/$B$33</f>
        <v>0.86981185591377519</v>
      </c>
      <c r="I6" s="103" t="s">
        <v>172</v>
      </c>
      <c r="J6" s="104" t="s">
        <v>172</v>
      </c>
      <c r="K6" s="102">
        <f>K20/$B$33</f>
        <v>0.80835775739812799</v>
      </c>
      <c r="L6" s="103" t="s">
        <v>172</v>
      </c>
      <c r="M6" s="104" t="s">
        <v>172</v>
      </c>
      <c r="N6" s="102">
        <f>N20/$B$33</f>
        <v>0.4254514512621726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0.6653436702278529</v>
      </c>
      <c r="C7" s="107">
        <f t="shared" ref="C7:C12" si="0">B7-B$6</f>
        <v>-9.574170369670032E-2</v>
      </c>
      <c r="D7" s="108">
        <f t="shared" ref="D7:D12" si="1">B7/B$6*100</f>
        <v>87.420372670807467</v>
      </c>
      <c r="E7" s="102">
        <f>E21*$B$36/100/$B$33</f>
        <v>0.73015190980429223</v>
      </c>
      <c r="F7" s="107">
        <f t="shared" ref="F7:F15" si="2">E7-E$6</f>
        <v>-7.8205847593835753E-2</v>
      </c>
      <c r="G7" s="108">
        <f t="shared" ref="G7:G15" si="3">E7/E$6*100</f>
        <v>90.325342105263147</v>
      </c>
      <c r="H7" s="102">
        <f>H21*$B$36/100/$B$33</f>
        <v>0.80798456556679599</v>
      </c>
      <c r="I7" s="107">
        <f t="shared" ref="I7:I15" si="4">H7-H$6</f>
        <v>-6.1827290346979202E-2</v>
      </c>
      <c r="J7" s="108">
        <f t="shared" ref="J7:J15" si="5">H7/H$6*100</f>
        <v>92.89187771739131</v>
      </c>
      <c r="K7" s="102">
        <f>K21*$B$36/100/$B$33</f>
        <v>0.73941022974378356</v>
      </c>
      <c r="L7" s="107">
        <f t="shared" ref="L7:L15" si="6">K7-K$6</f>
        <v>-6.894752765434442E-2</v>
      </c>
      <c r="M7" s="108">
        <f t="shared" ref="M7:M15" si="7">K7/K$6*100</f>
        <v>91.470666666666659</v>
      </c>
      <c r="N7" s="102">
        <f>N21*$B$36/100/$B$33</f>
        <v>0.36217292237874626</v>
      </c>
      <c r="O7" s="107">
        <f t="shared" ref="O7:O15" si="8">N7-N$6</f>
        <v>-6.3278528883426333E-2</v>
      </c>
      <c r="P7" s="108">
        <f t="shared" ref="P7:P15" si="9">N7/N$6*100</f>
        <v>85.12673333333332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0.66126373262739901</v>
      </c>
      <c r="C8" s="107">
        <f t="shared" si="0"/>
        <v>-9.9821641297154207E-2</v>
      </c>
      <c r="D8" s="108">
        <f t="shared" si="1"/>
        <v>86.884304347826074</v>
      </c>
      <c r="E8" s="102">
        <f>E22*$B$36/100/$B$33</f>
        <v>0.7103799045097855</v>
      </c>
      <c r="F8" s="107">
        <f t="shared" si="2"/>
        <v>-9.7977852888342487E-2</v>
      </c>
      <c r="G8" s="108">
        <f t="shared" si="3"/>
        <v>87.879394736842116</v>
      </c>
      <c r="H8" s="102">
        <f>H22*$B$36/100/$B$33</f>
        <v>0.80657227947433108</v>
      </c>
      <c r="I8" s="107">
        <f t="shared" si="4"/>
        <v>-6.3239576439444112E-2</v>
      </c>
      <c r="J8" s="108">
        <f t="shared" si="5"/>
        <v>92.729510869565217</v>
      </c>
      <c r="K8" s="102">
        <f>K22*$B$36/100/$B$33</f>
        <v>0.72544428949607631</v>
      </c>
      <c r="L8" s="107">
        <f t="shared" si="6"/>
        <v>-8.2913467902051674E-2</v>
      </c>
      <c r="M8" s="108">
        <f t="shared" si="7"/>
        <v>89.742973684210511</v>
      </c>
      <c r="N8" s="102">
        <f>N22*$B$36/100/$B$33</f>
        <v>0.36562517727143801</v>
      </c>
      <c r="O8" s="107">
        <f t="shared" si="8"/>
        <v>-5.9826273990734591E-2</v>
      </c>
      <c r="P8" s="108">
        <f t="shared" si="9"/>
        <v>85.938166666666675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0.66722671835113934</v>
      </c>
      <c r="C9" s="107">
        <f t="shared" si="0"/>
        <v>-9.3858655573413885E-2</v>
      </c>
      <c r="D9" s="108">
        <f t="shared" si="1"/>
        <v>87.667788819875796</v>
      </c>
      <c r="E9" s="102">
        <f>E23*$B$36/100/$B$33</f>
        <v>0.72968114777347071</v>
      </c>
      <c r="F9" s="107">
        <f t="shared" si="2"/>
        <v>-7.8676609624657279E-2</v>
      </c>
      <c r="G9" s="108">
        <f t="shared" si="3"/>
        <v>90.267105263157902</v>
      </c>
      <c r="H9" s="102">
        <f>H23*$B$36/100/$B$33</f>
        <v>0.78931100501087248</v>
      </c>
      <c r="I9" s="107">
        <f t="shared" si="4"/>
        <v>-8.050085090290271E-2</v>
      </c>
      <c r="J9" s="108">
        <f t="shared" si="5"/>
        <v>90.745027173913016</v>
      </c>
      <c r="K9" s="102">
        <f>K23*$B$36/100/$B$33</f>
        <v>0.73313340266616234</v>
      </c>
      <c r="L9" s="107">
        <f t="shared" si="6"/>
        <v>-7.5224354731965648E-2</v>
      </c>
      <c r="M9" s="108">
        <f t="shared" si="7"/>
        <v>90.694175438596474</v>
      </c>
      <c r="N9" s="102">
        <f>N23*$B$36/100/$B$33</f>
        <v>0.38131724496549119</v>
      </c>
      <c r="O9" s="107">
        <f t="shared" si="8"/>
        <v>-4.4134206296681411E-2</v>
      </c>
      <c r="P9" s="108">
        <f t="shared" si="9"/>
        <v>89.626500000000021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0.66189141533516127</v>
      </c>
      <c r="C10" s="107">
        <f t="shared" si="0"/>
        <v>-9.9193958589391951E-2</v>
      </c>
      <c r="D10" s="108">
        <f t="shared" si="1"/>
        <v>86.966776397515545</v>
      </c>
      <c r="E10" s="102">
        <f>E24*$B$36/100/$B$33</f>
        <v>0.7103799045097855</v>
      </c>
      <c r="F10" s="107">
        <f t="shared" si="2"/>
        <v>-9.7977852888342487E-2</v>
      </c>
      <c r="G10" s="108">
        <f t="shared" si="3"/>
        <v>87.879394736842116</v>
      </c>
      <c r="H10" s="102">
        <f>H24*$B$36/100/$B$33</f>
        <v>0.82367663326084894</v>
      </c>
      <c r="I10" s="107">
        <f t="shared" si="4"/>
        <v>-4.6135222652926244E-2</v>
      </c>
      <c r="J10" s="108">
        <f t="shared" si="5"/>
        <v>94.695953804347823</v>
      </c>
      <c r="K10" s="102">
        <f>K24*$B$36/100/$B$33</f>
        <v>0.74035175380542684</v>
      </c>
      <c r="L10" s="107">
        <f t="shared" si="6"/>
        <v>-6.8006003592701147E-2</v>
      </c>
      <c r="M10" s="108">
        <f t="shared" si="7"/>
        <v>91.587140350877192</v>
      </c>
      <c r="N10" s="102">
        <f>N24*$B$36/100/$B$33</f>
        <v>0.34522548926916891</v>
      </c>
      <c r="O10" s="107">
        <f t="shared" si="8"/>
        <v>-8.0225961993003692E-2</v>
      </c>
      <c r="P10" s="108">
        <f t="shared" si="9"/>
        <v>81.143333333333331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0.6639313841353881</v>
      </c>
      <c r="C11" s="236">
        <f t="shared" si="0"/>
        <v>-9.7153989789165118E-2</v>
      </c>
      <c r="D11" s="237">
        <f t="shared" si="1"/>
        <v>87.23481055900622</v>
      </c>
      <c r="E11" s="235">
        <f>AVERAGE(E7:E10)</f>
        <v>0.72014821664933348</v>
      </c>
      <c r="F11" s="236">
        <f t="shared" si="2"/>
        <v>-8.8209540748794502E-2</v>
      </c>
      <c r="G11" s="237">
        <f t="shared" si="3"/>
        <v>89.087809210526331</v>
      </c>
      <c r="H11" s="235">
        <f>AVERAGE(H7:H10)</f>
        <v>0.80688612082821209</v>
      </c>
      <c r="I11" s="236">
        <f t="shared" si="4"/>
        <v>-6.2925735085563095E-2</v>
      </c>
      <c r="J11" s="237">
        <f t="shared" si="5"/>
        <v>92.765592391304338</v>
      </c>
      <c r="K11" s="235">
        <f>AVERAGE(K7:K10)</f>
        <v>0.73458491892786226</v>
      </c>
      <c r="L11" s="236">
        <f t="shared" si="6"/>
        <v>-7.3772838470265722E-2</v>
      </c>
      <c r="M11" s="237">
        <f t="shared" si="7"/>
        <v>90.873739035087709</v>
      </c>
      <c r="N11" s="235">
        <f>AVERAGE(N7:N10)</f>
        <v>0.36358520847121106</v>
      </c>
      <c r="O11" s="236">
        <f t="shared" si="8"/>
        <v>-6.1866242790961534E-2</v>
      </c>
      <c r="P11" s="237">
        <f t="shared" si="9"/>
        <v>85.458683333333326</v>
      </c>
      <c r="Q11" s="109"/>
    </row>
    <row r="12" spans="1:19" s="96" customFormat="1" ht="15.75" x14ac:dyDescent="0.25">
      <c r="A12" s="110" t="s">
        <v>24</v>
      </c>
      <c r="B12" s="102">
        <f>B25*$B$32/100/$B$33</f>
        <v>1.1946500992720051</v>
      </c>
      <c r="C12" s="107">
        <f t="shared" si="0"/>
        <v>0.43356472534745183</v>
      </c>
      <c r="D12" s="108">
        <f t="shared" si="1"/>
        <v>156.96663478260868</v>
      </c>
      <c r="E12" s="102">
        <f>E25*$B$32/100/$B$33</f>
        <v>1.2368043017868959</v>
      </c>
      <c r="F12" s="107">
        <f t="shared" si="2"/>
        <v>0.42844654438876795</v>
      </c>
      <c r="G12" s="108">
        <f t="shared" si="3"/>
        <v>153.00209473684211</v>
      </c>
      <c r="H12" s="102">
        <f>H25*$B$32/100/$B$33</f>
        <v>1.3695900397088019</v>
      </c>
      <c r="I12" s="107">
        <f t="shared" si="4"/>
        <v>0.4997781837950267</v>
      </c>
      <c r="J12" s="108">
        <f t="shared" si="5"/>
        <v>157.4581940217391</v>
      </c>
      <c r="K12" s="102">
        <f>K25*$B$32/100/$B$33</f>
        <v>1.1314187954996688</v>
      </c>
      <c r="L12" s="107">
        <f t="shared" si="6"/>
        <v>0.32306103810154085</v>
      </c>
      <c r="M12" s="108">
        <f t="shared" si="7"/>
        <v>139.96510643274851</v>
      </c>
      <c r="N12" s="102">
        <f>N25*$B$32/100/$B$33</f>
        <v>0.5222905691594969</v>
      </c>
      <c r="O12" s="107">
        <f t="shared" si="8"/>
        <v>9.6839117897324301E-2</v>
      </c>
      <c r="P12" s="108">
        <f t="shared" si="9"/>
        <v>122.76149666666664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1.3918249976363808</v>
      </c>
      <c r="F13" s="107">
        <f t="shared" si="2"/>
        <v>0.5834672402382528</v>
      </c>
      <c r="G13" s="108">
        <f t="shared" si="3"/>
        <v>172.17933333333332</v>
      </c>
      <c r="H13" s="102">
        <f>H26*$B$34/$B$33</f>
        <v>1.452869953673064</v>
      </c>
      <c r="I13" s="107">
        <f t="shared" si="4"/>
        <v>0.58305809775928885</v>
      </c>
      <c r="J13" s="108">
        <f t="shared" si="5"/>
        <v>167.03266847826086</v>
      </c>
      <c r="K13" s="102">
        <f>K26*$B$34/$B$33</f>
        <v>1.2919332513945352</v>
      </c>
      <c r="L13" s="107">
        <f t="shared" si="6"/>
        <v>0.4835754939964072</v>
      </c>
      <c r="M13" s="108">
        <f t="shared" si="7"/>
        <v>159.82196491228069</v>
      </c>
      <c r="N13" s="102">
        <f>N26*$B$34/$B$33</f>
        <v>0.6049000189089534</v>
      </c>
      <c r="O13" s="107">
        <f t="shared" si="8"/>
        <v>0.1794485676467808</v>
      </c>
      <c r="P13" s="108">
        <f t="shared" si="9"/>
        <v>142.17838888888889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1.27084499385459</v>
      </c>
      <c r="F14" s="107">
        <f t="shared" si="2"/>
        <v>0.46248723645646206</v>
      </c>
      <c r="G14" s="108">
        <f t="shared" si="3"/>
        <v>157.21318713450293</v>
      </c>
      <c r="H14" s="102">
        <f>H27*$B$34/$B$33</f>
        <v>1.3918249976363808</v>
      </c>
      <c r="I14" s="107">
        <f t="shared" si="4"/>
        <v>0.5220131417226056</v>
      </c>
      <c r="J14" s="108">
        <f t="shared" si="5"/>
        <v>160.01448913043475</v>
      </c>
      <c r="K14" s="102">
        <f>K27*$B$34/$B$33</f>
        <v>1.2086901295263306</v>
      </c>
      <c r="L14" s="107">
        <f t="shared" si="6"/>
        <v>0.40033237212820261</v>
      </c>
      <c r="M14" s="108">
        <f t="shared" si="7"/>
        <v>149.52415789473685</v>
      </c>
      <c r="N14" s="102">
        <f>N27*$B$34/$B$33</f>
        <v>0.60933965207525764</v>
      </c>
      <c r="O14" s="107">
        <f t="shared" si="8"/>
        <v>0.18388820081308505</v>
      </c>
      <c r="P14" s="108">
        <f t="shared" si="9"/>
        <v>143.22190000000001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1.2831062683180487</v>
      </c>
      <c r="F15" s="119">
        <f t="shared" si="2"/>
        <v>0.47474851091992076</v>
      </c>
      <c r="G15" s="120">
        <f t="shared" si="3"/>
        <v>158.73000000000002</v>
      </c>
      <c r="H15" s="118">
        <f>H28*$B$35/10/$B$33</f>
        <v>1.35843032050676</v>
      </c>
      <c r="I15" s="119">
        <f t="shared" si="4"/>
        <v>0.48861846459298486</v>
      </c>
      <c r="J15" s="120">
        <f t="shared" si="5"/>
        <v>156.1751902173913</v>
      </c>
      <c r="K15" s="118">
        <f>K28*$B$35/10/$B$33</f>
        <v>1.3168722227474712</v>
      </c>
      <c r="L15" s="119">
        <f t="shared" si="6"/>
        <v>0.50851446534934319</v>
      </c>
      <c r="M15" s="120">
        <f t="shared" si="7"/>
        <v>162.90710526315792</v>
      </c>
      <c r="N15" s="118">
        <f>N28*$B$35/10/$B$33</f>
        <v>0.60259241750969073</v>
      </c>
      <c r="O15" s="119">
        <f t="shared" si="8"/>
        <v>0.17714096624751813</v>
      </c>
      <c r="P15" s="120">
        <f t="shared" si="9"/>
        <v>141.636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24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24" t="s">
        <v>214</v>
      </c>
      <c r="X19" s="324" t="s">
        <v>214</v>
      </c>
    </row>
    <row r="20" spans="1:24" s="141" customFormat="1" ht="15.75" x14ac:dyDescent="0.25">
      <c r="A20" s="133" t="s">
        <v>185</v>
      </c>
      <c r="B20" s="134">
        <v>1.61</v>
      </c>
      <c r="C20" s="135" t="s">
        <v>172</v>
      </c>
      <c r="D20" s="136" t="s">
        <v>172</v>
      </c>
      <c r="E20" s="134">
        <v>1.71</v>
      </c>
      <c r="F20" s="135" t="s">
        <v>172</v>
      </c>
      <c r="G20" s="136" t="s">
        <v>172</v>
      </c>
      <c r="H20" s="134">
        <v>1.84</v>
      </c>
      <c r="I20" s="135" t="s">
        <v>172</v>
      </c>
      <c r="J20" s="136" t="s">
        <v>172</v>
      </c>
      <c r="K20" s="134">
        <v>1.71</v>
      </c>
      <c r="L20" s="135" t="s">
        <v>172</v>
      </c>
      <c r="M20" s="136" t="s">
        <v>172</v>
      </c>
      <c r="N20" s="143">
        <v>0.9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46.53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23.08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42.14</v>
      </c>
      <c r="C22" s="144" t="s">
        <v>172</v>
      </c>
      <c r="D22" s="145" t="s">
        <v>172</v>
      </c>
      <c r="E22" s="143">
        <v>45.27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46.23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42.52</v>
      </c>
      <c r="C23" s="144" t="s">
        <v>172</v>
      </c>
      <c r="D23" s="145" t="s">
        <v>172</v>
      </c>
      <c r="E23" s="143">
        <v>46.5</v>
      </c>
      <c r="F23" s="144" t="s">
        <v>172</v>
      </c>
      <c r="G23" s="145" t="s">
        <v>172</v>
      </c>
      <c r="H23" s="143">
        <v>50.3</v>
      </c>
      <c r="I23" s="144" t="s">
        <v>172</v>
      </c>
      <c r="J23" s="145" t="s">
        <v>172</v>
      </c>
      <c r="K23" s="143">
        <v>46.72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42.18</v>
      </c>
      <c r="C24" s="144" t="s">
        <v>172</v>
      </c>
      <c r="D24" s="145" t="s">
        <v>172</v>
      </c>
      <c r="E24" s="143">
        <v>45.27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47.18</v>
      </c>
      <c r="L24" s="144" t="s">
        <v>172</v>
      </c>
      <c r="M24" s="145" t="s">
        <v>172</v>
      </c>
      <c r="N24" s="143">
        <v>22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28.34</v>
      </c>
      <c r="C25" s="144" t="s">
        <v>172</v>
      </c>
      <c r="D25" s="145" t="s">
        <v>172</v>
      </c>
      <c r="E25" s="143">
        <v>29.34</v>
      </c>
      <c r="F25" s="144" t="s">
        <v>172</v>
      </c>
      <c r="G25" s="145" t="s">
        <v>172</v>
      </c>
      <c r="H25" s="143">
        <v>32.49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12.39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1.254</v>
      </c>
      <c r="F26" s="144" t="s">
        <v>172</v>
      </c>
      <c r="G26" s="145" t="s">
        <v>172</v>
      </c>
      <c r="H26" s="153">
        <v>1.3089999999999999</v>
      </c>
      <c r="I26" s="144" t="s">
        <v>172</v>
      </c>
      <c r="J26" s="145" t="s">
        <v>172</v>
      </c>
      <c r="K26" s="153">
        <v>1.1639999999999999</v>
      </c>
      <c r="L26" s="144" t="s">
        <v>172</v>
      </c>
      <c r="M26" s="145" t="s">
        <v>172</v>
      </c>
      <c r="N26" s="153">
        <v>0.54500000000000004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1.145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1.089</v>
      </c>
      <c r="L27" s="144" t="s">
        <v>172</v>
      </c>
      <c r="M27" s="145" t="s">
        <v>172</v>
      </c>
      <c r="N27" s="153">
        <v>0.54900000000000004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4.9400000000000004</v>
      </c>
      <c r="F28" s="158" t="s">
        <v>172</v>
      </c>
      <c r="G28" s="159" t="s">
        <v>172</v>
      </c>
      <c r="H28" s="234">
        <v>5.23</v>
      </c>
      <c r="I28" s="158" t="s">
        <v>172</v>
      </c>
      <c r="J28" s="159" t="s">
        <v>172</v>
      </c>
      <c r="K28" s="234">
        <v>5.07</v>
      </c>
      <c r="L28" s="158" t="s">
        <v>172</v>
      </c>
      <c r="M28" s="159" t="s">
        <v>172</v>
      </c>
      <c r="N28" s="234">
        <v>2.3199999999999998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3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8.9172999999999991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2.1154000000000002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2.3479000000000001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5.4945000000000004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3.3195000000000001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AA47" sqref="AA4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43814</v>
      </c>
      <c r="E2" s="493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0.7711348057882712</v>
      </c>
      <c r="C6" s="103" t="s">
        <v>172</v>
      </c>
      <c r="D6" s="104" t="s">
        <v>172</v>
      </c>
      <c r="E6" s="102">
        <f>E20/$B$33</f>
        <v>0.81873571972581871</v>
      </c>
      <c r="F6" s="103" t="s">
        <v>172</v>
      </c>
      <c r="G6" s="104" t="s">
        <v>172</v>
      </c>
      <c r="H6" s="102">
        <f>H20/$B$33</f>
        <v>0.88061690784463065</v>
      </c>
      <c r="I6" s="103" t="s">
        <v>172</v>
      </c>
      <c r="J6" s="104" t="s">
        <v>172</v>
      </c>
      <c r="K6" s="102">
        <f>K20/$B$33</f>
        <v>0.81873571972581871</v>
      </c>
      <c r="L6" s="103" t="s">
        <v>172</v>
      </c>
      <c r="M6" s="104" t="s">
        <v>172</v>
      </c>
      <c r="N6" s="102">
        <f>N20/$B$33</f>
        <v>0.43316831683168316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0.67766039603960404</v>
      </c>
      <c r="C7" s="107">
        <f t="shared" ref="C7:C12" si="0">B7-B$6</f>
        <v>-9.3474409748667164E-2</v>
      </c>
      <c r="D7" s="108">
        <f t="shared" ref="D7:D12" si="1">B7/B$6*100</f>
        <v>87.878330864197522</v>
      </c>
      <c r="E7" s="102">
        <f>E21*$B$36/100/$B$33</f>
        <v>0.7433797029702971</v>
      </c>
      <c r="F7" s="107">
        <f t="shared" ref="F7:F15" si="2">E7-E$6</f>
        <v>-7.5356016755521615E-2</v>
      </c>
      <c r="G7" s="108">
        <f t="shared" ref="G7:G15" si="3">E7/E$6*100</f>
        <v>90.796051162790704</v>
      </c>
      <c r="H7" s="102">
        <f>H21*$B$36/100/$B$33</f>
        <v>0.82333019801980201</v>
      </c>
      <c r="I7" s="107">
        <f t="shared" ref="I7:I15" si="4">H7-H$6</f>
        <v>-5.7286709824828641E-2</v>
      </c>
      <c r="J7" s="108">
        <f t="shared" ref="J7:J15" si="5">H7/H$6*100</f>
        <v>93.494707027027019</v>
      </c>
      <c r="K7" s="102">
        <f>K21*$B$36/100/$B$33</f>
        <v>0.75345346534653468</v>
      </c>
      <c r="L7" s="107">
        <f t="shared" ref="L7:L15" si="6">K7-K$6</f>
        <v>-6.5282254379284033E-2</v>
      </c>
      <c r="M7" s="108">
        <f t="shared" ref="M7:M15" si="7">K7/K$6*100</f>
        <v>92.02645581395349</v>
      </c>
      <c r="N7" s="102">
        <f>N21*$B$36/100/$B$33</f>
        <v>0.37352871287128714</v>
      </c>
      <c r="O7" s="107">
        <f t="shared" ref="O7:O15" si="8">N7-N$6</f>
        <v>-5.9639603960396026E-2</v>
      </c>
      <c r="P7" s="108">
        <f t="shared" ref="P7:P15" si="9">N7/N$6*100</f>
        <v>86.231771428571435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0.67366287128712876</v>
      </c>
      <c r="C8" s="107">
        <f t="shared" si="0"/>
        <v>-9.7471934501142443E-2</v>
      </c>
      <c r="D8" s="108">
        <f t="shared" si="1"/>
        <v>87.359935802469138</v>
      </c>
      <c r="E8" s="102">
        <f>E22*$B$36/100/$B$33</f>
        <v>0.72451138613861388</v>
      </c>
      <c r="F8" s="107">
        <f t="shared" si="2"/>
        <v>-9.4224333587204834E-2</v>
      </c>
      <c r="G8" s="108">
        <f t="shared" si="3"/>
        <v>88.491483720930248</v>
      </c>
      <c r="H8" s="102">
        <f>H22*$B$36/100/$B$33</f>
        <v>0.81949257425742572</v>
      </c>
      <c r="I8" s="107">
        <f t="shared" si="4"/>
        <v>-6.1124333587204926E-2</v>
      </c>
      <c r="J8" s="108">
        <f t="shared" si="5"/>
        <v>93.058918918918906</v>
      </c>
      <c r="K8" s="102">
        <f>K22*$B$36/100/$B$33</f>
        <v>0.74673762376237618</v>
      </c>
      <c r="L8" s="107">
        <f t="shared" si="6"/>
        <v>-7.1998095963442532E-2</v>
      </c>
      <c r="M8" s="108">
        <f t="shared" si="7"/>
        <v>91.206186046511633</v>
      </c>
      <c r="N8" s="102">
        <f>N22*$B$36/100/$B$33</f>
        <v>0.37256930693069312</v>
      </c>
      <c r="O8" s="107">
        <f t="shared" si="8"/>
        <v>-6.0599009900990042E-2</v>
      </c>
      <c r="P8" s="108">
        <f t="shared" si="9"/>
        <v>86.010285714285729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0.67989900990099017</v>
      </c>
      <c r="C9" s="107">
        <f t="shared" si="0"/>
        <v>-9.1235795887281035E-2</v>
      </c>
      <c r="D9" s="108">
        <f t="shared" si="1"/>
        <v>88.168632098765428</v>
      </c>
      <c r="E9" s="102">
        <f>E23*$B$36/100/$B$33</f>
        <v>0.74353960396039598</v>
      </c>
      <c r="F9" s="107">
        <f t="shared" si="2"/>
        <v>-7.5196115765422733E-2</v>
      </c>
      <c r="G9" s="108">
        <f t="shared" si="3"/>
        <v>90.815581395348829</v>
      </c>
      <c r="H9" s="102">
        <f>H23*$B$36/100/$B$33</f>
        <v>0.80893910891089116</v>
      </c>
      <c r="I9" s="107">
        <f t="shared" si="4"/>
        <v>-7.1677798933739489E-2</v>
      </c>
      <c r="J9" s="108">
        <f t="shared" si="5"/>
        <v>91.860501621621623</v>
      </c>
      <c r="K9" s="102">
        <f>K23*$B$36/100/$B$33</f>
        <v>0.74721732673267327</v>
      </c>
      <c r="L9" s="107">
        <f t="shared" si="6"/>
        <v>-7.1518392993145441E-2</v>
      </c>
      <c r="M9" s="108">
        <f t="shared" si="7"/>
        <v>91.264776744186051</v>
      </c>
      <c r="N9" s="102">
        <f>N23*$B$36/100/$B$33</f>
        <v>0.38855940594059407</v>
      </c>
      <c r="O9" s="107">
        <f t="shared" si="8"/>
        <v>-4.4608910891089093E-2</v>
      </c>
      <c r="P9" s="108">
        <f t="shared" si="9"/>
        <v>89.701714285714289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0.67158415841584151</v>
      </c>
      <c r="C10" s="107">
        <f t="shared" si="0"/>
        <v>-9.955064737242969E-2</v>
      </c>
      <c r="D10" s="108">
        <f t="shared" si="1"/>
        <v>87.090370370370351</v>
      </c>
      <c r="E10" s="102">
        <f>E24*$B$36/100/$B$33</f>
        <v>0.71987425742574263</v>
      </c>
      <c r="F10" s="107">
        <f t="shared" si="2"/>
        <v>-9.8861462300076086E-2</v>
      </c>
      <c r="G10" s="108">
        <f t="shared" si="3"/>
        <v>87.925106976744189</v>
      </c>
      <c r="H10" s="102">
        <f>H24*$B$36/100/$B$33</f>
        <v>0.83932029702970301</v>
      </c>
      <c r="I10" s="107">
        <f t="shared" si="4"/>
        <v>-4.1296610814927637E-2</v>
      </c>
      <c r="J10" s="108">
        <f t="shared" si="5"/>
        <v>95.310490810810805</v>
      </c>
      <c r="K10" s="102">
        <f>K24*$B$36/100/$B$33</f>
        <v>0.75313366336633669</v>
      </c>
      <c r="L10" s="107">
        <f t="shared" si="6"/>
        <v>-6.5602056359482019E-2</v>
      </c>
      <c r="M10" s="108">
        <f t="shared" si="7"/>
        <v>91.987395348837225</v>
      </c>
      <c r="N10" s="102">
        <f>N24*$B$36/100/$B$33</f>
        <v>0.36425445544554452</v>
      </c>
      <c r="O10" s="107">
        <f t="shared" si="8"/>
        <v>-6.8913861386138642E-2</v>
      </c>
      <c r="P10" s="108">
        <f t="shared" si="9"/>
        <v>84.090742857142857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0.67570160891089115</v>
      </c>
      <c r="C11" s="236">
        <f t="shared" si="0"/>
        <v>-9.5433196877380055E-2</v>
      </c>
      <c r="D11" s="237">
        <f t="shared" si="1"/>
        <v>87.624317283950617</v>
      </c>
      <c r="E11" s="235">
        <f>AVERAGE(E7:E10)</f>
        <v>0.73282623762376242</v>
      </c>
      <c r="F11" s="236">
        <f t="shared" si="2"/>
        <v>-8.5909482102056289E-2</v>
      </c>
      <c r="G11" s="237">
        <f t="shared" si="3"/>
        <v>89.5070558139535</v>
      </c>
      <c r="H11" s="235">
        <f>AVERAGE(H7:H10)</f>
        <v>0.82277054455445542</v>
      </c>
      <c r="I11" s="236">
        <f t="shared" si="4"/>
        <v>-5.7846363290175229E-2</v>
      </c>
      <c r="J11" s="237">
        <f t="shared" si="5"/>
        <v>93.431154594594588</v>
      </c>
      <c r="K11" s="235">
        <f>AVERAGE(K7:K10)</f>
        <v>0.75013551980198023</v>
      </c>
      <c r="L11" s="236">
        <f t="shared" si="6"/>
        <v>-6.8600199923838479E-2</v>
      </c>
      <c r="M11" s="237">
        <f t="shared" si="7"/>
        <v>91.621203488372103</v>
      </c>
      <c r="N11" s="235">
        <f>AVERAGE(N7:N10)</f>
        <v>0.3747279702970297</v>
      </c>
      <c r="O11" s="236">
        <f t="shared" si="8"/>
        <v>-5.8440346534653465E-2</v>
      </c>
      <c r="P11" s="237">
        <f t="shared" si="9"/>
        <v>86.508628571428574</v>
      </c>
      <c r="Q11" s="109"/>
    </row>
    <row r="12" spans="1:19" s="96" customFormat="1" ht="15.75" x14ac:dyDescent="0.25">
      <c r="A12" s="110" t="s">
        <v>24</v>
      </c>
      <c r="B12" s="102">
        <f>B25*$B$32/100/$B$33</f>
        <v>1.1805609482102055</v>
      </c>
      <c r="C12" s="107">
        <f t="shared" si="0"/>
        <v>0.40942614242193431</v>
      </c>
      <c r="D12" s="108">
        <f t="shared" si="1"/>
        <v>153.09397777777775</v>
      </c>
      <c r="E12" s="102">
        <f>E25*$B$32/100/$B$33</f>
        <v>1.2358864432597105</v>
      </c>
      <c r="F12" s="107">
        <f t="shared" si="2"/>
        <v>0.41715072353389182</v>
      </c>
      <c r="G12" s="108">
        <f t="shared" si="3"/>
        <v>150.95059534883723</v>
      </c>
      <c r="H12" s="102">
        <f>H25*$B$32/100/$B$33</f>
        <v>1.3678164699162223</v>
      </c>
      <c r="I12" s="107">
        <f t="shared" si="4"/>
        <v>0.48719956207159165</v>
      </c>
      <c r="J12" s="108">
        <f t="shared" si="5"/>
        <v>155.32480216216214</v>
      </c>
      <c r="K12" s="102">
        <f>K25*$B$32/100/$B$33</f>
        <v>1.142258682406702</v>
      </c>
      <c r="L12" s="107">
        <f t="shared" si="6"/>
        <v>0.32352296268088332</v>
      </c>
      <c r="M12" s="108">
        <f t="shared" si="7"/>
        <v>139.51494418604648</v>
      </c>
      <c r="N12" s="102">
        <f>N25*$B$32/100/$B$33</f>
        <v>0.53155033320639755</v>
      </c>
      <c r="O12" s="107">
        <f t="shared" si="8"/>
        <v>9.8382016374714387E-2</v>
      </c>
      <c r="P12" s="108">
        <f t="shared" si="9"/>
        <v>122.7121912087912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1.3897886519421174</v>
      </c>
      <c r="F13" s="107">
        <f t="shared" si="2"/>
        <v>0.57105293221629871</v>
      </c>
      <c r="G13" s="108">
        <f t="shared" si="3"/>
        <v>169.74813953488373</v>
      </c>
      <c r="H13" s="102">
        <f>H26*$B$34/$B$33</f>
        <v>1.4512342916984005</v>
      </c>
      <c r="I13" s="107">
        <f t="shared" si="4"/>
        <v>0.57061738385376981</v>
      </c>
      <c r="J13" s="108">
        <f t="shared" si="5"/>
        <v>164.79745945945942</v>
      </c>
      <c r="K13" s="102">
        <f>K26*$B$34/$B$33</f>
        <v>1.3115851104341203</v>
      </c>
      <c r="L13" s="107">
        <f t="shared" si="6"/>
        <v>0.49284939070830158</v>
      </c>
      <c r="M13" s="108">
        <f t="shared" si="7"/>
        <v>160.1963953488372</v>
      </c>
      <c r="N13" s="102">
        <f>N26*$B$34/$B$33</f>
        <v>0.60216726961157663</v>
      </c>
      <c r="O13" s="107">
        <f t="shared" si="8"/>
        <v>0.16899895277989346</v>
      </c>
      <c r="P13" s="108">
        <f t="shared" si="9"/>
        <v>139.01461538461541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1.2791865003808072</v>
      </c>
      <c r="F14" s="107">
        <f t="shared" si="2"/>
        <v>0.46045078065498846</v>
      </c>
      <c r="G14" s="108">
        <f t="shared" si="3"/>
        <v>156.23924418604648</v>
      </c>
      <c r="H14" s="102">
        <f>H27*$B$34/$B$33</f>
        <v>1.4009605864432597</v>
      </c>
      <c r="I14" s="107">
        <f t="shared" si="4"/>
        <v>0.52034367859862907</v>
      </c>
      <c r="J14" s="108">
        <f t="shared" si="5"/>
        <v>159.08854054054052</v>
      </c>
      <c r="K14" s="102">
        <f>K27*$B$34/$B$33</f>
        <v>1.2166236671744095</v>
      </c>
      <c r="L14" s="107">
        <f t="shared" si="6"/>
        <v>0.3978879474485908</v>
      </c>
      <c r="M14" s="108">
        <f t="shared" si="7"/>
        <v>148.59784883720928</v>
      </c>
      <c r="N14" s="102">
        <f>N27*$B$34/$B$33</f>
        <v>0.61780797791317599</v>
      </c>
      <c r="O14" s="107">
        <f t="shared" si="8"/>
        <v>0.18463966108149282</v>
      </c>
      <c r="P14" s="108">
        <f t="shared" si="9"/>
        <v>142.62538461538463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1.2920705445544556</v>
      </c>
      <c r="F15" s="119">
        <f t="shared" si="2"/>
        <v>0.47333482482863687</v>
      </c>
      <c r="G15" s="120">
        <f t="shared" si="3"/>
        <v>157.81289534883723</v>
      </c>
      <c r="H15" s="118">
        <f>H28*$B$35/10/$B$33</f>
        <v>1.3443810929169839</v>
      </c>
      <c r="I15" s="119">
        <f t="shared" si="4"/>
        <v>0.46376418507235329</v>
      </c>
      <c r="J15" s="120">
        <f t="shared" si="5"/>
        <v>152.66355675675675</v>
      </c>
      <c r="K15" s="118">
        <f>K28*$B$35/10/$B$33</f>
        <v>1.3234568735719723</v>
      </c>
      <c r="L15" s="119">
        <f t="shared" si="6"/>
        <v>0.50472115384615357</v>
      </c>
      <c r="M15" s="120">
        <f t="shared" si="7"/>
        <v>161.64640697674415</v>
      </c>
      <c r="N15" s="118">
        <f>N28*$B$35/10/$B$33</f>
        <v>0.6198799980959635</v>
      </c>
      <c r="O15" s="119">
        <f t="shared" si="8"/>
        <v>0.18671168126428034</v>
      </c>
      <c r="P15" s="120">
        <f t="shared" si="9"/>
        <v>143.10372527472529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24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24" t="s">
        <v>214</v>
      </c>
      <c r="X19" s="324" t="s">
        <v>214</v>
      </c>
    </row>
    <row r="20" spans="1:24" s="141" customFormat="1" ht="15.75" x14ac:dyDescent="0.25">
      <c r="A20" s="133" t="s">
        <v>185</v>
      </c>
      <c r="B20" s="134">
        <v>1.62</v>
      </c>
      <c r="C20" s="135" t="s">
        <v>172</v>
      </c>
      <c r="D20" s="136" t="s">
        <v>172</v>
      </c>
      <c r="E20" s="134">
        <v>1.72</v>
      </c>
      <c r="F20" s="135" t="s">
        <v>172</v>
      </c>
      <c r="G20" s="136" t="s">
        <v>172</v>
      </c>
      <c r="H20" s="134">
        <v>1.85</v>
      </c>
      <c r="I20" s="135" t="s">
        <v>172</v>
      </c>
      <c r="J20" s="136" t="s">
        <v>172</v>
      </c>
      <c r="K20" s="134">
        <v>1.72</v>
      </c>
      <c r="L20" s="135" t="s">
        <v>172</v>
      </c>
      <c r="M20" s="136" t="s">
        <v>172</v>
      </c>
      <c r="N20" s="143">
        <v>0.91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42.38</v>
      </c>
      <c r="C21" s="144" t="s">
        <v>172</v>
      </c>
      <c r="D21" s="145" t="s">
        <v>172</v>
      </c>
      <c r="E21" s="143">
        <v>46.49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23.36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42.13</v>
      </c>
      <c r="C22" s="144" t="s">
        <v>172</v>
      </c>
      <c r="D22" s="145" t="s">
        <v>172</v>
      </c>
      <c r="E22" s="143">
        <v>45.31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46.7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42.52</v>
      </c>
      <c r="C23" s="144" t="s">
        <v>172</v>
      </c>
      <c r="D23" s="145" t="s">
        <v>172</v>
      </c>
      <c r="E23" s="143">
        <v>46.5</v>
      </c>
      <c r="F23" s="144" t="s">
        <v>172</v>
      </c>
      <c r="G23" s="145" t="s">
        <v>172</v>
      </c>
      <c r="H23" s="143">
        <v>50.59</v>
      </c>
      <c r="I23" s="144" t="s">
        <v>172</v>
      </c>
      <c r="J23" s="145" t="s">
        <v>172</v>
      </c>
      <c r="K23" s="143">
        <v>46.73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47.1</v>
      </c>
      <c r="L24" s="144" t="s">
        <v>172</v>
      </c>
      <c r="M24" s="145" t="s">
        <v>172</v>
      </c>
      <c r="N24" s="143">
        <v>22.78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27.74</v>
      </c>
      <c r="C25" s="144" t="s">
        <v>172</v>
      </c>
      <c r="D25" s="145" t="s">
        <v>172</v>
      </c>
      <c r="E25" s="143">
        <v>29.04</v>
      </c>
      <c r="F25" s="144" t="s">
        <v>172</v>
      </c>
      <c r="G25" s="145" t="s">
        <v>172</v>
      </c>
      <c r="H25" s="143">
        <v>32.14</v>
      </c>
      <c r="I25" s="144" t="s">
        <v>172</v>
      </c>
      <c r="J25" s="145" t="s">
        <v>172</v>
      </c>
      <c r="K25" s="143">
        <v>26.84</v>
      </c>
      <c r="L25" s="144" t="s">
        <v>172</v>
      </c>
      <c r="M25" s="145" t="s">
        <v>172</v>
      </c>
      <c r="N25" s="143">
        <v>12.49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1.244</v>
      </c>
      <c r="F26" s="144" t="s">
        <v>172</v>
      </c>
      <c r="G26" s="145" t="s">
        <v>172</v>
      </c>
      <c r="H26" s="153">
        <v>1.2989999999999999</v>
      </c>
      <c r="I26" s="144" t="s">
        <v>172</v>
      </c>
      <c r="J26" s="145" t="s">
        <v>172</v>
      </c>
      <c r="K26" s="153">
        <v>1.1739999999999999</v>
      </c>
      <c r="L26" s="144" t="s">
        <v>172</v>
      </c>
      <c r="M26" s="145" t="s">
        <v>172</v>
      </c>
      <c r="N26" s="153">
        <v>0.53900000000000003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1.145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1.089</v>
      </c>
      <c r="L27" s="144" t="s">
        <v>172</v>
      </c>
      <c r="M27" s="145" t="s">
        <v>172</v>
      </c>
      <c r="N27" s="153">
        <v>0.55300000000000005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4.9400000000000004</v>
      </c>
      <c r="F28" s="158" t="s">
        <v>172</v>
      </c>
      <c r="G28" s="159" t="s">
        <v>172</v>
      </c>
      <c r="H28" s="234">
        <v>5.14</v>
      </c>
      <c r="I28" s="158" t="s">
        <v>172</v>
      </c>
      <c r="J28" s="159" t="s">
        <v>172</v>
      </c>
      <c r="K28" s="234">
        <v>5.0599999999999996</v>
      </c>
      <c r="L28" s="158" t="s">
        <v>172</v>
      </c>
      <c r="M28" s="159" t="s">
        <v>172</v>
      </c>
      <c r="N28" s="234">
        <v>2.37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3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8.9405999999999999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2.1008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2.347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5.4946999999999999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3.3592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P12" r:id="rId30" display="www.nbrb.by"/>
    <hyperlink ref="R23" r:id="rId31"/>
    <hyperlink ref="R22" r:id="rId32" display="http://natrakte.ru/"/>
    <hyperlink ref="S28" r:id="rId33" location=".Vs2LGH2LRkg" display="http://autotraveler.ru/lithuania/#.Vs2LGH2LRkg"/>
    <hyperlink ref="Q27" r:id="rId34" display="http://www.fuel-prices-europe.info/"/>
    <hyperlink ref="O29" r:id="rId35" display="www.e-petrol.ru/rynek-krajowy/ceny-stacje-paliw"/>
    <hyperlink ref="B78" r:id="rId36" display="http://www.lukoil.lt/ru/avtozapravochnye_stancii_azs_/karta_azs?filterID=65"/>
    <hyperlink ref="B74" r:id="rId37" display="http://www.lukoil.lt/ru/avtozapravochnye_stancii_azs_/karta_azs?filterID=86,87,111"/>
    <hyperlink ref="B71" r:id="rId38" display="http://www.lukoil.lt/ru/avtozapravochnye_stancii_azs_/karta_azs?filterID=67"/>
    <hyperlink ref="B67" r:id="rId39" display="http://www.lukoil.lt/ru/avtozapravochnye_stancii_azs_/karta_azs?filterID=22,77,104,110,117,118,119"/>
    <hyperlink ref="B63" r:id="rId40" display="http://www.lukoil.lt/ru/avtozapravochnye_stancii_azs_/karta_azs?filterID=32,87"/>
    <hyperlink ref="B60" r:id="rId41" display="http://www.lukoil.lt/ru/avtozapravochnye_stancii_azs_/karta_azs?filterID=33"/>
    <hyperlink ref="B57" r:id="rId42" display="http://www.lukoil.lt/ru/avtozapravochnye_stancii_azs_/karta_azs?filterID=54"/>
    <hyperlink ref="B54" r:id="rId43" display="http://www.lukoil.lt/ru/avtozapravochnye_stancii_azs_/karta_azs?filterID=67"/>
    <hyperlink ref="B51" r:id="rId44" display="http://www.lukoil.lt/ru/avtozapravochnye_stancii_azs_/karta_azs?filterID=65"/>
    <hyperlink ref="Q29" r:id="rId45" location=".VyhQfdKLTcs" display="http://autotraveler.ru/poland/#.VyhQfdKLTcs"/>
    <hyperlink ref="S23" r:id="rId46"/>
    <hyperlink ref="T23" r:id="rId47"/>
    <hyperlink ref="R21" r:id="rId48"/>
    <hyperlink ref="T25" r:id="rId49"/>
    <hyperlink ref="X26" r:id="rId50"/>
    <hyperlink ref="X27" r:id="rId51"/>
    <hyperlink ref="X28" r:id="rId52"/>
    <hyperlink ref="O21" r:id="rId53" display="www.belorusneft.by/sitebeloil/ru/center/azs/"/>
    <hyperlink ref="O22" r:id="rId54" display="www.benzin-price.ru/price.php?region_id=77"/>
    <hyperlink ref="O24" r:id="rId55" display="www.benzin-price.ru/price.php?region_id=67"/>
    <hyperlink ref="O25" r:id="rId56" display="www.benzin-price.ru/price.php?region_id=60"/>
    <hyperlink ref="O26" r:id="rId57" display="www.vseazs.com/"/>
    <hyperlink ref="O27" r:id="rId58" display="www.lukoil.lv/lv/galvena_lapa"/>
    <hyperlink ref="O28" r:id="rId59" display="www.lukoil.lt/ru/osnovnaja_stranica"/>
    <hyperlink ref="O23" r:id="rId60" display="www.benzin-price.ru/price.php?region_id=32"/>
  </hyperlinks>
  <pageMargins left="0.7" right="0.7" top="0.75" bottom="0.75" header="0.3" footer="0.3"/>
  <pageSetup paperSize="9" orientation="portrait" r:id="rId6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N20" sqref="N2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43814</v>
      </c>
      <c r="E2" s="493"/>
      <c r="F2" s="325"/>
      <c r="G2" s="325"/>
      <c r="H2" s="325"/>
      <c r="I2" s="325"/>
      <c r="J2" s="325"/>
      <c r="K2" s="325"/>
      <c r="L2" s="325"/>
      <c r="M2" s="325"/>
      <c r="N2" s="325"/>
      <c r="O2" s="325"/>
      <c r="P2" s="325"/>
      <c r="Q2" s="325"/>
      <c r="R2" s="32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0.77630137638710295</v>
      </c>
      <c r="C6" s="103" t="s">
        <v>172</v>
      </c>
      <c r="D6" s="104" t="s">
        <v>172</v>
      </c>
      <c r="E6" s="102">
        <f>E20/$B$33</f>
        <v>0.82392722769919513</v>
      </c>
      <c r="F6" s="103" t="s">
        <v>172</v>
      </c>
      <c r="G6" s="104" t="s">
        <v>172</v>
      </c>
      <c r="H6" s="102">
        <f>H20/$B$33</f>
        <v>0.88584083440491512</v>
      </c>
      <c r="I6" s="103" t="s">
        <v>172</v>
      </c>
      <c r="J6" s="104" t="s">
        <v>172</v>
      </c>
      <c r="K6" s="102">
        <f>K20/$B$33</f>
        <v>0.82392722769919513</v>
      </c>
      <c r="L6" s="103" t="s">
        <v>172</v>
      </c>
      <c r="M6" s="104" t="s">
        <v>172</v>
      </c>
      <c r="N6" s="102">
        <f>N20/$B$33</f>
        <v>0.43815783207124831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0.68027394389674711</v>
      </c>
      <c r="C7" s="107">
        <f t="shared" ref="C7:C12" si="0">B7-B$6</f>
        <v>-9.6027432490355835E-2</v>
      </c>
      <c r="D7" s="108">
        <f t="shared" ref="D7:D12" si="1">B7/B$6*100</f>
        <v>87.630134969325141</v>
      </c>
      <c r="E7" s="102">
        <f>E21*$B$36/100/$B$33</f>
        <v>0.74637603467161973</v>
      </c>
      <c r="F7" s="107">
        <f t="shared" ref="F7:F15" si="2">E7-E$6</f>
        <v>-7.7551193027575405E-2</v>
      </c>
      <c r="G7" s="108">
        <f t="shared" ref="G7:G15" si="3">E7/E$6*100</f>
        <v>90.587616184971097</v>
      </c>
      <c r="H7" s="102">
        <f>H21*$B$36/100/$B$33</f>
        <v>0.82611569271800733</v>
      </c>
      <c r="I7" s="107">
        <f t="shared" ref="I7:I15" si="4">H7-H$6</f>
        <v>-5.972514168690779E-2</v>
      </c>
      <c r="J7" s="108">
        <f t="shared" ref="J7:J15" si="5">H7/H$6*100</f>
        <v>93.257802150537614</v>
      </c>
      <c r="K7" s="102">
        <f>K21*$B$36/100/$B$33</f>
        <v>0.75439813306662862</v>
      </c>
      <c r="L7" s="107">
        <f t="shared" ref="L7:L15" si="6">K7-K$6</f>
        <v>-6.9529094632566513E-2</v>
      </c>
      <c r="M7" s="108">
        <f t="shared" ref="M7:M15" si="7">K7/K$6*100</f>
        <v>91.561257803468209</v>
      </c>
      <c r="N7" s="102">
        <f>N21*$B$36/100/$B$33</f>
        <v>0.38169144163451918</v>
      </c>
      <c r="O7" s="107">
        <f t="shared" ref="O7:O15" si="8">N7-N$6</f>
        <v>-5.646639043672913E-2</v>
      </c>
      <c r="P7" s="108">
        <f t="shared" ref="P7:P15" si="9">N7/N$6*100</f>
        <v>87.112773913043469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0.67610245273134262</v>
      </c>
      <c r="C8" s="107">
        <f t="shared" si="0"/>
        <v>-0.10019892365576033</v>
      </c>
      <c r="D8" s="108">
        <f t="shared" si="1"/>
        <v>87.092780368098161</v>
      </c>
      <c r="E8" s="102">
        <f>E22*$B$36/100/$B$33</f>
        <v>0.72583946278039724</v>
      </c>
      <c r="F8" s="107">
        <f t="shared" si="2"/>
        <v>-9.8087764918797893E-2</v>
      </c>
      <c r="G8" s="108">
        <f t="shared" si="3"/>
        <v>88.095093641618504</v>
      </c>
      <c r="H8" s="102">
        <f>H22*$B$36/100/$B$33</f>
        <v>0.82226508548840305</v>
      </c>
      <c r="I8" s="107">
        <f t="shared" si="4"/>
        <v>-6.3575748916512076E-2</v>
      </c>
      <c r="J8" s="108">
        <f t="shared" si="5"/>
        <v>92.823118279569869</v>
      </c>
      <c r="K8" s="102">
        <f>K22*$B$36/100/$B$33</f>
        <v>0.74798045435062144</v>
      </c>
      <c r="L8" s="107">
        <f t="shared" si="6"/>
        <v>-7.5946773348573693E-2</v>
      </c>
      <c r="M8" s="108">
        <f t="shared" si="7"/>
        <v>90.782344508670505</v>
      </c>
      <c r="N8" s="102">
        <f>N22*$B$36/100/$B$33</f>
        <v>0.37543420488641233</v>
      </c>
      <c r="O8" s="107">
        <f t="shared" si="8"/>
        <v>-6.2723627184835984E-2</v>
      </c>
      <c r="P8" s="108">
        <f t="shared" si="9"/>
        <v>85.6846956521739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0.68219924751154926</v>
      </c>
      <c r="C9" s="107">
        <f t="shared" si="0"/>
        <v>-9.4102128875553692E-2</v>
      </c>
      <c r="D9" s="108">
        <f t="shared" si="1"/>
        <v>87.878144785276064</v>
      </c>
      <c r="E9" s="102">
        <f>E23*$B$36/100/$B$33</f>
        <v>0.74621559270371951</v>
      </c>
      <c r="F9" s="107">
        <f t="shared" si="2"/>
        <v>-7.771163499547562E-2</v>
      </c>
      <c r="G9" s="108">
        <f t="shared" si="3"/>
        <v>90.568143352601155</v>
      </c>
      <c r="H9" s="102">
        <f>H23*$B$36/100/$B$33</f>
        <v>0.81183635757489159</v>
      </c>
      <c r="I9" s="107">
        <f t="shared" si="4"/>
        <v>-7.4004476830023536E-2</v>
      </c>
      <c r="J9" s="108">
        <f t="shared" si="5"/>
        <v>91.645849462365575</v>
      </c>
      <c r="K9" s="102">
        <f>K23*$B$36/100/$B$33</f>
        <v>0.74958487402962326</v>
      </c>
      <c r="L9" s="107">
        <f t="shared" si="6"/>
        <v>-7.434235366957187E-2</v>
      </c>
      <c r="M9" s="108">
        <f t="shared" si="7"/>
        <v>90.977072832369942</v>
      </c>
      <c r="N9" s="102">
        <f>N23*$B$36/100/$B$33</f>
        <v>0.38987398199742823</v>
      </c>
      <c r="O9" s="107">
        <f t="shared" si="8"/>
        <v>-4.8283850073820078E-2</v>
      </c>
      <c r="P9" s="108">
        <f t="shared" si="9"/>
        <v>88.980260869565214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0.67385626518074015</v>
      </c>
      <c r="C10" s="107">
        <f t="shared" si="0"/>
        <v>-0.10244511120636279</v>
      </c>
      <c r="D10" s="108">
        <f t="shared" si="1"/>
        <v>86.80343558282209</v>
      </c>
      <c r="E10" s="102">
        <f>E24*$B$36/100/$B$33</f>
        <v>0.72230973948659338</v>
      </c>
      <c r="F10" s="107">
        <f t="shared" si="2"/>
        <v>-0.10161748821260175</v>
      </c>
      <c r="G10" s="108">
        <f t="shared" si="3"/>
        <v>87.666691329479775</v>
      </c>
      <c r="H10" s="102">
        <f>H24*$B$36/100/$B$33</f>
        <v>0.84215988950802489</v>
      </c>
      <c r="I10" s="107">
        <f t="shared" si="4"/>
        <v>-4.3680944896890228E-2</v>
      </c>
      <c r="J10" s="108">
        <f t="shared" si="5"/>
        <v>95.06898494623654</v>
      </c>
      <c r="K10" s="102">
        <f>K24*$B$36/100/$B$33</f>
        <v>0.75568166880983001</v>
      </c>
      <c r="L10" s="107">
        <f t="shared" si="6"/>
        <v>-6.8245558889365121E-2</v>
      </c>
      <c r="M10" s="108">
        <f t="shared" si="7"/>
        <v>91.717040462427747</v>
      </c>
      <c r="N10" s="102">
        <f>N24*$B$36/100/$B$33</f>
        <v>0.3654868028766014</v>
      </c>
      <c r="O10" s="107">
        <f t="shared" si="8"/>
        <v>-7.2671029194646908E-2</v>
      </c>
      <c r="P10" s="108">
        <f t="shared" si="9"/>
        <v>83.41441739130434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0.67810797733009487</v>
      </c>
      <c r="C11" s="236">
        <f t="shared" si="0"/>
        <v>-9.8193399057008079E-2</v>
      </c>
      <c r="D11" s="237">
        <f t="shared" si="1"/>
        <v>87.351123926380382</v>
      </c>
      <c r="E11" s="235">
        <f>AVERAGE(E7:E10)</f>
        <v>0.73518520741058246</v>
      </c>
      <c r="F11" s="236">
        <f t="shared" si="2"/>
        <v>-8.8742020288612666E-2</v>
      </c>
      <c r="G11" s="237">
        <f t="shared" si="3"/>
        <v>89.229386127167629</v>
      </c>
      <c r="H11" s="235">
        <f>AVERAGE(H7:H10)</f>
        <v>0.82559425632233174</v>
      </c>
      <c r="I11" s="236">
        <f t="shared" si="4"/>
        <v>-6.024657808258338E-2</v>
      </c>
      <c r="J11" s="237">
        <f t="shared" si="5"/>
        <v>93.198938709677407</v>
      </c>
      <c r="K11" s="235">
        <f>AVERAGE(K7:K10)</f>
        <v>0.75191128256417583</v>
      </c>
      <c r="L11" s="236">
        <f t="shared" si="6"/>
        <v>-7.2015945135019299E-2</v>
      </c>
      <c r="M11" s="237">
        <f t="shared" si="7"/>
        <v>91.259428901734111</v>
      </c>
      <c r="N11" s="235">
        <f>AVERAGE(N7:N10)</f>
        <v>0.37812160784874027</v>
      </c>
      <c r="O11" s="236">
        <f t="shared" si="8"/>
        <v>-6.0036224222508039E-2</v>
      </c>
      <c r="P11" s="237">
        <f t="shared" si="9"/>
        <v>86.298036956521727</v>
      </c>
      <c r="Q11" s="109"/>
    </row>
    <row r="12" spans="1:19" s="96" customFormat="1" ht="15.75" x14ac:dyDescent="0.25">
      <c r="A12" s="110" t="s">
        <v>24</v>
      </c>
      <c r="B12" s="102">
        <f>B25*$B$32/100/$B$33</f>
        <v>1.1400888317378675</v>
      </c>
      <c r="C12" s="107">
        <f t="shared" si="0"/>
        <v>0.36378745535076451</v>
      </c>
      <c r="D12" s="108">
        <f t="shared" si="1"/>
        <v>146.86162699386506</v>
      </c>
      <c r="E12" s="102">
        <f>E25*$B$32/100/$B$33</f>
        <v>1.1936845835119305</v>
      </c>
      <c r="F12" s="107">
        <f t="shared" si="2"/>
        <v>0.36975735581273539</v>
      </c>
      <c r="G12" s="108">
        <f t="shared" si="3"/>
        <v>144.87742890173413</v>
      </c>
      <c r="H12" s="102">
        <f>H25*$B$32/100/$B$33</f>
        <v>1.3609033290470067</v>
      </c>
      <c r="I12" s="107">
        <f t="shared" si="4"/>
        <v>0.4750624946420916</v>
      </c>
      <c r="J12" s="108">
        <f t="shared" si="5"/>
        <v>153.62842580645159</v>
      </c>
      <c r="K12" s="102">
        <f>K25*$B$32/100/$B$33</f>
        <v>1.1036437205315044</v>
      </c>
      <c r="L12" s="107">
        <f t="shared" si="6"/>
        <v>0.27971649283230926</v>
      </c>
      <c r="M12" s="108">
        <f t="shared" si="7"/>
        <v>133.94917456647397</v>
      </c>
      <c r="N12" s="102">
        <f>N25*$B$32/100/$B$33</f>
        <v>0.53981641186836216</v>
      </c>
      <c r="O12" s="107">
        <f t="shared" si="8"/>
        <v>0.10165857979711385</v>
      </c>
      <c r="P12" s="108">
        <f t="shared" si="9"/>
        <v>123.20136086956521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1.3942888984140591</v>
      </c>
      <c r="F13" s="107">
        <f t="shared" si="2"/>
        <v>0.57036167071486399</v>
      </c>
      <c r="G13" s="108">
        <f t="shared" si="3"/>
        <v>169.22476300578035</v>
      </c>
      <c r="H13" s="102">
        <f>H26*$B$34/$B$33</f>
        <v>1.455441920274325</v>
      </c>
      <c r="I13" s="107">
        <f t="shared" si="4"/>
        <v>0.56960108586940983</v>
      </c>
      <c r="J13" s="108">
        <f t="shared" si="5"/>
        <v>164.30061290322578</v>
      </c>
      <c r="K13" s="102">
        <f>K26*$B$34/$B$33</f>
        <v>1.3164577796828116</v>
      </c>
      <c r="L13" s="107">
        <f t="shared" si="6"/>
        <v>0.4925305519836165</v>
      </c>
      <c r="M13" s="108">
        <f t="shared" si="7"/>
        <v>159.77840462427744</v>
      </c>
      <c r="N13" s="102">
        <f>N26*$B$34/$B$33</f>
        <v>0.59929961423060452</v>
      </c>
      <c r="O13" s="107">
        <f t="shared" si="8"/>
        <v>0.16114178215935621</v>
      </c>
      <c r="P13" s="108">
        <f t="shared" si="9"/>
        <v>136.7771086956522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1.2797659665666525</v>
      </c>
      <c r="F14" s="107">
        <f t="shared" si="2"/>
        <v>0.4558387388674574</v>
      </c>
      <c r="G14" s="108">
        <f t="shared" si="3"/>
        <v>155.32512138728325</v>
      </c>
      <c r="H14" s="102">
        <f>H27*$B$34/$B$33</f>
        <v>1.3942888984140591</v>
      </c>
      <c r="I14" s="107">
        <f t="shared" si="4"/>
        <v>0.508448064009144</v>
      </c>
      <c r="J14" s="108">
        <f t="shared" si="5"/>
        <v>157.39722580645159</v>
      </c>
      <c r="K14" s="102">
        <f>K27*$B$34/$B$33</f>
        <v>1.2108298328332618</v>
      </c>
      <c r="L14" s="107">
        <f t="shared" si="6"/>
        <v>0.38690260513406671</v>
      </c>
      <c r="M14" s="108">
        <f t="shared" si="7"/>
        <v>146.95834682080923</v>
      </c>
      <c r="N14" s="102">
        <f>N27*$B$34/$B$33</f>
        <v>0.64822203171881698</v>
      </c>
      <c r="O14" s="107">
        <f t="shared" si="8"/>
        <v>0.21006419964756867</v>
      </c>
      <c r="P14" s="108">
        <f t="shared" si="9"/>
        <v>147.94258695652175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1.2892183645282662</v>
      </c>
      <c r="F15" s="119">
        <f t="shared" si="2"/>
        <v>0.46529113682907108</v>
      </c>
      <c r="G15" s="120">
        <f t="shared" si="3"/>
        <v>156.47235838150294</v>
      </c>
      <c r="H15" s="118">
        <f>H28*$B$35/10/$B$33</f>
        <v>1.3675109777587278</v>
      </c>
      <c r="I15" s="119">
        <f t="shared" si="4"/>
        <v>0.48167014335381264</v>
      </c>
      <c r="J15" s="120">
        <f t="shared" si="5"/>
        <v>154.37434408602149</v>
      </c>
      <c r="K15" s="118">
        <f>K28*$B$35/10/$B$33</f>
        <v>1.3309744249178455</v>
      </c>
      <c r="L15" s="119">
        <f t="shared" si="6"/>
        <v>0.50704719721865033</v>
      </c>
      <c r="M15" s="120">
        <f t="shared" si="7"/>
        <v>161.54028901734105</v>
      </c>
      <c r="N15" s="118">
        <f>N28*$B$35/10/$B$33</f>
        <v>0.62373115206934326</v>
      </c>
      <c r="O15" s="119">
        <f t="shared" si="8"/>
        <v>0.18557331999809495</v>
      </c>
      <c r="P15" s="120">
        <f t="shared" si="9"/>
        <v>142.35307608695652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24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24" t="s">
        <v>214</v>
      </c>
      <c r="X19" s="324" t="s">
        <v>214</v>
      </c>
    </row>
    <row r="20" spans="1:24" s="141" customFormat="1" ht="15.75" x14ac:dyDescent="0.25">
      <c r="A20" s="133" t="s">
        <v>185</v>
      </c>
      <c r="B20" s="134">
        <v>1.63</v>
      </c>
      <c r="C20" s="135" t="s">
        <v>172</v>
      </c>
      <c r="D20" s="136" t="s">
        <v>172</v>
      </c>
      <c r="E20" s="134">
        <v>1.73</v>
      </c>
      <c r="F20" s="135" t="s">
        <v>172</v>
      </c>
      <c r="G20" s="136" t="s">
        <v>172</v>
      </c>
      <c r="H20" s="134">
        <v>1.86</v>
      </c>
      <c r="I20" s="135" t="s">
        <v>172</v>
      </c>
      <c r="J20" s="136" t="s">
        <v>172</v>
      </c>
      <c r="K20" s="134">
        <v>1.73</v>
      </c>
      <c r="L20" s="135" t="s">
        <v>172</v>
      </c>
      <c r="M20" s="136" t="s">
        <v>172</v>
      </c>
      <c r="N20" s="143">
        <v>0.92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46.52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47.02</v>
      </c>
      <c r="L21" s="144" t="s">
        <v>172</v>
      </c>
      <c r="M21" s="145" t="s">
        <v>172</v>
      </c>
      <c r="N21" s="143">
        <v>23.79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42.14</v>
      </c>
      <c r="C22" s="144" t="s">
        <v>172</v>
      </c>
      <c r="D22" s="145" t="s">
        <v>172</v>
      </c>
      <c r="E22" s="143">
        <v>45.24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46.62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42.52</v>
      </c>
      <c r="C23" s="144" t="s">
        <v>172</v>
      </c>
      <c r="D23" s="145" t="s">
        <v>172</v>
      </c>
      <c r="E23" s="143">
        <v>46.51</v>
      </c>
      <c r="F23" s="144" t="s">
        <v>172</v>
      </c>
      <c r="G23" s="145" t="s">
        <v>172</v>
      </c>
      <c r="H23" s="143">
        <v>50.6</v>
      </c>
      <c r="I23" s="144" t="s">
        <v>172</v>
      </c>
      <c r="J23" s="145" t="s">
        <v>172</v>
      </c>
      <c r="K23" s="143">
        <v>46.72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47.1</v>
      </c>
      <c r="L24" s="144" t="s">
        <v>172</v>
      </c>
      <c r="M24" s="145" t="s">
        <v>172</v>
      </c>
      <c r="N24" s="143">
        <v>22.78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26.59</v>
      </c>
      <c r="C25" s="144" t="s">
        <v>172</v>
      </c>
      <c r="D25" s="145" t="s">
        <v>172</v>
      </c>
      <c r="E25" s="143">
        <v>27.84</v>
      </c>
      <c r="F25" s="144" t="s">
        <v>172</v>
      </c>
      <c r="G25" s="145" t="s">
        <v>172</v>
      </c>
      <c r="H25" s="143">
        <v>31.74</v>
      </c>
      <c r="I25" s="144" t="s">
        <v>172</v>
      </c>
      <c r="J25" s="145" t="s">
        <v>172</v>
      </c>
      <c r="K25" s="143">
        <v>25.74</v>
      </c>
      <c r="L25" s="144" t="s">
        <v>172</v>
      </c>
      <c r="M25" s="145" t="s">
        <v>172</v>
      </c>
      <c r="N25" s="143">
        <v>12.59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1.254</v>
      </c>
      <c r="F26" s="144" t="s">
        <v>172</v>
      </c>
      <c r="G26" s="145" t="s">
        <v>172</v>
      </c>
      <c r="H26" s="153">
        <v>1.3089999999999999</v>
      </c>
      <c r="I26" s="144" t="s">
        <v>172</v>
      </c>
      <c r="J26" s="145" t="s">
        <v>172</v>
      </c>
      <c r="K26" s="153">
        <v>1.1839999999999999</v>
      </c>
      <c r="L26" s="144" t="s">
        <v>172</v>
      </c>
      <c r="M26" s="145" t="s">
        <v>172</v>
      </c>
      <c r="N26" s="153">
        <v>0.53900000000000003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1.151</v>
      </c>
      <c r="F27" s="144" t="s">
        <v>172</v>
      </c>
      <c r="G27" s="145" t="s">
        <v>172</v>
      </c>
      <c r="H27" s="153">
        <v>1.254</v>
      </c>
      <c r="I27" s="144" t="s">
        <v>172</v>
      </c>
      <c r="J27" s="145" t="s">
        <v>172</v>
      </c>
      <c r="K27" s="153">
        <v>1.089</v>
      </c>
      <c r="L27" s="144" t="s">
        <v>172</v>
      </c>
      <c r="M27" s="145" t="s">
        <v>172</v>
      </c>
      <c r="N27" s="153">
        <v>0.58299999999999996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4.9400000000000004</v>
      </c>
      <c r="F28" s="158" t="s">
        <v>172</v>
      </c>
      <c r="G28" s="159" t="s">
        <v>172</v>
      </c>
      <c r="H28" s="234">
        <v>5.24</v>
      </c>
      <c r="I28" s="158" t="s">
        <v>172</v>
      </c>
      <c r="J28" s="159" t="s">
        <v>172</v>
      </c>
      <c r="K28" s="234">
        <v>5.0999999999999996</v>
      </c>
      <c r="L28" s="158" t="s">
        <v>172</v>
      </c>
      <c r="M28" s="159" t="s">
        <v>172</v>
      </c>
      <c r="N28" s="234">
        <v>2.39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3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9.0028000000000006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2.0996999999999999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2.3346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5.4797000000000002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3.3687999999999998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9" workbookViewId="0">
      <selection activeCell="B23" sqref="B23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43829</v>
      </c>
      <c r="E2" s="493"/>
      <c r="F2" s="326"/>
      <c r="G2" s="326"/>
      <c r="H2" s="326"/>
      <c r="I2" s="326"/>
      <c r="J2" s="326"/>
      <c r="K2" s="326"/>
      <c r="L2" s="326"/>
      <c r="M2" s="326"/>
      <c r="N2" s="326"/>
      <c r="O2" s="326"/>
      <c r="P2" s="326"/>
      <c r="Q2" s="326"/>
      <c r="R2" s="32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0.77854260621884641</v>
      </c>
      <c r="C6" s="103" t="s">
        <v>172</v>
      </c>
      <c r="D6" s="104" t="s">
        <v>172</v>
      </c>
      <c r="E6" s="102">
        <f>E20/$B$33</f>
        <v>0.82601471635414192</v>
      </c>
      <c r="F6" s="103" t="s">
        <v>172</v>
      </c>
      <c r="G6" s="104" t="s">
        <v>172</v>
      </c>
      <c r="H6" s="102">
        <f>H20/$B$33</f>
        <v>0.8877284595300261</v>
      </c>
      <c r="I6" s="103" t="s">
        <v>172</v>
      </c>
      <c r="J6" s="104" t="s">
        <v>172</v>
      </c>
      <c r="K6" s="102">
        <f>K20/$B$33</f>
        <v>0.82601471635414192</v>
      </c>
      <c r="L6" s="103" t="s">
        <v>172</v>
      </c>
      <c r="M6" s="104" t="s">
        <v>172</v>
      </c>
      <c r="N6" s="102">
        <f>N20/$B$33</f>
        <v>0.43674341324471871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0.68454001898884409</v>
      </c>
      <c r="C7" s="107">
        <f t="shared" ref="C7:C12" si="0">B7-B$6</f>
        <v>-9.4002587230002321E-2</v>
      </c>
      <c r="D7" s="108">
        <f t="shared" ref="D7:D12" si="1">B7/B$6*100</f>
        <v>87.925826219512203</v>
      </c>
      <c r="E7" s="102">
        <f>E21*$B$36/100/$B$33</f>
        <v>0.75149361500118672</v>
      </c>
      <c r="F7" s="107">
        <f t="shared" ref="F7:F15" si="2">E7-E$6</f>
        <v>-7.4521101352955199E-2</v>
      </c>
      <c r="G7" s="108">
        <f t="shared" ref="G7:G15" si="3">E7/E$6*100</f>
        <v>90.978235632183896</v>
      </c>
      <c r="H7" s="102">
        <f>H21*$B$36/100/$B$33</f>
        <v>0.83070859245193451</v>
      </c>
      <c r="I7" s="107">
        <f t="shared" ref="I7:I15" si="4">H7-H$6</f>
        <v>-5.7019867078091591E-2</v>
      </c>
      <c r="J7" s="108">
        <f t="shared" ref="J7:J15" si="5">H7/H$6*100</f>
        <v>93.576879679144383</v>
      </c>
      <c r="K7" s="102">
        <f>K21*$B$36/100/$B$33</f>
        <v>0.760205649181106</v>
      </c>
      <c r="L7" s="107">
        <f t="shared" ref="L7:L15" si="6">K7-K$6</f>
        <v>-6.5809067173035918E-2</v>
      </c>
      <c r="M7" s="108">
        <f t="shared" ref="M7:M15" si="7">K7/K$6*100</f>
        <v>92.032942528735617</v>
      </c>
      <c r="N7" s="102">
        <f>N21*$B$36/100/$B$33</f>
        <v>0.38607218134346066</v>
      </c>
      <c r="O7" s="107">
        <f t="shared" ref="O7:O15" si="8">N7-N$6</f>
        <v>-5.0671231901258051E-2</v>
      </c>
      <c r="P7" s="108">
        <f t="shared" ref="P7:P15" si="9">N7/N$6*100</f>
        <v>88.397940217391294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0.68357201519107513</v>
      </c>
      <c r="C8" s="107">
        <f t="shared" si="0"/>
        <v>-9.4970591027771278E-2</v>
      </c>
      <c r="D8" s="108">
        <f t="shared" si="1"/>
        <v>87.801490853658521</v>
      </c>
      <c r="E8" s="102">
        <f>E22*$B$36/100/$B$33</f>
        <v>0.73374687870875843</v>
      </c>
      <c r="F8" s="107">
        <f t="shared" si="2"/>
        <v>-9.2267837645383488E-2</v>
      </c>
      <c r="G8" s="108">
        <f t="shared" si="3"/>
        <v>88.829758620689631</v>
      </c>
      <c r="H8" s="102">
        <f>H22*$B$36/100/$B$33</f>
        <v>0.82683657726085924</v>
      </c>
      <c r="I8" s="107">
        <f t="shared" si="4"/>
        <v>-6.0891882269166864E-2</v>
      </c>
      <c r="J8" s="108">
        <f t="shared" si="5"/>
        <v>93.140708556149733</v>
      </c>
      <c r="K8" s="102">
        <f>K22*$B$36/100/$B$33</f>
        <v>0.75617230002373603</v>
      </c>
      <c r="L8" s="107">
        <f t="shared" si="6"/>
        <v>-6.9842416330405888E-2</v>
      </c>
      <c r="M8" s="108">
        <f t="shared" si="7"/>
        <v>91.544652298850565</v>
      </c>
      <c r="N8" s="102">
        <f>N22*$B$36/100/$B$33</f>
        <v>0.37590814146688822</v>
      </c>
      <c r="O8" s="107">
        <f t="shared" si="8"/>
        <v>-6.0835271777830491E-2</v>
      </c>
      <c r="P8" s="108">
        <f t="shared" si="9"/>
        <v>86.07070652173914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0.69002537384286733</v>
      </c>
      <c r="C9" s="107">
        <f t="shared" si="0"/>
        <v>-8.8517232375979082E-2</v>
      </c>
      <c r="D9" s="108">
        <f t="shared" si="1"/>
        <v>88.630393292682925</v>
      </c>
      <c r="E9" s="102">
        <f>E23*$B$36/100/$B$33</f>
        <v>0.74245891288867782</v>
      </c>
      <c r="F9" s="107">
        <f t="shared" si="2"/>
        <v>-8.3555803465464096E-2</v>
      </c>
      <c r="G9" s="108">
        <f t="shared" si="3"/>
        <v>89.884465517241381</v>
      </c>
      <c r="H9" s="102">
        <f>H23*$B$36/100/$B$33</f>
        <v>0.81634986945169707</v>
      </c>
      <c r="I9" s="107">
        <f t="shared" si="4"/>
        <v>-7.1378590078329029E-2</v>
      </c>
      <c r="J9" s="108">
        <f t="shared" si="5"/>
        <v>91.959411764705877</v>
      </c>
      <c r="K9" s="102">
        <f>K23*$B$36/100/$B$33</f>
        <v>0.75730163778779958</v>
      </c>
      <c r="L9" s="107">
        <f t="shared" si="6"/>
        <v>-6.8713078566342345E-2</v>
      </c>
      <c r="M9" s="108">
        <f t="shared" si="7"/>
        <v>91.681373563218386</v>
      </c>
      <c r="N9" s="102">
        <f>N23*$B$36/100/$B$33</f>
        <v>0.39204153809636838</v>
      </c>
      <c r="O9" s="107">
        <f t="shared" si="8"/>
        <v>-4.4701875148350334E-2</v>
      </c>
      <c r="P9" s="108">
        <f t="shared" si="9"/>
        <v>89.76472826086956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0.6782479943033467</v>
      </c>
      <c r="C10" s="107">
        <f t="shared" si="0"/>
        <v>-0.10029461191549971</v>
      </c>
      <c r="D10" s="108">
        <f t="shared" si="1"/>
        <v>87.117646341463413</v>
      </c>
      <c r="E10" s="102">
        <f>E24*$B$36/100/$B$33</f>
        <v>0.72680951815808204</v>
      </c>
      <c r="F10" s="107">
        <f t="shared" si="2"/>
        <v>-9.9205198196059885E-2</v>
      </c>
      <c r="G10" s="108">
        <f t="shared" si="3"/>
        <v>87.989899425287348</v>
      </c>
      <c r="H10" s="102">
        <f>H24*$B$36/100/$B$33</f>
        <v>0.84684198908141461</v>
      </c>
      <c r="I10" s="107">
        <f t="shared" si="4"/>
        <v>-4.0886470448611489E-2</v>
      </c>
      <c r="J10" s="108">
        <f t="shared" si="5"/>
        <v>95.394259358288764</v>
      </c>
      <c r="K10" s="102">
        <f>K24*$B$36/100/$B$33</f>
        <v>0.77117635888915259</v>
      </c>
      <c r="L10" s="107">
        <f t="shared" si="6"/>
        <v>-5.4838357464989329E-2</v>
      </c>
      <c r="M10" s="108">
        <f t="shared" si="7"/>
        <v>93.361091954022996</v>
      </c>
      <c r="N10" s="102">
        <f>N24*$B$36/100/$B$33</f>
        <v>0.36784144315214806</v>
      </c>
      <c r="O10" s="107">
        <f t="shared" si="8"/>
        <v>-6.8901970092570652E-2</v>
      </c>
      <c r="P10" s="108">
        <f t="shared" si="9"/>
        <v>84.223695652173902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0.68409635058153329</v>
      </c>
      <c r="C11" s="236">
        <f t="shared" si="0"/>
        <v>-9.4446255637313126E-2</v>
      </c>
      <c r="D11" s="237">
        <f t="shared" si="1"/>
        <v>87.868839176829255</v>
      </c>
      <c r="E11" s="235">
        <f>AVERAGE(E7:E10)</f>
        <v>0.73862723118917617</v>
      </c>
      <c r="F11" s="236">
        <f t="shared" si="2"/>
        <v>-8.738748516496575E-2</v>
      </c>
      <c r="G11" s="237">
        <f t="shared" si="3"/>
        <v>89.420589798850557</v>
      </c>
      <c r="H11" s="235">
        <f>AVERAGE(H7:H10)</f>
        <v>0.83018425706147636</v>
      </c>
      <c r="I11" s="236">
        <f t="shared" si="4"/>
        <v>-5.7544202468549743E-2</v>
      </c>
      <c r="J11" s="237">
        <f t="shared" si="5"/>
        <v>93.517814839572182</v>
      </c>
      <c r="K11" s="235">
        <f>AVERAGE(K7:K10)</f>
        <v>0.76121398647044858</v>
      </c>
      <c r="L11" s="236">
        <f t="shared" si="6"/>
        <v>-6.4800729883693342E-2</v>
      </c>
      <c r="M11" s="237">
        <f t="shared" si="7"/>
        <v>92.155015086206888</v>
      </c>
      <c r="N11" s="235">
        <f>AVERAGE(N7:N10)</f>
        <v>0.38046582601471635</v>
      </c>
      <c r="O11" s="236">
        <f t="shared" si="8"/>
        <v>-5.6277587230002368E-2</v>
      </c>
      <c r="P11" s="237">
        <f t="shared" si="9"/>
        <v>87.114267663043478</v>
      </c>
      <c r="Q11" s="109"/>
    </row>
    <row r="12" spans="1:19" s="96" customFormat="1" ht="15.75" x14ac:dyDescent="0.25">
      <c r="A12" s="110" t="s">
        <v>24</v>
      </c>
      <c r="B12" s="102">
        <f>B25*$B$32/100/$B$33</f>
        <v>1.0980436933301685</v>
      </c>
      <c r="C12" s="107">
        <f t="shared" si="0"/>
        <v>0.31950108711132208</v>
      </c>
      <c r="D12" s="108">
        <f t="shared" si="1"/>
        <v>141.03835609756098</v>
      </c>
      <c r="E12" s="102">
        <f>E25*$B$32/100/$B$33</f>
        <v>1.1676201946356517</v>
      </c>
      <c r="F12" s="107">
        <f t="shared" si="2"/>
        <v>0.34160547828150978</v>
      </c>
      <c r="G12" s="108">
        <f t="shared" si="3"/>
        <v>141.35585862068967</v>
      </c>
      <c r="H12" s="102">
        <f>H25*$B$32/100/$B$33</f>
        <v>1.3088815760740562</v>
      </c>
      <c r="I12" s="107">
        <f t="shared" si="4"/>
        <v>0.42115311654403009</v>
      </c>
      <c r="J12" s="108">
        <f t="shared" si="5"/>
        <v>147.4416598930481</v>
      </c>
      <c r="K12" s="102">
        <f>K25*$B$32/100/$B$33</f>
        <v>1.0853934203655351</v>
      </c>
      <c r="L12" s="107">
        <f t="shared" si="6"/>
        <v>0.25937870401139318</v>
      </c>
      <c r="M12" s="108">
        <f t="shared" si="7"/>
        <v>131.40122068965516</v>
      </c>
      <c r="N12" s="102">
        <f>N25*$B$32/100/$B$33</f>
        <v>0.53088978874910986</v>
      </c>
      <c r="O12" s="107">
        <f t="shared" si="8"/>
        <v>9.4146375504391144E-2</v>
      </c>
      <c r="P12" s="108">
        <f t="shared" si="9"/>
        <v>121.55645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1.4183277949204842</v>
      </c>
      <c r="F13" s="107">
        <f t="shared" si="2"/>
        <v>0.5923130785663423</v>
      </c>
      <c r="G13" s="108">
        <f t="shared" si="3"/>
        <v>171.7073275862069</v>
      </c>
      <c r="H13" s="102">
        <f>H26*$B$34/$B$33</f>
        <v>1.4795105625445053</v>
      </c>
      <c r="I13" s="107">
        <f t="shared" si="4"/>
        <v>0.5917821030144792</v>
      </c>
      <c r="J13" s="108">
        <f t="shared" si="5"/>
        <v>166.66251336898398</v>
      </c>
      <c r="K13" s="102">
        <f>K26*$B$34/$B$33</f>
        <v>1.3282222644196533</v>
      </c>
      <c r="L13" s="107">
        <f t="shared" si="6"/>
        <v>0.50220754806551138</v>
      </c>
      <c r="M13" s="108">
        <f t="shared" si="7"/>
        <v>160.79886206896549</v>
      </c>
      <c r="N13" s="102">
        <f>N26*$B$34/$B$33</f>
        <v>0.61071526228340856</v>
      </c>
      <c r="O13" s="107">
        <f t="shared" si="8"/>
        <v>0.17397184903868984</v>
      </c>
      <c r="P13" s="108">
        <f t="shared" si="9"/>
        <v>139.83388043478263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1.2559153572276289</v>
      </c>
      <c r="F14" s="107">
        <f t="shared" si="2"/>
        <v>0.42990064087348701</v>
      </c>
      <c r="G14" s="108">
        <f t="shared" si="3"/>
        <v>152.04515517241381</v>
      </c>
      <c r="H14" s="102">
        <f>H27*$B$34/$B$33</f>
        <v>1.3738312366484691</v>
      </c>
      <c r="I14" s="107">
        <f t="shared" si="4"/>
        <v>0.48610277711844296</v>
      </c>
      <c r="J14" s="108">
        <f t="shared" si="5"/>
        <v>154.75804812834227</v>
      </c>
      <c r="K14" s="102">
        <f>K27*$B$34/$B$33</f>
        <v>1.2002946593876098</v>
      </c>
      <c r="L14" s="107">
        <f t="shared" si="6"/>
        <v>0.3742799430334679</v>
      </c>
      <c r="M14" s="108">
        <f t="shared" si="7"/>
        <v>145.31153448275862</v>
      </c>
      <c r="N14" s="102">
        <f>N27*$B$34/$B$33</f>
        <v>0.64853733681462133</v>
      </c>
      <c r="O14" s="107">
        <f t="shared" si="8"/>
        <v>0.21179392356990262</v>
      </c>
      <c r="P14" s="108">
        <f t="shared" si="9"/>
        <v>148.49390217391303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1.2983579397104201</v>
      </c>
      <c r="F15" s="119">
        <f t="shared" si="2"/>
        <v>0.47234322335627821</v>
      </c>
      <c r="G15" s="120">
        <f t="shared" si="3"/>
        <v>157.18339080459771</v>
      </c>
      <c r="H15" s="118">
        <f>H28*$B$35/10/$B$33</f>
        <v>1.3506057441253265</v>
      </c>
      <c r="I15" s="119">
        <f t="shared" si="4"/>
        <v>0.46287728459530042</v>
      </c>
      <c r="J15" s="120">
        <f t="shared" si="5"/>
        <v>152.14176470588237</v>
      </c>
      <c r="K15" s="118">
        <f>K28*$B$35/10/$B$33</f>
        <v>1.3375437930215999</v>
      </c>
      <c r="L15" s="119">
        <f t="shared" si="6"/>
        <v>0.51152907666745795</v>
      </c>
      <c r="M15" s="120">
        <f t="shared" si="7"/>
        <v>161.92735632183911</v>
      </c>
      <c r="N15" s="118">
        <f>N28*$B$35/10/$B$33</f>
        <v>0.61913648231663898</v>
      </c>
      <c r="O15" s="119">
        <f t="shared" si="8"/>
        <v>0.18239306907192027</v>
      </c>
      <c r="P15" s="120">
        <f t="shared" si="9"/>
        <v>141.76206521739132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28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28" t="s">
        <v>214</v>
      </c>
      <c r="X19" s="328" t="s">
        <v>214</v>
      </c>
    </row>
    <row r="20" spans="1:24" s="141" customFormat="1" ht="15.75" x14ac:dyDescent="0.25">
      <c r="A20" s="133" t="s">
        <v>185</v>
      </c>
      <c r="B20" s="134">
        <v>1.64</v>
      </c>
      <c r="C20" s="135" t="s">
        <v>172</v>
      </c>
      <c r="D20" s="136" t="s">
        <v>172</v>
      </c>
      <c r="E20" s="134">
        <v>1.74</v>
      </c>
      <c r="F20" s="135" t="s">
        <v>172</v>
      </c>
      <c r="G20" s="136" t="s">
        <v>172</v>
      </c>
      <c r="H20" s="134">
        <v>1.87</v>
      </c>
      <c r="I20" s="135" t="s">
        <v>172</v>
      </c>
      <c r="J20" s="136" t="s">
        <v>172</v>
      </c>
      <c r="K20" s="134">
        <v>1.74</v>
      </c>
      <c r="L20" s="135" t="s">
        <v>172</v>
      </c>
      <c r="M20" s="136" t="s">
        <v>172</v>
      </c>
      <c r="N20" s="143">
        <v>0.92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42.43</v>
      </c>
      <c r="C21" s="144" t="s">
        <v>172</v>
      </c>
      <c r="D21" s="145" t="s">
        <v>172</v>
      </c>
      <c r="E21" s="143">
        <v>46.58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23.93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42.37</v>
      </c>
      <c r="C22" s="144" t="s">
        <v>172</v>
      </c>
      <c r="D22" s="145" t="s">
        <v>172</v>
      </c>
      <c r="E22" s="143">
        <v>45.48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46.87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42.77</v>
      </c>
      <c r="C23" s="144" t="s">
        <v>172</v>
      </c>
      <c r="D23" s="145" t="s">
        <v>172</v>
      </c>
      <c r="E23" s="143">
        <v>46.02</v>
      </c>
      <c r="F23" s="144" t="s">
        <v>172</v>
      </c>
      <c r="G23" s="145" t="s">
        <v>172</v>
      </c>
      <c r="H23" s="143">
        <v>50.6</v>
      </c>
      <c r="I23" s="144" t="s">
        <v>172</v>
      </c>
      <c r="J23" s="145" t="s">
        <v>172</v>
      </c>
      <c r="K23" s="143">
        <v>46.94</v>
      </c>
      <c r="L23" s="144" t="s">
        <v>172</v>
      </c>
      <c r="M23" s="145" t="s">
        <v>172</v>
      </c>
      <c r="N23" s="143">
        <v>24.3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42.04</v>
      </c>
      <c r="C24" s="144" t="s">
        <v>172</v>
      </c>
      <c r="D24" s="145" t="s">
        <v>172</v>
      </c>
      <c r="E24" s="143">
        <v>45.05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47.8</v>
      </c>
      <c r="L24" s="144" t="s">
        <v>172</v>
      </c>
      <c r="M24" s="145" t="s">
        <v>172</v>
      </c>
      <c r="N24" s="143">
        <v>22.8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26.04</v>
      </c>
      <c r="C25" s="144" t="s">
        <v>172</v>
      </c>
      <c r="D25" s="145" t="s">
        <v>172</v>
      </c>
      <c r="E25" s="143">
        <v>27.69</v>
      </c>
      <c r="F25" s="144" t="s">
        <v>172</v>
      </c>
      <c r="G25" s="145" t="s">
        <v>172</v>
      </c>
      <c r="H25" s="143">
        <v>31.04</v>
      </c>
      <c r="I25" s="144" t="s">
        <v>172</v>
      </c>
      <c r="J25" s="145" t="s">
        <v>172</v>
      </c>
      <c r="K25" s="143">
        <v>25.74</v>
      </c>
      <c r="L25" s="144" t="s">
        <v>172</v>
      </c>
      <c r="M25" s="145" t="s">
        <v>172</v>
      </c>
      <c r="N25" s="143">
        <v>12.59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1.2749999999999999</v>
      </c>
      <c r="F26" s="144" t="s">
        <v>172</v>
      </c>
      <c r="G26" s="145" t="s">
        <v>172</v>
      </c>
      <c r="H26" s="153">
        <v>1.33</v>
      </c>
      <c r="I26" s="144" t="s">
        <v>172</v>
      </c>
      <c r="J26" s="145" t="s">
        <v>172</v>
      </c>
      <c r="K26" s="153">
        <v>1.194</v>
      </c>
      <c r="L26" s="144" t="s">
        <v>172</v>
      </c>
      <c r="M26" s="145" t="s">
        <v>172</v>
      </c>
      <c r="N26" s="153">
        <v>0.54900000000000004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1.129</v>
      </c>
      <c r="F27" s="144" t="s">
        <v>172</v>
      </c>
      <c r="G27" s="145" t="s">
        <v>172</v>
      </c>
      <c r="H27" s="153">
        <v>1.2350000000000001</v>
      </c>
      <c r="I27" s="144" t="s">
        <v>172</v>
      </c>
      <c r="J27" s="145" t="s">
        <v>172</v>
      </c>
      <c r="K27" s="153">
        <v>1.079</v>
      </c>
      <c r="L27" s="144" t="s">
        <v>172</v>
      </c>
      <c r="M27" s="145" t="s">
        <v>172</v>
      </c>
      <c r="N27" s="153">
        <v>0.58299999999999996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4.97</v>
      </c>
      <c r="F28" s="158" t="s">
        <v>172</v>
      </c>
      <c r="G28" s="159" t="s">
        <v>172</v>
      </c>
      <c r="H28" s="234">
        <v>5.17</v>
      </c>
      <c r="I28" s="158" t="s">
        <v>172</v>
      </c>
      <c r="J28" s="159" t="s">
        <v>172</v>
      </c>
      <c r="K28" s="234">
        <v>5.12</v>
      </c>
      <c r="L28" s="158" t="s">
        <v>172</v>
      </c>
      <c r="M28" s="159" t="s">
        <v>172</v>
      </c>
      <c r="N28" s="234">
        <v>2.37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7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22">
        <v>8.8826000000000001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20">
        <v>2.1065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21">
        <v>2.3433000000000002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20">
        <v>5.5030000000000001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12">
        <v>3.3984999999999999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E28" sqref="E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43838</v>
      </c>
      <c r="E2" s="493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0.78206465067778941</v>
      </c>
      <c r="C6" s="103" t="s">
        <v>172</v>
      </c>
      <c r="D6" s="104" t="s">
        <v>172</v>
      </c>
      <c r="E6" s="102">
        <f>E20/$B$33</f>
        <v>0.82946250829462509</v>
      </c>
      <c r="F6" s="103" t="s">
        <v>172</v>
      </c>
      <c r="G6" s="104" t="s">
        <v>172</v>
      </c>
      <c r="H6" s="102">
        <f>H20/$B$33</f>
        <v>0.89107972319651152</v>
      </c>
      <c r="I6" s="103" t="s">
        <v>172</v>
      </c>
      <c r="J6" s="104" t="s">
        <v>172</v>
      </c>
      <c r="K6" s="102">
        <f>K20/$B$33</f>
        <v>0.82946250829462509</v>
      </c>
      <c r="L6" s="103" t="s">
        <v>172</v>
      </c>
      <c r="M6" s="104" t="s">
        <v>172</v>
      </c>
      <c r="N6" s="102">
        <f>N20/$B$33</f>
        <v>0.43606029007488867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0.68463719309887205</v>
      </c>
      <c r="C7" s="107">
        <f t="shared" ref="C7:C12" si="0">B7-B$6</f>
        <v>-9.7427457578917354E-2</v>
      </c>
      <c r="D7" s="108">
        <f t="shared" ref="D7:D12" si="1">B7/B$6*100</f>
        <v>87.542275757575766</v>
      </c>
      <c r="E7" s="102">
        <f>E21*$B$36/100/$B$33</f>
        <v>0.75247250924258235</v>
      </c>
      <c r="F7" s="107">
        <f t="shared" ref="F7:F15" si="2">E7-E$6</f>
        <v>-7.6989999052042735E-2</v>
      </c>
      <c r="G7" s="108">
        <f t="shared" ref="G7:G15" si="3">E7/E$6*100</f>
        <v>90.718085714285721</v>
      </c>
      <c r="H7" s="102">
        <f>H21*$B$36/100/$B$33</f>
        <v>0.82965330837046181</v>
      </c>
      <c r="I7" s="107">
        <f t="shared" ref="I7:I15" si="4">H7-H$6</f>
        <v>-6.1426414826049713E-2</v>
      </c>
      <c r="J7" s="108">
        <f t="shared" ref="J7:J15" si="5">H7/H$6*100</f>
        <v>93.106518617021294</v>
      </c>
      <c r="K7" s="102">
        <f>K21*$B$36/100/$B$33</f>
        <v>0.75891766992131959</v>
      </c>
      <c r="L7" s="107">
        <f t="shared" ref="L7:L15" si="6">K7-K$6</f>
        <v>-7.0544838373305496E-2</v>
      </c>
      <c r="M7" s="108">
        <f t="shared" ref="M7:M15" si="7">K7/K$6*100</f>
        <v>91.49511428571428</v>
      </c>
      <c r="N7" s="102">
        <f>N21*$B$36/100/$B$33</f>
        <v>0.38606512465636555</v>
      </c>
      <c r="O7" s="107">
        <f t="shared" ref="O7:O15" si="8">N7-N$6</f>
        <v>-4.9995165418523113E-2</v>
      </c>
      <c r="P7" s="108">
        <f t="shared" ref="P7:P15" si="9">N7/N$6*100</f>
        <v>88.534804347826082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0.68077009669162958</v>
      </c>
      <c r="C8" s="107">
        <f t="shared" si="0"/>
        <v>-0.10129455398615983</v>
      </c>
      <c r="D8" s="108">
        <f t="shared" si="1"/>
        <v>87.047803030303029</v>
      </c>
      <c r="E8" s="102">
        <f>E22*$B$36/100/$B$33</f>
        <v>0.73217025310455963</v>
      </c>
      <c r="F8" s="107">
        <f t="shared" si="2"/>
        <v>-9.7292255190065458E-2</v>
      </c>
      <c r="G8" s="108">
        <f t="shared" si="3"/>
        <v>88.2704457142857</v>
      </c>
      <c r="H8" s="102">
        <f>H22*$B$36/100/$B$33</f>
        <v>0.82578621196321933</v>
      </c>
      <c r="I8" s="107">
        <f t="shared" si="4"/>
        <v>-6.529351123329219E-2</v>
      </c>
      <c r="J8" s="108">
        <f t="shared" si="5"/>
        <v>92.672539893617028</v>
      </c>
      <c r="K8" s="102">
        <f>K22*$B$36/100/$B$33</f>
        <v>0.75521170253104564</v>
      </c>
      <c r="L8" s="107">
        <f t="shared" si="6"/>
        <v>-7.4250805763579453E-2</v>
      </c>
      <c r="M8" s="108">
        <f t="shared" si="7"/>
        <v>91.048322857142864</v>
      </c>
      <c r="N8" s="102">
        <f>N22*$B$36/100/$B$33</f>
        <v>0.37704189970613328</v>
      </c>
      <c r="O8" s="107">
        <f t="shared" si="8"/>
        <v>-5.9018390368755391E-2</v>
      </c>
      <c r="P8" s="108">
        <f t="shared" si="9"/>
        <v>86.465543478260855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0.68882654754005124</v>
      </c>
      <c r="C9" s="107">
        <f t="shared" si="0"/>
        <v>-9.3238103137738171E-2</v>
      </c>
      <c r="D9" s="108">
        <f t="shared" si="1"/>
        <v>88.077954545454546</v>
      </c>
      <c r="E9" s="102">
        <f>E23*$B$36/100/$B$33</f>
        <v>0.74119347805479197</v>
      </c>
      <c r="F9" s="107">
        <f t="shared" si="2"/>
        <v>-8.8269030239833124E-2</v>
      </c>
      <c r="G9" s="108">
        <f t="shared" si="3"/>
        <v>89.358285714285728</v>
      </c>
      <c r="H9" s="102">
        <f>H23*$B$36/100/$B$33</f>
        <v>0.81531282586027121</v>
      </c>
      <c r="I9" s="107">
        <f t="shared" si="4"/>
        <v>-7.5766897336240313E-2</v>
      </c>
      <c r="J9" s="108">
        <f t="shared" si="5"/>
        <v>91.497180851063845</v>
      </c>
      <c r="K9" s="102">
        <f>K23*$B$36/100/$B$33</f>
        <v>0.75585621859891938</v>
      </c>
      <c r="L9" s="107">
        <f t="shared" si="6"/>
        <v>-7.3606289695705707E-2</v>
      </c>
      <c r="M9" s="108">
        <f t="shared" si="7"/>
        <v>91.126025714285717</v>
      </c>
      <c r="N9" s="102">
        <f>N23*$B$36/100/$B$33</f>
        <v>0.38268141530002853</v>
      </c>
      <c r="O9" s="107">
        <f t="shared" si="8"/>
        <v>-5.3378874774860141E-2</v>
      </c>
      <c r="P9" s="108">
        <f t="shared" si="9"/>
        <v>87.75883152173914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0.67770864536922948</v>
      </c>
      <c r="C10" s="107">
        <f t="shared" si="0"/>
        <v>-0.10435600530855993</v>
      </c>
      <c r="D10" s="108">
        <f t="shared" si="1"/>
        <v>86.656345454545473</v>
      </c>
      <c r="E10" s="102">
        <f>E24*$B$36/100/$B$33</f>
        <v>0.72685299554460148</v>
      </c>
      <c r="F10" s="107">
        <f t="shared" si="2"/>
        <v>-0.10260951275002361</v>
      </c>
      <c r="G10" s="108">
        <f t="shared" si="3"/>
        <v>87.629397142857158</v>
      </c>
      <c r="H10" s="102">
        <f>H24*$B$36/100/$B$33</f>
        <v>0.84576621006730512</v>
      </c>
      <c r="I10" s="107">
        <f t="shared" si="4"/>
        <v>-4.5313513129206395E-2</v>
      </c>
      <c r="J10" s="108">
        <f t="shared" si="5"/>
        <v>94.914763297872355</v>
      </c>
      <c r="K10" s="102">
        <f>K24*$B$36/100/$B$33</f>
        <v>0.77615847473694199</v>
      </c>
      <c r="L10" s="107">
        <f t="shared" si="6"/>
        <v>-5.3304033557683095E-2</v>
      </c>
      <c r="M10" s="108">
        <f t="shared" si="7"/>
        <v>93.573665714285724</v>
      </c>
      <c r="N10" s="102">
        <f>N24*$B$36/100/$B$33</f>
        <v>0.37059673902739598</v>
      </c>
      <c r="O10" s="107">
        <f t="shared" si="8"/>
        <v>-6.5463551047492685E-2</v>
      </c>
      <c r="P10" s="108">
        <f t="shared" si="9"/>
        <v>84.987499999999997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0.68298562067494561</v>
      </c>
      <c r="C11" s="236">
        <f t="shared" si="0"/>
        <v>-9.9079030002843793E-2</v>
      </c>
      <c r="D11" s="237">
        <f t="shared" si="1"/>
        <v>87.3310946969697</v>
      </c>
      <c r="E11" s="235">
        <f>AVERAGE(E7:E10)</f>
        <v>0.73817230898663388</v>
      </c>
      <c r="F11" s="236">
        <f t="shared" si="2"/>
        <v>-9.1290199307991204E-2</v>
      </c>
      <c r="G11" s="237">
        <f t="shared" si="3"/>
        <v>88.99405357142858</v>
      </c>
      <c r="H11" s="235">
        <f>AVERAGE(H7:H10)</f>
        <v>0.82912963906531434</v>
      </c>
      <c r="I11" s="236">
        <f t="shared" si="4"/>
        <v>-6.1950084131197181E-2</v>
      </c>
      <c r="J11" s="237">
        <f t="shared" si="5"/>
        <v>93.047750664893627</v>
      </c>
      <c r="K11" s="235">
        <f>AVERAGE(K7:K10)</f>
        <v>0.7615360164470566</v>
      </c>
      <c r="L11" s="236">
        <f t="shared" si="6"/>
        <v>-6.7926491847568493E-2</v>
      </c>
      <c r="M11" s="237">
        <f t="shared" si="7"/>
        <v>91.810782142857136</v>
      </c>
      <c r="N11" s="235">
        <f>AVERAGE(N7:N10)</f>
        <v>0.37909629467248085</v>
      </c>
      <c r="O11" s="236">
        <f t="shared" si="8"/>
        <v>-5.6963995402407819E-2</v>
      </c>
      <c r="P11" s="237">
        <f t="shared" si="9"/>
        <v>86.936669836956526</v>
      </c>
      <c r="Q11" s="109"/>
    </row>
    <row r="12" spans="1:19" s="96" customFormat="1" ht="15.75" x14ac:dyDescent="0.25">
      <c r="A12" s="110" t="s">
        <v>24</v>
      </c>
      <c r="B12" s="102">
        <f>B25*$B$32/100/$B$33</f>
        <v>1.0973506303915064</v>
      </c>
      <c r="C12" s="107">
        <f t="shared" si="0"/>
        <v>0.31528597971371697</v>
      </c>
      <c r="D12" s="108">
        <f t="shared" si="1"/>
        <v>140.31456727272726</v>
      </c>
      <c r="E12" s="102">
        <f>E25*$B$32/100/$B$33</f>
        <v>1.1563479761114799</v>
      </c>
      <c r="F12" s="107">
        <f t="shared" si="2"/>
        <v>0.32688546781685479</v>
      </c>
      <c r="G12" s="108">
        <f t="shared" si="3"/>
        <v>139.40931200000003</v>
      </c>
      <c r="H12" s="102">
        <f>H25*$B$32/100/$B$33</f>
        <v>1.2975201962271306</v>
      </c>
      <c r="I12" s="107">
        <f t="shared" si="4"/>
        <v>0.40644047303061903</v>
      </c>
      <c r="J12" s="108">
        <f t="shared" si="5"/>
        <v>145.6121335106383</v>
      </c>
      <c r="K12" s="102">
        <f>K25*$B$32/100/$B$33</f>
        <v>1.0847083420229406</v>
      </c>
      <c r="L12" s="107">
        <f t="shared" si="6"/>
        <v>0.25524583372831555</v>
      </c>
      <c r="M12" s="108">
        <f t="shared" si="7"/>
        <v>130.77243771428573</v>
      </c>
      <c r="N12" s="102">
        <f>N25*$B$32/100/$B$33</f>
        <v>0.53055470186747555</v>
      </c>
      <c r="O12" s="107">
        <f t="shared" si="8"/>
        <v>9.4494411792586885E-2</v>
      </c>
      <c r="P12" s="108">
        <f t="shared" si="9"/>
        <v>121.67003369565215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1.4566628116409137</v>
      </c>
      <c r="F13" s="107">
        <f t="shared" si="2"/>
        <v>0.62720030334628862</v>
      </c>
      <c r="G13" s="108">
        <f t="shared" si="3"/>
        <v>175.61526857142854</v>
      </c>
      <c r="H13" s="102">
        <f>H26*$B$34/$B$33</f>
        <v>1.49911157455683</v>
      </c>
      <c r="I13" s="107">
        <f t="shared" si="4"/>
        <v>0.60803185136031845</v>
      </c>
      <c r="J13" s="108">
        <f t="shared" si="5"/>
        <v>168.23540425531914</v>
      </c>
      <c r="K13" s="102">
        <f>K26*$B$34/$B$33</f>
        <v>1.378467722058963</v>
      </c>
      <c r="L13" s="107">
        <f t="shared" si="6"/>
        <v>0.54900521376433786</v>
      </c>
      <c r="M13" s="108">
        <f t="shared" si="7"/>
        <v>166.18806857142857</v>
      </c>
      <c r="N13" s="102">
        <f>N26*$B$34/$B$33</f>
        <v>0.64455095269693807</v>
      </c>
      <c r="O13" s="107">
        <f t="shared" si="8"/>
        <v>0.20849066262204941</v>
      </c>
      <c r="P13" s="108">
        <f t="shared" si="9"/>
        <v>147.81234782608695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1.3684140676841408</v>
      </c>
      <c r="F14" s="107">
        <f t="shared" si="2"/>
        <v>0.53895155938951567</v>
      </c>
      <c r="G14" s="108">
        <f t="shared" si="3"/>
        <v>164.976</v>
      </c>
      <c r="H14" s="102">
        <f>H27*$B$34/$B$33</f>
        <v>1.4454920845577779</v>
      </c>
      <c r="I14" s="107">
        <f t="shared" si="4"/>
        <v>0.55441236136126637</v>
      </c>
      <c r="J14" s="108">
        <f t="shared" si="5"/>
        <v>162.21804255319148</v>
      </c>
      <c r="K14" s="102">
        <f>K27*$B$34/$B$33</f>
        <v>1.2902189781021898</v>
      </c>
      <c r="L14" s="107">
        <f t="shared" si="6"/>
        <v>0.46075646980756468</v>
      </c>
      <c r="M14" s="108">
        <f t="shared" si="7"/>
        <v>155.5488</v>
      </c>
      <c r="N14" s="102">
        <f>N27*$B$34/$B$33</f>
        <v>0.65907289790501455</v>
      </c>
      <c r="O14" s="107">
        <f t="shared" si="8"/>
        <v>0.22301260783012589</v>
      </c>
      <c r="P14" s="108">
        <f t="shared" si="9"/>
        <v>151.14260869565211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1.3044155844155845</v>
      </c>
      <c r="F15" s="119">
        <f t="shared" si="2"/>
        <v>0.47495307612095938</v>
      </c>
      <c r="G15" s="120">
        <f t="shared" si="3"/>
        <v>157.26034285714286</v>
      </c>
      <c r="H15" s="118">
        <f>H28*$B$35/10/$B$33</f>
        <v>1.3701623376623375</v>
      </c>
      <c r="I15" s="119">
        <f t="shared" si="4"/>
        <v>0.47908261446582601</v>
      </c>
      <c r="J15" s="120">
        <f t="shared" si="5"/>
        <v>153.76428191489359</v>
      </c>
      <c r="K15" s="118">
        <f>K28*$B$35/10/$B$33</f>
        <v>1.3675324675324676</v>
      </c>
      <c r="L15" s="119">
        <f t="shared" si="6"/>
        <v>0.53806995923784251</v>
      </c>
      <c r="M15" s="120">
        <f t="shared" si="7"/>
        <v>164.86971428571428</v>
      </c>
      <c r="N15" s="118">
        <f>N28*$B$35/10/$B$33</f>
        <v>0.62590909090909086</v>
      </c>
      <c r="O15" s="119">
        <f t="shared" si="8"/>
        <v>0.18984880083420219</v>
      </c>
      <c r="P15" s="120">
        <f t="shared" si="9"/>
        <v>143.53728260869562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0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0" t="s">
        <v>214</v>
      </c>
      <c r="X19" s="330" t="s">
        <v>214</v>
      </c>
    </row>
    <row r="20" spans="1:24" s="141" customFormat="1" ht="15.75" x14ac:dyDescent="0.25">
      <c r="A20" s="133" t="s">
        <v>185</v>
      </c>
      <c r="B20" s="134">
        <v>1.65</v>
      </c>
      <c r="C20" s="135" t="s">
        <v>172</v>
      </c>
      <c r="D20" s="136" t="s">
        <v>172</v>
      </c>
      <c r="E20" s="134">
        <v>1.75</v>
      </c>
      <c r="F20" s="135" t="s">
        <v>172</v>
      </c>
      <c r="G20" s="136" t="s">
        <v>172</v>
      </c>
      <c r="H20" s="134">
        <v>1.88</v>
      </c>
      <c r="I20" s="135" t="s">
        <v>172</v>
      </c>
      <c r="J20" s="136" t="s">
        <v>172</v>
      </c>
      <c r="K20" s="134">
        <v>1.75</v>
      </c>
      <c r="L20" s="135" t="s">
        <v>172</v>
      </c>
      <c r="M20" s="136" t="s">
        <v>172</v>
      </c>
      <c r="N20" s="143">
        <v>0.92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42.49</v>
      </c>
      <c r="C21" s="144" t="s">
        <v>172</v>
      </c>
      <c r="D21" s="145" t="s">
        <v>172</v>
      </c>
      <c r="E21" s="143">
        <v>46.7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</v>
      </c>
      <c r="L21" s="144" t="s">
        <v>172</v>
      </c>
      <c r="M21" s="145" t="s">
        <v>172</v>
      </c>
      <c r="N21" s="143">
        <v>23.96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42.25</v>
      </c>
      <c r="C22" s="144" t="s">
        <v>172</v>
      </c>
      <c r="D22" s="145" t="s">
        <v>172</v>
      </c>
      <c r="E22" s="143">
        <v>45.44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46.87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42.75</v>
      </c>
      <c r="C23" s="144" t="s">
        <v>172</v>
      </c>
      <c r="D23" s="145" t="s">
        <v>172</v>
      </c>
      <c r="E23" s="143">
        <v>46</v>
      </c>
      <c r="F23" s="144" t="s">
        <v>172</v>
      </c>
      <c r="G23" s="145" t="s">
        <v>172</v>
      </c>
      <c r="H23" s="143">
        <v>50.6</v>
      </c>
      <c r="I23" s="144" t="s">
        <v>172</v>
      </c>
      <c r="J23" s="145" t="s">
        <v>172</v>
      </c>
      <c r="K23" s="143">
        <v>46.91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42.06</v>
      </c>
      <c r="C24" s="144" t="s">
        <v>172</v>
      </c>
      <c r="D24" s="145" t="s">
        <v>172</v>
      </c>
      <c r="E24" s="143">
        <v>45.11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48.17</v>
      </c>
      <c r="L24" s="144" t="s">
        <v>172</v>
      </c>
      <c r="M24" s="145" t="s">
        <v>172</v>
      </c>
      <c r="N24" s="143">
        <v>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26.04</v>
      </c>
      <c r="C25" s="144" t="s">
        <v>172</v>
      </c>
      <c r="D25" s="145" t="s">
        <v>172</v>
      </c>
      <c r="E25" s="143">
        <v>27.44</v>
      </c>
      <c r="F25" s="144" t="s">
        <v>172</v>
      </c>
      <c r="G25" s="145" t="s">
        <v>172</v>
      </c>
      <c r="H25" s="143">
        <v>30.79</v>
      </c>
      <c r="I25" s="144" t="s">
        <v>172</v>
      </c>
      <c r="J25" s="145" t="s">
        <v>172</v>
      </c>
      <c r="K25" s="143">
        <v>25.74</v>
      </c>
      <c r="L25" s="144" t="s">
        <v>172</v>
      </c>
      <c r="M25" s="145" t="s">
        <v>172</v>
      </c>
      <c r="N25" s="143">
        <v>12.59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1.304</v>
      </c>
      <c r="F26" s="144" t="s">
        <v>172</v>
      </c>
      <c r="G26" s="145" t="s">
        <v>172</v>
      </c>
      <c r="H26" s="153">
        <v>1.3420000000000001</v>
      </c>
      <c r="I26" s="144" t="s">
        <v>172</v>
      </c>
      <c r="J26" s="145" t="s">
        <v>172</v>
      </c>
      <c r="K26" s="153">
        <v>1.234</v>
      </c>
      <c r="L26" s="144" t="s">
        <v>172</v>
      </c>
      <c r="M26" s="145" t="s">
        <v>172</v>
      </c>
      <c r="N26" s="153">
        <v>0.57699999999999996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1.2250000000000001</v>
      </c>
      <c r="F27" s="144" t="s">
        <v>172</v>
      </c>
      <c r="G27" s="145" t="s">
        <v>172</v>
      </c>
      <c r="H27" s="153">
        <v>1.294</v>
      </c>
      <c r="I27" s="144" t="s">
        <v>172</v>
      </c>
      <c r="J27" s="145" t="s">
        <v>172</v>
      </c>
      <c r="K27" s="153">
        <v>1.155</v>
      </c>
      <c r="L27" s="144" t="s">
        <v>172</v>
      </c>
      <c r="M27" s="145" t="s">
        <v>172</v>
      </c>
      <c r="N27" s="153">
        <v>0.59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4.96</v>
      </c>
      <c r="F28" s="158" t="s">
        <v>172</v>
      </c>
      <c r="G28" s="159" t="s">
        <v>172</v>
      </c>
      <c r="H28" s="234">
        <v>5.21</v>
      </c>
      <c r="I28" s="158" t="s">
        <v>172</v>
      </c>
      <c r="J28" s="159" t="s">
        <v>172</v>
      </c>
      <c r="K28" s="234">
        <v>5.2</v>
      </c>
      <c r="L28" s="158" t="s">
        <v>172</v>
      </c>
      <c r="M28" s="159" t="s">
        <v>172</v>
      </c>
      <c r="N28" s="234">
        <v>2.38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9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8.8909000000000002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2.1097999999999999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2.3567999999999998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5.5484999999999998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3.3995000000000002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43843</v>
      </c>
      <c r="E2" s="493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0.78327749728683993</v>
      </c>
      <c r="C6" s="103" t="s">
        <v>172</v>
      </c>
      <c r="D6" s="104" t="s">
        <v>172</v>
      </c>
      <c r="E6" s="102">
        <f>E20/$B$33</f>
        <v>0.83046288868966167</v>
      </c>
      <c r="F6" s="103" t="s">
        <v>172</v>
      </c>
      <c r="G6" s="104" t="s">
        <v>172</v>
      </c>
      <c r="H6" s="102">
        <f>H20/$B$33</f>
        <v>0.89180389751332989</v>
      </c>
      <c r="I6" s="103" t="s">
        <v>172</v>
      </c>
      <c r="J6" s="104" t="s">
        <v>172</v>
      </c>
      <c r="K6" s="102">
        <f>K20/$B$33</f>
        <v>0.83046288868966167</v>
      </c>
      <c r="L6" s="103" t="s">
        <v>172</v>
      </c>
      <c r="M6" s="104" t="s">
        <v>172</v>
      </c>
      <c r="N6" s="102">
        <f>N20/$B$33</f>
        <v>0.43882414004624171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0.69261513707356215</v>
      </c>
      <c r="C7" s="107">
        <f t="shared" ref="C7:C12" si="0">B7-B$6</f>
        <v>-9.0662360213277782E-2</v>
      </c>
      <c r="D7" s="108">
        <f t="shared" ref="D7:D12" si="1">B7/B$6*100</f>
        <v>88.425256626506041</v>
      </c>
      <c r="E7" s="102">
        <f>E21*$B$36/100/$B$33</f>
        <v>0.76151744443920166</v>
      </c>
      <c r="F7" s="107">
        <f t="shared" ref="F7:F15" si="2">E7-E$6</f>
        <v>-6.8945444250460008E-2</v>
      </c>
      <c r="G7" s="108">
        <f t="shared" ref="G7:G15" si="3">E7/E$6*100</f>
        <v>91.697950000000006</v>
      </c>
      <c r="H7" s="102">
        <f>H21*$B$36/100/$B$33</f>
        <v>0.84070611522672589</v>
      </c>
      <c r="I7" s="107">
        <f t="shared" ref="I7:I15" si="4">H7-H$6</f>
        <v>-5.1097782286603999E-2</v>
      </c>
      <c r="J7" s="108">
        <f t="shared" ref="J7:J15" si="5">H7/H$6*100</f>
        <v>94.270289417989432</v>
      </c>
      <c r="K7" s="102">
        <f>K21*$B$36/100/$B$33</f>
        <v>0.76837502005379144</v>
      </c>
      <c r="L7" s="107">
        <f t="shared" ref="L7:L15" si="6">K7-K$6</f>
        <v>-6.2087868635870236E-2</v>
      </c>
      <c r="M7" s="108">
        <f t="shared" ref="M7:M15" si="7">K7/K$6*100</f>
        <v>92.523703409090913</v>
      </c>
      <c r="N7" s="102">
        <f>N21*$B$36/100/$B$33</f>
        <v>0.39120836125135661</v>
      </c>
      <c r="O7" s="107">
        <f t="shared" ref="O7:O15" si="8">N7-N$6</f>
        <v>-4.76157787948851E-2</v>
      </c>
      <c r="P7" s="108">
        <f t="shared" ref="P7:P15" si="9">N7/N$6*100</f>
        <v>89.149234408602155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0.68396152975038926</v>
      </c>
      <c r="C8" s="107">
        <f t="shared" si="0"/>
        <v>-9.9315967536450667E-2</v>
      </c>
      <c r="D8" s="108">
        <f t="shared" si="1"/>
        <v>87.320462048192766</v>
      </c>
      <c r="E8" s="102">
        <f>E22*$B$36/100/$B$33</f>
        <v>0.73620972490916825</v>
      </c>
      <c r="F8" s="107">
        <f t="shared" si="2"/>
        <v>-9.4253163780493421E-2</v>
      </c>
      <c r="G8" s="108">
        <f t="shared" si="3"/>
        <v>88.65052670454547</v>
      </c>
      <c r="H8" s="102">
        <f>H22*$B$36/100/$B$33</f>
        <v>0.83678750058981743</v>
      </c>
      <c r="I8" s="107">
        <f t="shared" si="4"/>
        <v>-5.5016396923512456E-2</v>
      </c>
      <c r="J8" s="108">
        <f t="shared" si="5"/>
        <v>93.830886243386246</v>
      </c>
      <c r="K8" s="102">
        <f>K22*$B$36/100/$B$33</f>
        <v>0.78062069079413021</v>
      </c>
      <c r="L8" s="107">
        <f t="shared" si="6"/>
        <v>-4.9842197895531459E-2</v>
      </c>
      <c r="M8" s="108">
        <f t="shared" si="7"/>
        <v>93.998263068181828</v>
      </c>
      <c r="N8" s="102">
        <f>N22*$B$36/100/$B$33</f>
        <v>0.38206492709857026</v>
      </c>
      <c r="O8" s="107">
        <f t="shared" si="8"/>
        <v>-5.6759212947671445E-2</v>
      </c>
      <c r="P8" s="108">
        <f t="shared" si="9"/>
        <v>87.065612903225798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0.69147220780446383</v>
      </c>
      <c r="C9" s="107">
        <f t="shared" si="0"/>
        <v>-9.1805289482376096E-2</v>
      </c>
      <c r="D9" s="108">
        <f t="shared" si="1"/>
        <v>88.279340361445804</v>
      </c>
      <c r="E9" s="102">
        <f>E23*$B$36/100/$B$33</f>
        <v>0.74404695418298505</v>
      </c>
      <c r="F9" s="107">
        <f t="shared" si="2"/>
        <v>-8.6415934506676617E-2</v>
      </c>
      <c r="G9" s="108">
        <f t="shared" si="3"/>
        <v>89.594244886363654</v>
      </c>
      <c r="H9" s="102">
        <f>H23*$B$36/100/$B$33</f>
        <v>0.82617458594819049</v>
      </c>
      <c r="I9" s="107">
        <f t="shared" si="4"/>
        <v>-6.5629311565139403E-2</v>
      </c>
      <c r="J9" s="108">
        <f t="shared" si="5"/>
        <v>92.64083597883598</v>
      </c>
      <c r="K9" s="102">
        <f>K23*$B$36/100/$B$33</f>
        <v>0.77931448591516073</v>
      </c>
      <c r="L9" s="107">
        <f t="shared" si="6"/>
        <v>-5.1148402774500945E-2</v>
      </c>
      <c r="M9" s="108">
        <f t="shared" si="7"/>
        <v>93.840976704545469</v>
      </c>
      <c r="N9" s="102">
        <f>N23*$B$36/100/$B$33</f>
        <v>0.38777957344406172</v>
      </c>
      <c r="O9" s="107">
        <f t="shared" si="8"/>
        <v>-5.1044566602179986E-2</v>
      </c>
      <c r="P9" s="108">
        <f t="shared" si="9"/>
        <v>88.367876344086014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0.68673721511819952</v>
      </c>
      <c r="C10" s="107">
        <f t="shared" si="0"/>
        <v>-9.6540282168640412E-2</v>
      </c>
      <c r="D10" s="108">
        <f t="shared" si="1"/>
        <v>87.674830120481957</v>
      </c>
      <c r="E10" s="102">
        <f>E24*$B$36/100/$B$33</f>
        <v>0.73653627612891048</v>
      </c>
      <c r="F10" s="107">
        <f t="shared" si="2"/>
        <v>-9.3926612560751188E-2</v>
      </c>
      <c r="G10" s="108">
        <f t="shared" si="3"/>
        <v>88.689848295454539</v>
      </c>
      <c r="H10" s="102">
        <f>H24*$B$36/100/$B$33</f>
        <v>0.8570336762138443</v>
      </c>
      <c r="I10" s="107">
        <f t="shared" si="4"/>
        <v>-3.4770221299485593E-2</v>
      </c>
      <c r="J10" s="108">
        <f t="shared" si="5"/>
        <v>96.101135978835984</v>
      </c>
      <c r="K10" s="102">
        <f>K24*$B$36/100/$B$33</f>
        <v>0.78649861274949284</v>
      </c>
      <c r="L10" s="107">
        <f t="shared" si="6"/>
        <v>-4.3964275940168829E-2</v>
      </c>
      <c r="M10" s="108">
        <f t="shared" si="7"/>
        <v>94.706051704545473</v>
      </c>
      <c r="N10" s="102">
        <f>N24*$B$36/100/$B$33</f>
        <v>0.37553390270372294</v>
      </c>
      <c r="O10" s="107">
        <f t="shared" si="8"/>
        <v>-6.3290237342518763E-2</v>
      </c>
      <c r="P10" s="108">
        <f t="shared" si="9"/>
        <v>85.57731182795699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0.68869652243665369</v>
      </c>
      <c r="C11" s="236">
        <f t="shared" si="0"/>
        <v>-9.4580974850186239E-2</v>
      </c>
      <c r="D11" s="237">
        <f t="shared" si="1"/>
        <v>87.924972289156642</v>
      </c>
      <c r="E11" s="235">
        <f>AVERAGE(E7:E10)</f>
        <v>0.74457759991506633</v>
      </c>
      <c r="F11" s="236">
        <f t="shared" si="2"/>
        <v>-8.5885288774595336E-2</v>
      </c>
      <c r="G11" s="237">
        <f t="shared" si="3"/>
        <v>89.658142471590921</v>
      </c>
      <c r="H11" s="235">
        <f>AVERAGE(H7:H10)</f>
        <v>0.8401754694946445</v>
      </c>
      <c r="I11" s="236">
        <f t="shared" si="4"/>
        <v>-5.1628428018685391E-2</v>
      </c>
      <c r="J11" s="237">
        <f t="shared" si="5"/>
        <v>94.210786904761918</v>
      </c>
      <c r="K11" s="235">
        <f>AVERAGE(K7:K10)</f>
        <v>0.7787022023781438</v>
      </c>
      <c r="L11" s="236">
        <f t="shared" si="6"/>
        <v>-5.1760686311517867E-2</v>
      </c>
      <c r="M11" s="237">
        <f t="shared" si="7"/>
        <v>93.767248721590917</v>
      </c>
      <c r="N11" s="235">
        <f>AVERAGE(N7:N10)</f>
        <v>0.3841466911244279</v>
      </c>
      <c r="O11" s="236">
        <f t="shared" si="8"/>
        <v>-5.4677448921813809E-2</v>
      </c>
      <c r="P11" s="237">
        <f t="shared" si="9"/>
        <v>87.540008870967739</v>
      </c>
      <c r="Q11" s="109"/>
    </row>
    <row r="12" spans="1:19" s="96" customFormat="1" ht="15.75" x14ac:dyDescent="0.25">
      <c r="A12" s="110" t="s">
        <v>24</v>
      </c>
      <c r="B12" s="102">
        <f>B25*$B$32/100/$B$33</f>
        <v>1.084358089935356</v>
      </c>
      <c r="C12" s="107">
        <f t="shared" si="0"/>
        <v>0.30108059264851605</v>
      </c>
      <c r="D12" s="108">
        <f t="shared" si="1"/>
        <v>138.43856024096385</v>
      </c>
      <c r="E12" s="102">
        <f>E25*$B$32/100/$B$33</f>
        <v>1.126144528853867</v>
      </c>
      <c r="F12" s="107">
        <f t="shared" si="2"/>
        <v>0.29568164016420528</v>
      </c>
      <c r="G12" s="108">
        <f t="shared" si="3"/>
        <v>135.60443750000002</v>
      </c>
      <c r="H12" s="102">
        <f>H25*$B$32/100/$B$33</f>
        <v>1.2828436747982825</v>
      </c>
      <c r="I12" s="107">
        <f t="shared" si="4"/>
        <v>0.39103977728495265</v>
      </c>
      <c r="J12" s="108">
        <f t="shared" si="5"/>
        <v>143.84817989417991</v>
      </c>
      <c r="K12" s="102">
        <f>K25*$B$32/100/$B$33</f>
        <v>1.1127728683999434</v>
      </c>
      <c r="L12" s="107">
        <f t="shared" si="6"/>
        <v>0.28230997971028171</v>
      </c>
      <c r="M12" s="108">
        <f t="shared" si="7"/>
        <v>133.99429204545456</v>
      </c>
      <c r="N12" s="102">
        <f>N25*$B$32/100/$B$33</f>
        <v>0.51773397820034928</v>
      </c>
      <c r="O12" s="107">
        <f t="shared" si="8"/>
        <v>7.890983815410757E-2</v>
      </c>
      <c r="P12" s="108">
        <f t="shared" si="9"/>
        <v>117.98210967741937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1.4468077195300335</v>
      </c>
      <c r="F13" s="107">
        <f t="shared" si="2"/>
        <v>0.61634483084037184</v>
      </c>
      <c r="G13" s="108">
        <f t="shared" si="3"/>
        <v>174.21702272727273</v>
      </c>
      <c r="H13" s="102">
        <f>H26*$B$34/$B$33</f>
        <v>1.5078778842070499</v>
      </c>
      <c r="I13" s="107">
        <f t="shared" si="4"/>
        <v>0.61607398669372004</v>
      </c>
      <c r="J13" s="108">
        <f t="shared" si="5"/>
        <v>169.08177777777783</v>
      </c>
      <c r="K13" s="102">
        <f>K26*$B$34/$B$33</f>
        <v>1.3690820553956498</v>
      </c>
      <c r="L13" s="107">
        <f t="shared" si="6"/>
        <v>0.53861916670598808</v>
      </c>
      <c r="M13" s="108">
        <f t="shared" si="7"/>
        <v>164.8577045454546</v>
      </c>
      <c r="N13" s="102">
        <f>N26*$B$34/$B$33</f>
        <v>0.6628888784032464</v>
      </c>
      <c r="O13" s="107">
        <f t="shared" si="8"/>
        <v>0.22406473835700469</v>
      </c>
      <c r="P13" s="108">
        <f t="shared" si="9"/>
        <v>151.06025806451612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1.3490954560468083</v>
      </c>
      <c r="F14" s="107">
        <f t="shared" si="2"/>
        <v>0.51863256735714658</v>
      </c>
      <c r="G14" s="108">
        <f t="shared" si="3"/>
        <v>162.45102272727277</v>
      </c>
      <c r="H14" s="102">
        <f>H27*$B$34/$B$33</f>
        <v>1.4368144198556128</v>
      </c>
      <c r="I14" s="107">
        <f t="shared" si="4"/>
        <v>0.54501052234228287</v>
      </c>
      <c r="J14" s="108">
        <f t="shared" si="5"/>
        <v>161.11326984126984</v>
      </c>
      <c r="K14" s="102">
        <f>K27*$B$34/$B$33</f>
        <v>1.282473458217336</v>
      </c>
      <c r="L14" s="107">
        <f t="shared" si="6"/>
        <v>0.45201056952767438</v>
      </c>
      <c r="M14" s="108">
        <f t="shared" si="7"/>
        <v>154.42875000000004</v>
      </c>
      <c r="N14" s="102">
        <f>N27*$B$34/$B$33</f>
        <v>0.65511631198980791</v>
      </c>
      <c r="O14" s="107">
        <f t="shared" si="8"/>
        <v>0.2162921719435662</v>
      </c>
      <c r="P14" s="108">
        <f t="shared" si="9"/>
        <v>149.28903225806448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1.2986068513188314</v>
      </c>
      <c r="F15" s="119">
        <f t="shared" si="2"/>
        <v>0.46814396262916969</v>
      </c>
      <c r="G15" s="120">
        <f t="shared" si="3"/>
        <v>156.37144886363632</v>
      </c>
      <c r="H15" s="118">
        <f>H28*$B$35/10/$B$33</f>
        <v>1.3743806917378378</v>
      </c>
      <c r="I15" s="119">
        <f t="shared" si="4"/>
        <v>0.48257679422450794</v>
      </c>
      <c r="J15" s="120">
        <f t="shared" si="5"/>
        <v>154.11243386243385</v>
      </c>
      <c r="K15" s="118">
        <f>K28*$B$35/10/$B$33</f>
        <v>1.3639291275421128</v>
      </c>
      <c r="L15" s="119">
        <f t="shared" si="6"/>
        <v>0.53346623885245115</v>
      </c>
      <c r="M15" s="120">
        <f t="shared" si="7"/>
        <v>164.23721590909088</v>
      </c>
      <c r="N15" s="118">
        <f>N28*$B$35/10/$B$33</f>
        <v>0.62448096069456893</v>
      </c>
      <c r="O15" s="119">
        <f t="shared" si="8"/>
        <v>0.18565682064832723</v>
      </c>
      <c r="P15" s="120">
        <f t="shared" si="9"/>
        <v>142.30779569892471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0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0" t="s">
        <v>214</v>
      </c>
      <c r="X19" s="330" t="s">
        <v>214</v>
      </c>
    </row>
    <row r="20" spans="1:24" s="141" customFormat="1" ht="15.75" x14ac:dyDescent="0.25">
      <c r="A20" s="133" t="s">
        <v>185</v>
      </c>
      <c r="B20" s="134">
        <v>1.66</v>
      </c>
      <c r="C20" s="135" t="s">
        <v>172</v>
      </c>
      <c r="D20" s="136" t="s">
        <v>172</v>
      </c>
      <c r="E20" s="134">
        <v>1.76</v>
      </c>
      <c r="F20" s="135" t="s">
        <v>172</v>
      </c>
      <c r="G20" s="136" t="s">
        <v>172</v>
      </c>
      <c r="H20" s="134">
        <v>1.89</v>
      </c>
      <c r="I20" s="135" t="s">
        <v>172</v>
      </c>
      <c r="J20" s="136" t="s">
        <v>172</v>
      </c>
      <c r="K20" s="134">
        <v>1.76</v>
      </c>
      <c r="L20" s="135" t="s">
        <v>172</v>
      </c>
      <c r="M20" s="136" t="s">
        <v>172</v>
      </c>
      <c r="N20" s="143">
        <v>0.93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46.64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47.06</v>
      </c>
      <c r="L21" s="144" t="s">
        <v>172</v>
      </c>
      <c r="M21" s="145" t="s">
        <v>172</v>
      </c>
      <c r="N21" s="143">
        <v>23.96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41.89</v>
      </c>
      <c r="C22" s="144" t="s">
        <v>172</v>
      </c>
      <c r="D22" s="145" t="s">
        <v>172</v>
      </c>
      <c r="E22" s="143">
        <v>45.09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47.81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42.35</v>
      </c>
      <c r="C23" s="144" t="s">
        <v>172</v>
      </c>
      <c r="D23" s="145" t="s">
        <v>172</v>
      </c>
      <c r="E23" s="143">
        <v>45.57</v>
      </c>
      <c r="F23" s="144" t="s">
        <v>172</v>
      </c>
      <c r="G23" s="145" t="s">
        <v>172</v>
      </c>
      <c r="H23" s="143">
        <v>50.6</v>
      </c>
      <c r="I23" s="144" t="s">
        <v>172</v>
      </c>
      <c r="J23" s="145" t="s">
        <v>172</v>
      </c>
      <c r="K23" s="143">
        <v>47.73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42.06</v>
      </c>
      <c r="C24" s="144" t="s">
        <v>172</v>
      </c>
      <c r="D24" s="145" t="s">
        <v>172</v>
      </c>
      <c r="E24" s="143">
        <v>45.11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48.17</v>
      </c>
      <c r="L24" s="144" t="s">
        <v>172</v>
      </c>
      <c r="M24" s="145" t="s">
        <v>172</v>
      </c>
      <c r="N24" s="143">
        <v>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25.95</v>
      </c>
      <c r="C25" s="144" t="s">
        <v>172</v>
      </c>
      <c r="D25" s="145" t="s">
        <v>172</v>
      </c>
      <c r="E25" s="143">
        <v>26.95</v>
      </c>
      <c r="F25" s="144" t="s">
        <v>172</v>
      </c>
      <c r="G25" s="145" t="s">
        <v>172</v>
      </c>
      <c r="H25" s="143">
        <v>30.7</v>
      </c>
      <c r="I25" s="144" t="s">
        <v>172</v>
      </c>
      <c r="J25" s="145" t="s">
        <v>172</v>
      </c>
      <c r="K25" s="143">
        <v>26.63</v>
      </c>
      <c r="L25" s="144" t="s">
        <v>172</v>
      </c>
      <c r="M25" s="145" t="s">
        <v>172</v>
      </c>
      <c r="N25" s="143">
        <v>12.39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1.3029999999999999</v>
      </c>
      <c r="F26" s="144" t="s">
        <v>172</v>
      </c>
      <c r="G26" s="145" t="s">
        <v>172</v>
      </c>
      <c r="H26" s="153">
        <v>1.3580000000000001</v>
      </c>
      <c r="I26" s="144" t="s">
        <v>172</v>
      </c>
      <c r="J26" s="145" t="s">
        <v>172</v>
      </c>
      <c r="K26" s="153">
        <v>1.2330000000000001</v>
      </c>
      <c r="L26" s="144" t="s">
        <v>172</v>
      </c>
      <c r="M26" s="145" t="s">
        <v>172</v>
      </c>
      <c r="N26" s="153">
        <v>0.59699999999999998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1.2150000000000001</v>
      </c>
      <c r="F27" s="144" t="s">
        <v>172</v>
      </c>
      <c r="G27" s="145" t="s">
        <v>172</v>
      </c>
      <c r="H27" s="153">
        <v>1.294</v>
      </c>
      <c r="I27" s="144" t="s">
        <v>172</v>
      </c>
      <c r="J27" s="145" t="s">
        <v>172</v>
      </c>
      <c r="K27" s="153">
        <v>1.155</v>
      </c>
      <c r="L27" s="144" t="s">
        <v>172</v>
      </c>
      <c r="M27" s="145" t="s">
        <v>172</v>
      </c>
      <c r="N27" s="153">
        <v>0.59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4.97</v>
      </c>
      <c r="F28" s="158" t="s">
        <v>172</v>
      </c>
      <c r="G28" s="159" t="s">
        <v>172</v>
      </c>
      <c r="H28" s="234">
        <v>5.26</v>
      </c>
      <c r="I28" s="158" t="s">
        <v>172</v>
      </c>
      <c r="J28" s="159" t="s">
        <v>172</v>
      </c>
      <c r="K28" s="234">
        <v>5.22</v>
      </c>
      <c r="L28" s="158" t="s">
        <v>172</v>
      </c>
      <c r="M28" s="159" t="s">
        <v>172</v>
      </c>
      <c r="N28" s="234">
        <v>2.39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9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8.8558000000000003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2.1193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2.3532000000000002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5.5374999999999996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3.4603000000000002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5" workbookViewId="0">
      <selection activeCell="N26" sqref="N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43850</v>
      </c>
      <c r="E2" s="493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0.78755010610705023</v>
      </c>
      <c r="C6" s="103" t="s">
        <v>172</v>
      </c>
      <c r="D6" s="104" t="s">
        <v>172</v>
      </c>
      <c r="E6" s="102">
        <f>E20/$B$33</f>
        <v>0.83470879509549645</v>
      </c>
      <c r="F6" s="103" t="s">
        <v>172</v>
      </c>
      <c r="G6" s="104" t="s">
        <v>172</v>
      </c>
      <c r="H6" s="102">
        <f>H20/$B$33</f>
        <v>0.89601509078047636</v>
      </c>
      <c r="I6" s="103" t="s">
        <v>172</v>
      </c>
      <c r="J6" s="104" t="s">
        <v>172</v>
      </c>
      <c r="K6" s="102">
        <f>K20/$B$33</f>
        <v>0.83470879509549645</v>
      </c>
      <c r="L6" s="103" t="s">
        <v>172</v>
      </c>
      <c r="M6" s="104" t="s">
        <v>172</v>
      </c>
      <c r="N6" s="102">
        <f>N20/$B$33</f>
        <v>0.43857580759254899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0.69010529120490449</v>
      </c>
      <c r="C7" s="107">
        <f t="shared" ref="C7:C12" si="0">B7-B$6</f>
        <v>-9.7444814902145738E-2</v>
      </c>
      <c r="D7" s="108">
        <f t="shared" ref="D7:D12" si="1">B7/B$6*100</f>
        <v>87.626842514970065</v>
      </c>
      <c r="E7" s="102">
        <f>E21*$B$36/100/$B$33</f>
        <v>0.75825379863239795</v>
      </c>
      <c r="F7" s="107">
        <f t="shared" ref="F7:F15" si="2">E7-E$6</f>
        <v>-7.6454996463098501E-2</v>
      </c>
      <c r="G7" s="108">
        <f t="shared" ref="G7:G15" si="3">E7/E$6*100</f>
        <v>90.840518644067785</v>
      </c>
      <c r="H7" s="102">
        <f>H21*$B$36/100/$B$33</f>
        <v>0.83746220702664476</v>
      </c>
      <c r="I7" s="107">
        <f t="shared" ref="I7:I15" si="4">H7-H$6</f>
        <v>-5.8552883753831608E-2</v>
      </c>
      <c r="J7" s="108">
        <f t="shared" ref="J7:J15" si="5">H7/H$6*100</f>
        <v>93.465190000000007</v>
      </c>
      <c r="K7" s="102">
        <f>K21*$B$36/100/$B$33</f>
        <v>0.76638607875501075</v>
      </c>
      <c r="L7" s="107">
        <f t="shared" ref="L7:L15" si="6">K7-K$6</f>
        <v>-6.8322716340485701E-2</v>
      </c>
      <c r="M7" s="108">
        <f t="shared" ref="M7:M15" si="7">K7/K$6*100</f>
        <v>91.814784180790966</v>
      </c>
      <c r="N7" s="102">
        <f>N21*$B$36/100/$B$33</f>
        <v>0.38986150907804762</v>
      </c>
      <c r="O7" s="107">
        <f t="shared" ref="O7:O15" si="8">N7-N$6</f>
        <v>-4.8714298514501375E-2</v>
      </c>
      <c r="P7" s="108">
        <f t="shared" ref="P7:P15" si="9">N7/N$6*100</f>
        <v>88.892616129032248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0.68782825277057302</v>
      </c>
      <c r="C8" s="107">
        <f t="shared" si="0"/>
        <v>-9.9721853336477206E-2</v>
      </c>
      <c r="D8" s="108">
        <f t="shared" si="1"/>
        <v>87.337713173652702</v>
      </c>
      <c r="E8" s="102">
        <f>E22*$B$36/100/$B$33</f>
        <v>0.73889897194058007</v>
      </c>
      <c r="F8" s="107">
        <f t="shared" si="2"/>
        <v>-9.5809823154916374E-2</v>
      </c>
      <c r="G8" s="108">
        <f t="shared" si="3"/>
        <v>88.52176666666665</v>
      </c>
      <c r="H8" s="102">
        <f>H22*$B$36/100/$B$33</f>
        <v>0.83355871256779068</v>
      </c>
      <c r="I8" s="107">
        <f t="shared" si="4"/>
        <v>-6.2456378212685681E-2</v>
      </c>
      <c r="J8" s="108">
        <f t="shared" si="5"/>
        <v>93.02953947368421</v>
      </c>
      <c r="K8" s="102">
        <f>K22*$B$36/100/$B$33</f>
        <v>0.76264522989860895</v>
      </c>
      <c r="L8" s="107">
        <f t="shared" si="6"/>
        <v>-7.2063565196887502E-2</v>
      </c>
      <c r="M8" s="108">
        <f t="shared" si="7"/>
        <v>91.366622033898309</v>
      </c>
      <c r="N8" s="102">
        <f>N22*$B$36/100/$B$33</f>
        <v>0.37896425371374676</v>
      </c>
      <c r="O8" s="107">
        <f t="shared" si="8"/>
        <v>-5.9611553878802237E-2</v>
      </c>
      <c r="P8" s="108">
        <f t="shared" si="9"/>
        <v>86.407924731182788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0.69530995048337663</v>
      </c>
      <c r="C9" s="107">
        <f t="shared" si="0"/>
        <v>-9.2240155623673603E-2</v>
      </c>
      <c r="D9" s="108">
        <f t="shared" si="1"/>
        <v>88.287709580838339</v>
      </c>
      <c r="E9" s="102">
        <f>E23*$B$36/100/$B$33</f>
        <v>0.74800712567790628</v>
      </c>
      <c r="F9" s="107">
        <f t="shared" si="2"/>
        <v>-8.6701669417590166E-2</v>
      </c>
      <c r="G9" s="108">
        <f t="shared" si="3"/>
        <v>89.612944067796619</v>
      </c>
      <c r="H9" s="102">
        <f>H23*$B$36/100/$B$33</f>
        <v>0.82298674840839436</v>
      </c>
      <c r="I9" s="107">
        <f t="shared" si="4"/>
        <v>-7.3028342372082E-2</v>
      </c>
      <c r="J9" s="108">
        <f t="shared" si="5"/>
        <v>91.849652631578962</v>
      </c>
      <c r="K9" s="102">
        <f>K23*$B$36/100/$B$33</f>
        <v>0.76736195236972415</v>
      </c>
      <c r="L9" s="107">
        <f t="shared" si="6"/>
        <v>-6.7346842725772293E-2</v>
      </c>
      <c r="M9" s="108">
        <f t="shared" si="7"/>
        <v>91.931696045197725</v>
      </c>
      <c r="N9" s="102">
        <f>N23*$B$36/100/$B$33</f>
        <v>0.38628330582409814</v>
      </c>
      <c r="O9" s="107">
        <f t="shared" si="8"/>
        <v>-5.229250176845085E-2</v>
      </c>
      <c r="P9" s="108">
        <f t="shared" si="9"/>
        <v>88.076747311827958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0.68327417590190997</v>
      </c>
      <c r="C10" s="107">
        <f t="shared" si="0"/>
        <v>-0.10427593020514025</v>
      </c>
      <c r="D10" s="108">
        <f t="shared" si="1"/>
        <v>86.759454491017976</v>
      </c>
      <c r="E10" s="102">
        <f>E24*$B$36/100/$B$33</f>
        <v>0.73255579344494226</v>
      </c>
      <c r="F10" s="107">
        <f t="shared" si="2"/>
        <v>-0.10215300165055419</v>
      </c>
      <c r="G10" s="108">
        <f t="shared" si="3"/>
        <v>87.761839548022593</v>
      </c>
      <c r="H10" s="102">
        <f>H24*$B$36/100/$B$33</f>
        <v>0.85372676727187002</v>
      </c>
      <c r="I10" s="107">
        <f t="shared" si="4"/>
        <v>-4.228832350860634E-2</v>
      </c>
      <c r="J10" s="108">
        <f t="shared" si="5"/>
        <v>95.280400526315802</v>
      </c>
      <c r="K10" s="102">
        <f>K24*$B$36/100/$B$33</f>
        <v>0.77679539731195479</v>
      </c>
      <c r="L10" s="107">
        <f t="shared" si="6"/>
        <v>-5.7913397783541654E-2</v>
      </c>
      <c r="M10" s="108">
        <f t="shared" si="7"/>
        <v>93.061844067796613</v>
      </c>
      <c r="N10" s="102">
        <f>N24*$B$36/100/$B$33</f>
        <v>0.37408488564017928</v>
      </c>
      <c r="O10" s="107">
        <f t="shared" si="8"/>
        <v>-6.4490921952369717E-2</v>
      </c>
      <c r="P10" s="108">
        <f t="shared" si="9"/>
        <v>85.295376344086023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0.68912941759019097</v>
      </c>
      <c r="C11" s="236">
        <f t="shared" si="0"/>
        <v>-9.8420688516859256E-2</v>
      </c>
      <c r="D11" s="237">
        <f t="shared" si="1"/>
        <v>87.502929940119756</v>
      </c>
      <c r="E11" s="235">
        <f>AVERAGE(E7:E10)</f>
        <v>0.74442892242395664</v>
      </c>
      <c r="F11" s="236">
        <f t="shared" si="2"/>
        <v>-9.0279872671539807E-2</v>
      </c>
      <c r="G11" s="237">
        <f t="shared" si="3"/>
        <v>89.184267231638415</v>
      </c>
      <c r="H11" s="235">
        <f>AVERAGE(H7:H10)</f>
        <v>0.83693360881867496</v>
      </c>
      <c r="I11" s="236">
        <f t="shared" si="4"/>
        <v>-5.9081481961801408E-2</v>
      </c>
      <c r="J11" s="237">
        <f t="shared" si="5"/>
        <v>93.406195657894742</v>
      </c>
      <c r="K11" s="235">
        <f>AVERAGE(K7:K10)</f>
        <v>0.76829716458382469</v>
      </c>
      <c r="L11" s="236">
        <f t="shared" si="6"/>
        <v>-6.641163051167176E-2</v>
      </c>
      <c r="M11" s="237">
        <f t="shared" si="7"/>
        <v>92.043736581920911</v>
      </c>
      <c r="N11" s="235">
        <f>AVERAGE(N7:N10)</f>
        <v>0.38229848856401794</v>
      </c>
      <c r="O11" s="236">
        <f t="shared" si="8"/>
        <v>-5.6277319028531059E-2</v>
      </c>
      <c r="P11" s="237">
        <f t="shared" si="9"/>
        <v>87.168166129032244</v>
      </c>
      <c r="Q11" s="109"/>
    </row>
    <row r="12" spans="1:19" s="96" customFormat="1" ht="15.75" x14ac:dyDescent="0.25">
      <c r="A12" s="110" t="s">
        <v>24</v>
      </c>
      <c r="B12" s="102">
        <f>B25*$B$32/100/$B$33</f>
        <v>1.0670400141476069</v>
      </c>
      <c r="C12" s="107">
        <f t="shared" si="0"/>
        <v>0.27948990804055662</v>
      </c>
      <c r="D12" s="108">
        <f t="shared" si="1"/>
        <v>135.48852395209582</v>
      </c>
      <c r="E12" s="102">
        <f>E25*$B$32/100/$B$33</f>
        <v>1.1081590898373028</v>
      </c>
      <c r="F12" s="107">
        <f t="shared" si="2"/>
        <v>0.27345029474180638</v>
      </c>
      <c r="G12" s="108">
        <f t="shared" si="3"/>
        <v>132.75996327683617</v>
      </c>
      <c r="H12" s="102">
        <f>H25*$B$32/100/$B$33</f>
        <v>1.2623556236736622</v>
      </c>
      <c r="I12" s="107">
        <f t="shared" si="4"/>
        <v>0.3663405328931858</v>
      </c>
      <c r="J12" s="108">
        <f t="shared" si="5"/>
        <v>140.88553157894739</v>
      </c>
      <c r="K12" s="102">
        <f>K25*$B$32/100/$B$33</f>
        <v>1.0937674133459092</v>
      </c>
      <c r="L12" s="107">
        <f t="shared" si="6"/>
        <v>0.25905861825041276</v>
      </c>
      <c r="M12" s="108">
        <f t="shared" si="7"/>
        <v>131.03580790960453</v>
      </c>
      <c r="N12" s="102">
        <f>N25*$B$32/100/$B$33</f>
        <v>0.50946534779533148</v>
      </c>
      <c r="O12" s="107">
        <f t="shared" si="8"/>
        <v>7.0889540202782486E-2</v>
      </c>
      <c r="P12" s="108">
        <f t="shared" si="9"/>
        <v>116.16357741935485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1.4373651497288376</v>
      </c>
      <c r="F13" s="107">
        <f t="shared" si="2"/>
        <v>0.60265635463334111</v>
      </c>
      <c r="G13" s="108">
        <f t="shared" si="3"/>
        <v>172.19959322033895</v>
      </c>
      <c r="H13" s="102">
        <f>H26*$B$34/$B$33</f>
        <v>1.4684193350624852</v>
      </c>
      <c r="I13" s="107">
        <f t="shared" si="4"/>
        <v>0.57240424428200887</v>
      </c>
      <c r="J13" s="108">
        <f t="shared" si="5"/>
        <v>163.88332631578945</v>
      </c>
      <c r="K13" s="102">
        <f>K26*$B$34/$B$33</f>
        <v>1.3297845791087011</v>
      </c>
      <c r="L13" s="107">
        <f t="shared" si="6"/>
        <v>0.49507578401320462</v>
      </c>
      <c r="M13" s="108">
        <f t="shared" si="7"/>
        <v>159.31119774011302</v>
      </c>
      <c r="N13" s="102">
        <f>N26*$B$34/$B$33</f>
        <v>0.66211959443527468</v>
      </c>
      <c r="O13" s="107">
        <f t="shared" si="8"/>
        <v>0.22354378684272569</v>
      </c>
      <c r="P13" s="108">
        <f t="shared" si="9"/>
        <v>150.97038709677418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1.3475298278707852</v>
      </c>
      <c r="F14" s="107">
        <f t="shared" si="2"/>
        <v>0.51282103277528879</v>
      </c>
      <c r="G14" s="108">
        <f t="shared" si="3"/>
        <v>161.43711864406777</v>
      </c>
      <c r="H14" s="102">
        <f>H27*$B$34/$B$33</f>
        <v>1.4240562131572745</v>
      </c>
      <c r="I14" s="107">
        <f t="shared" si="4"/>
        <v>0.52804112237679812</v>
      </c>
      <c r="J14" s="108">
        <f t="shared" si="5"/>
        <v>158.93216842105264</v>
      </c>
      <c r="K14" s="102">
        <f>K27*$B$34/$B$33</f>
        <v>1.2477128035840606</v>
      </c>
      <c r="L14" s="107">
        <f t="shared" si="6"/>
        <v>0.41300400848856411</v>
      </c>
      <c r="M14" s="108">
        <f t="shared" si="7"/>
        <v>149.47881355932205</v>
      </c>
      <c r="N14" s="102">
        <f>N27*$B$34/$B$33</f>
        <v>0.6355017212921481</v>
      </c>
      <c r="O14" s="107">
        <f t="shared" si="8"/>
        <v>0.19692591369959911</v>
      </c>
      <c r="P14" s="108">
        <f t="shared" si="9"/>
        <v>144.90122580645161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1.2958687102098561</v>
      </c>
      <c r="F15" s="119">
        <f t="shared" si="2"/>
        <v>0.46115991511435961</v>
      </c>
      <c r="G15" s="120">
        <f t="shared" si="3"/>
        <v>155.24799999999996</v>
      </c>
      <c r="H15" s="118">
        <f>H28*$B$35/10/$B$33</f>
        <v>1.3507341193114832</v>
      </c>
      <c r="I15" s="119">
        <f t="shared" si="4"/>
        <v>0.45471902853100687</v>
      </c>
      <c r="J15" s="120">
        <f t="shared" si="5"/>
        <v>150.74903684210526</v>
      </c>
      <c r="K15" s="118">
        <f>K28*$B$35/10/$B$33</f>
        <v>1.3585720348974299</v>
      </c>
      <c r="L15" s="119">
        <f t="shared" si="6"/>
        <v>0.5238632398019335</v>
      </c>
      <c r="M15" s="120">
        <f t="shared" si="7"/>
        <v>162.76</v>
      </c>
      <c r="N15" s="118">
        <f>N28*$B$35/10/$B$33</f>
        <v>0.61658269276114119</v>
      </c>
      <c r="O15" s="119">
        <f t="shared" si="8"/>
        <v>0.1780068851685922</v>
      </c>
      <c r="P15" s="120">
        <f t="shared" si="9"/>
        <v>140.5874838709677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0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0" t="s">
        <v>214</v>
      </c>
      <c r="X19" s="330" t="s">
        <v>214</v>
      </c>
    </row>
    <row r="20" spans="1:24" s="141" customFormat="1" ht="15.75" x14ac:dyDescent="0.25">
      <c r="A20" s="133" t="s">
        <v>185</v>
      </c>
      <c r="B20" s="134">
        <v>1.67</v>
      </c>
      <c r="C20" s="135" t="s">
        <v>172</v>
      </c>
      <c r="D20" s="136" t="s">
        <v>172</v>
      </c>
      <c r="E20" s="134">
        <v>1.77</v>
      </c>
      <c r="F20" s="135" t="s">
        <v>172</v>
      </c>
      <c r="G20" s="136" t="s">
        <v>172</v>
      </c>
      <c r="H20" s="134">
        <v>1.9</v>
      </c>
      <c r="I20" s="135" t="s">
        <v>172</v>
      </c>
      <c r="J20" s="136" t="s">
        <v>172</v>
      </c>
      <c r="K20" s="134">
        <v>1.77</v>
      </c>
      <c r="L20" s="135" t="s">
        <v>172</v>
      </c>
      <c r="M20" s="136" t="s">
        <v>172</v>
      </c>
      <c r="N20" s="143">
        <v>0.93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42.43</v>
      </c>
      <c r="C21" s="144" t="s">
        <v>172</v>
      </c>
      <c r="D21" s="145" t="s">
        <v>172</v>
      </c>
      <c r="E21" s="143">
        <v>46.62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23.97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42.29</v>
      </c>
      <c r="C22" s="144" t="s">
        <v>172</v>
      </c>
      <c r="D22" s="145" t="s">
        <v>172</v>
      </c>
      <c r="E22" s="143">
        <v>45.43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46.89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42.75</v>
      </c>
      <c r="C23" s="144" t="s">
        <v>172</v>
      </c>
      <c r="D23" s="145" t="s">
        <v>172</v>
      </c>
      <c r="E23" s="143">
        <v>45.99</v>
      </c>
      <c r="F23" s="144" t="s">
        <v>172</v>
      </c>
      <c r="G23" s="145" t="s">
        <v>172</v>
      </c>
      <c r="H23" s="143">
        <v>50.6</v>
      </c>
      <c r="I23" s="144" t="s">
        <v>172</v>
      </c>
      <c r="J23" s="145" t="s">
        <v>172</v>
      </c>
      <c r="K23" s="143">
        <v>47.18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42.01</v>
      </c>
      <c r="C24" s="144" t="s">
        <v>172</v>
      </c>
      <c r="D24" s="145" t="s">
        <v>172</v>
      </c>
      <c r="E24" s="143">
        <v>45.04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47.76</v>
      </c>
      <c r="L24" s="144" t="s">
        <v>172</v>
      </c>
      <c r="M24" s="145" t="s">
        <v>172</v>
      </c>
      <c r="N24" s="143">
        <v>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25.95</v>
      </c>
      <c r="C25" s="144" t="s">
        <v>172</v>
      </c>
      <c r="D25" s="145" t="s">
        <v>172</v>
      </c>
      <c r="E25" s="143">
        <v>26.95</v>
      </c>
      <c r="F25" s="144" t="s">
        <v>172</v>
      </c>
      <c r="G25" s="145" t="s">
        <v>172</v>
      </c>
      <c r="H25" s="143">
        <v>30.7</v>
      </c>
      <c r="I25" s="144" t="s">
        <v>172</v>
      </c>
      <c r="J25" s="145" t="s">
        <v>172</v>
      </c>
      <c r="K25" s="143">
        <v>26.6</v>
      </c>
      <c r="L25" s="144" t="s">
        <v>172</v>
      </c>
      <c r="M25" s="145" t="s">
        <v>172</v>
      </c>
      <c r="N25" s="143">
        <v>12.39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1.296</v>
      </c>
      <c r="F26" s="144" t="s">
        <v>172</v>
      </c>
      <c r="G26" s="145" t="s">
        <v>172</v>
      </c>
      <c r="H26" s="153">
        <v>1.3240000000000001</v>
      </c>
      <c r="I26" s="144" t="s">
        <v>172</v>
      </c>
      <c r="J26" s="145" t="s">
        <v>172</v>
      </c>
      <c r="K26" s="153">
        <v>1.1990000000000001</v>
      </c>
      <c r="L26" s="144" t="s">
        <v>172</v>
      </c>
      <c r="M26" s="145" t="s">
        <v>172</v>
      </c>
      <c r="N26" s="153">
        <v>0.59699999999999998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1.2150000000000001</v>
      </c>
      <c r="F27" s="144" t="s">
        <v>172</v>
      </c>
      <c r="G27" s="145" t="s">
        <v>172</v>
      </c>
      <c r="H27" s="153">
        <v>1.284</v>
      </c>
      <c r="I27" s="144" t="s">
        <v>172</v>
      </c>
      <c r="J27" s="145" t="s">
        <v>172</v>
      </c>
      <c r="K27" s="153">
        <v>1.125</v>
      </c>
      <c r="L27" s="144" t="s">
        <v>172</v>
      </c>
      <c r="M27" s="145" t="s">
        <v>172</v>
      </c>
      <c r="N27" s="153">
        <v>0.57299999999999995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4.96</v>
      </c>
      <c r="F28" s="158" t="s">
        <v>172</v>
      </c>
      <c r="G28" s="159" t="s">
        <v>172</v>
      </c>
      <c r="H28" s="234">
        <v>5.17</v>
      </c>
      <c r="I28" s="158" t="s">
        <v>172</v>
      </c>
      <c r="J28" s="159" t="s">
        <v>172</v>
      </c>
      <c r="K28" s="234">
        <v>5.2</v>
      </c>
      <c r="L28" s="158" t="s">
        <v>172</v>
      </c>
      <c r="M28" s="159" t="s">
        <v>172</v>
      </c>
      <c r="N28" s="234">
        <v>2.36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9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8.7193000000000005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2.1204999999999998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2.3517999999999999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5.5400999999999998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3.4489000000000001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43850</v>
      </c>
      <c r="E2" s="493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0.79241545210131603</v>
      </c>
      <c r="C6" s="103" t="s">
        <v>172</v>
      </c>
      <c r="D6" s="104" t="s">
        <v>172</v>
      </c>
      <c r="E6" s="102">
        <f>E20/$B$33</f>
        <v>0.8395830385359182</v>
      </c>
      <c r="F6" s="103" t="s">
        <v>172</v>
      </c>
      <c r="G6" s="104" t="s">
        <v>172</v>
      </c>
      <c r="H6" s="102">
        <f>H20/$B$33</f>
        <v>0.90090090090090091</v>
      </c>
      <c r="I6" s="103" t="s">
        <v>172</v>
      </c>
      <c r="J6" s="104" t="s">
        <v>172</v>
      </c>
      <c r="K6" s="102">
        <f>K20/$B$33</f>
        <v>0.8395830385359182</v>
      </c>
      <c r="L6" s="103" t="s">
        <v>172</v>
      </c>
      <c r="M6" s="104" t="s">
        <v>172</v>
      </c>
      <c r="N6" s="102">
        <f>N20/$B$33</f>
        <v>0.44337531248526013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0.67992851280599975</v>
      </c>
      <c r="C7" s="107">
        <f t="shared" ref="C7:C12" si="0">B7-B$6</f>
        <v>-0.11248693929531628</v>
      </c>
      <c r="D7" s="108">
        <f t="shared" ref="D7:D12" si="1">B7/B$6*100</f>
        <v>85.804550000000006</v>
      </c>
      <c r="E7" s="102">
        <f>E21*$B$36/100/$B$33</f>
        <v>0.74740845243148912</v>
      </c>
      <c r="F7" s="107">
        <f t="shared" ref="F7:F15" si="2">E7-E$6</f>
        <v>-9.2174586104429079E-2</v>
      </c>
      <c r="G7" s="108">
        <f t="shared" ref="G7:G15" si="3">E7/E$6*100</f>
        <v>89.021385393258427</v>
      </c>
      <c r="H7" s="102">
        <f>H21*$B$36/100/$B$33</f>
        <v>0.82530691005141277</v>
      </c>
      <c r="I7" s="107">
        <f t="shared" ref="I7:I15" si="4">H7-H$6</f>
        <v>-7.5593990849488146E-2</v>
      </c>
      <c r="J7" s="108">
        <f t="shared" ref="J7:J15" si="5">H7/H$6*100</f>
        <v>91.609067015706813</v>
      </c>
      <c r="K7" s="102">
        <f>K21*$B$36/100/$B$33</f>
        <v>0.75494184236592621</v>
      </c>
      <c r="L7" s="107">
        <f t="shared" ref="L7:L15" si="6">K7-K$6</f>
        <v>-8.4641196169991995E-2</v>
      </c>
      <c r="M7" s="108">
        <f t="shared" ref="M7:M15" si="7">K7/K$6*100</f>
        <v>89.918662921348314</v>
      </c>
      <c r="N7" s="102">
        <f>N21*$B$36/100/$B$33</f>
        <v>0.3789134852129617</v>
      </c>
      <c r="O7" s="107">
        <f t="shared" ref="O7:O15" si="8">N7-N$6</f>
        <v>-6.4461827272298433E-2</v>
      </c>
      <c r="P7" s="108">
        <f t="shared" ref="P7:P15" si="9">N7/N$6*100</f>
        <v>85.461114893617037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0.67768452431489079</v>
      </c>
      <c r="C8" s="107">
        <f t="shared" si="0"/>
        <v>-0.11473092778642524</v>
      </c>
      <c r="D8" s="108">
        <f t="shared" si="1"/>
        <v>85.521366666666651</v>
      </c>
      <c r="E8" s="102">
        <f>E22*$B$36/100/$B$33</f>
        <v>0.72785369558039725</v>
      </c>
      <c r="F8" s="107">
        <f t="shared" si="2"/>
        <v>-0.11172934295552095</v>
      </c>
      <c r="G8" s="108">
        <f t="shared" si="3"/>
        <v>86.692282022471915</v>
      </c>
      <c r="H8" s="102">
        <f>H22*$B$36/100/$B$33</f>
        <v>0.82146007263808318</v>
      </c>
      <c r="I8" s="107">
        <f t="shared" si="4"/>
        <v>-7.9440828262817731E-2</v>
      </c>
      <c r="J8" s="108">
        <f t="shared" si="5"/>
        <v>91.182068062827241</v>
      </c>
      <c r="K8" s="102">
        <f>K22*$B$36/100/$B$33</f>
        <v>0.75349927833592756</v>
      </c>
      <c r="L8" s="107">
        <f t="shared" si="6"/>
        <v>-8.6083760199990644E-2</v>
      </c>
      <c r="M8" s="108">
        <f t="shared" si="7"/>
        <v>89.746843820224711</v>
      </c>
      <c r="N8" s="102">
        <f>N22*$B$36/100/$B$33</f>
        <v>0.37346379887741149</v>
      </c>
      <c r="O8" s="107">
        <f t="shared" si="8"/>
        <v>-6.9911513607848641E-2</v>
      </c>
      <c r="P8" s="108">
        <f t="shared" si="9"/>
        <v>84.231978723404268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0.68521791424932799</v>
      </c>
      <c r="C9" s="107">
        <f t="shared" si="0"/>
        <v>-0.10719753785198805</v>
      </c>
      <c r="D9" s="108">
        <f t="shared" si="1"/>
        <v>86.472053571428589</v>
      </c>
      <c r="E9" s="102">
        <f>E23*$B$36/100/$B$33</f>
        <v>0.73715021932927693</v>
      </c>
      <c r="F9" s="107">
        <f t="shared" si="2"/>
        <v>-0.10243281920664127</v>
      </c>
      <c r="G9" s="108">
        <f t="shared" si="3"/>
        <v>87.799560674157291</v>
      </c>
      <c r="H9" s="102">
        <f>H23*$B$36/100/$B$33</f>
        <v>0.81424725248809027</v>
      </c>
      <c r="I9" s="107">
        <f t="shared" si="4"/>
        <v>-8.6653648412810647E-2</v>
      </c>
      <c r="J9" s="108">
        <f t="shared" si="5"/>
        <v>90.381445026178014</v>
      </c>
      <c r="K9" s="102">
        <f>K23*$B$36/100/$B$33</f>
        <v>0.75926953445592194</v>
      </c>
      <c r="L9" s="107">
        <f t="shared" si="6"/>
        <v>-8.0313504079996267E-2</v>
      </c>
      <c r="M9" s="108">
        <f t="shared" si="7"/>
        <v>90.434120224719095</v>
      </c>
      <c r="N9" s="102">
        <f>N23*$B$36/100/$B$33</f>
        <v>0.38067661902740435</v>
      </c>
      <c r="O9" s="107">
        <f t="shared" si="8"/>
        <v>-6.2698693457855781E-2</v>
      </c>
      <c r="P9" s="108">
        <f t="shared" si="9"/>
        <v>85.858776595744672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0.67351711711711726</v>
      </c>
      <c r="C10" s="107">
        <f t="shared" si="0"/>
        <v>-0.11889833498419877</v>
      </c>
      <c r="D10" s="108">
        <f t="shared" si="1"/>
        <v>84.995454761904782</v>
      </c>
      <c r="E10" s="102">
        <f>E24*$B$36/100/$B$33</f>
        <v>0.72032030564596006</v>
      </c>
      <c r="F10" s="107">
        <f t="shared" si="2"/>
        <v>-0.11926273288995815</v>
      </c>
      <c r="G10" s="108">
        <f t="shared" si="3"/>
        <v>85.795004494382013</v>
      </c>
      <c r="H10" s="102">
        <f>H24*$B$36/100/$B$33</f>
        <v>0.84133539927361933</v>
      </c>
      <c r="I10" s="107">
        <f t="shared" si="4"/>
        <v>-5.9565501627281581E-2</v>
      </c>
      <c r="J10" s="108">
        <f t="shared" si="5"/>
        <v>93.388229319371746</v>
      </c>
      <c r="K10" s="102">
        <f>K24*$B$36/100/$B$33</f>
        <v>0.76487950568369423</v>
      </c>
      <c r="L10" s="107">
        <f t="shared" si="6"/>
        <v>-7.4703532852223975E-2</v>
      </c>
      <c r="M10" s="108">
        <f t="shared" si="7"/>
        <v>91.102305617977535</v>
      </c>
      <c r="N10" s="102">
        <f>N24*$B$36/100/$B$33</f>
        <v>0.35663388519409461</v>
      </c>
      <c r="O10" s="107">
        <f t="shared" si="8"/>
        <v>-8.6741427291165518E-2</v>
      </c>
      <c r="P10" s="108">
        <f t="shared" si="9"/>
        <v>80.436117021276601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0.67908701712183395</v>
      </c>
      <c r="C11" s="236">
        <f t="shared" si="0"/>
        <v>-0.11332843497948208</v>
      </c>
      <c r="D11" s="237">
        <f t="shared" si="1"/>
        <v>85.698356250000003</v>
      </c>
      <c r="E11" s="235">
        <f>AVERAGE(E7:E10)</f>
        <v>0.73318316824678087</v>
      </c>
      <c r="F11" s="236">
        <f t="shared" si="2"/>
        <v>-0.10639987028913733</v>
      </c>
      <c r="G11" s="237">
        <f t="shared" si="3"/>
        <v>87.327058146067415</v>
      </c>
      <c r="H11" s="235">
        <f>AVERAGE(H7:H10)</f>
        <v>0.82558740861280144</v>
      </c>
      <c r="I11" s="236">
        <f t="shared" si="4"/>
        <v>-7.5313492288099471E-2</v>
      </c>
      <c r="J11" s="237">
        <f t="shared" si="5"/>
        <v>91.640202356020964</v>
      </c>
      <c r="K11" s="235">
        <f>AVERAGE(K7:K10)</f>
        <v>0.75814754021036745</v>
      </c>
      <c r="L11" s="236">
        <f t="shared" si="6"/>
        <v>-8.1435498325550748E-2</v>
      </c>
      <c r="M11" s="237">
        <f t="shared" si="7"/>
        <v>90.300483146067407</v>
      </c>
      <c r="N11" s="235">
        <f>AVERAGE(N7:N10)</f>
        <v>0.37242194707796805</v>
      </c>
      <c r="O11" s="236">
        <f t="shared" si="8"/>
        <v>-7.0953365407292079E-2</v>
      </c>
      <c r="P11" s="237">
        <f t="shared" si="9"/>
        <v>83.996996808510644</v>
      </c>
      <c r="Q11" s="109"/>
    </row>
    <row r="12" spans="1:19" s="96" customFormat="1" ht="15.75" x14ac:dyDescent="0.25">
      <c r="A12" s="110" t="s">
        <v>24</v>
      </c>
      <c r="B12" s="102">
        <f>B25*$B$32/100/$B$33</f>
        <v>1.0553073439932079</v>
      </c>
      <c r="C12" s="107">
        <f t="shared" si="0"/>
        <v>0.26289189189189188</v>
      </c>
      <c r="D12" s="108">
        <f t="shared" si="1"/>
        <v>133.17601785714285</v>
      </c>
      <c r="E12" s="102">
        <f>E25*$B$32/100/$B$33</f>
        <v>1.0959742936653931</v>
      </c>
      <c r="F12" s="107">
        <f t="shared" si="2"/>
        <v>0.25639125512947492</v>
      </c>
      <c r="G12" s="108">
        <f t="shared" si="3"/>
        <v>130.5379269662921</v>
      </c>
      <c r="H12" s="102">
        <f>H25*$B$32/100/$B$33</f>
        <v>1.2460353379557572</v>
      </c>
      <c r="I12" s="107">
        <f t="shared" si="4"/>
        <v>0.34513443705485625</v>
      </c>
      <c r="J12" s="108">
        <f t="shared" si="5"/>
        <v>138.30992251308905</v>
      </c>
      <c r="K12" s="102">
        <f>K25*$B$32/100/$B$33</f>
        <v>1.0727941323522476</v>
      </c>
      <c r="L12" s="107">
        <f t="shared" si="6"/>
        <v>0.23321109381632943</v>
      </c>
      <c r="M12" s="108">
        <f t="shared" si="7"/>
        <v>127.77701348314608</v>
      </c>
      <c r="N12" s="102">
        <f>N25*$B$32/100/$B$33</f>
        <v>0.50386350643837563</v>
      </c>
      <c r="O12" s="107">
        <f t="shared" si="8"/>
        <v>6.0488193953115499E-2</v>
      </c>
      <c r="P12" s="108">
        <f t="shared" si="9"/>
        <v>113.64266170212767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1.4474637988774115</v>
      </c>
      <c r="F13" s="107">
        <f t="shared" si="2"/>
        <v>0.6078807603414933</v>
      </c>
      <c r="G13" s="108">
        <f t="shared" si="3"/>
        <v>172.40269662921349</v>
      </c>
      <c r="H13" s="102">
        <f>H26*$B$34/$B$33</f>
        <v>1.5081425404462054</v>
      </c>
      <c r="I13" s="107">
        <f t="shared" si="4"/>
        <v>0.60724163954530452</v>
      </c>
      <c r="J13" s="108">
        <f t="shared" si="5"/>
        <v>167.40382198952881</v>
      </c>
      <c r="K13" s="102">
        <f>K26*$B$34/$B$33</f>
        <v>1.3702363096080374</v>
      </c>
      <c r="L13" s="107">
        <f t="shared" si="6"/>
        <v>0.53065327107211924</v>
      </c>
      <c r="M13" s="108">
        <f t="shared" si="7"/>
        <v>163.20438202247189</v>
      </c>
      <c r="N13" s="102">
        <f>N26*$B$34/$B$33</f>
        <v>0.65202065940285836</v>
      </c>
      <c r="O13" s="107">
        <f t="shared" si="8"/>
        <v>0.20864534691759823</v>
      </c>
      <c r="P13" s="108">
        <f t="shared" si="9"/>
        <v>147.05840425531915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1.3227965661997079</v>
      </c>
      <c r="F14" s="107">
        <f t="shared" si="2"/>
        <v>0.48321352766378967</v>
      </c>
      <c r="G14" s="108">
        <f t="shared" si="3"/>
        <v>157.55398876404496</v>
      </c>
      <c r="H14" s="102">
        <f>H27*$B$34/$B$33</f>
        <v>1.4055403047026085</v>
      </c>
      <c r="I14" s="107">
        <f t="shared" si="4"/>
        <v>0.50463940380170758</v>
      </c>
      <c r="J14" s="108">
        <f t="shared" si="5"/>
        <v>156.01497382198954</v>
      </c>
      <c r="K14" s="102">
        <f>K27*$B$34/$B$33</f>
        <v>1.2190910806094051</v>
      </c>
      <c r="L14" s="107">
        <f t="shared" si="6"/>
        <v>0.37950804207348687</v>
      </c>
      <c r="M14" s="108">
        <f t="shared" si="7"/>
        <v>145.20196629213478</v>
      </c>
      <c r="N14" s="102">
        <f>N27*$B$34/$B$33</f>
        <v>0.63216216216216214</v>
      </c>
      <c r="O14" s="107">
        <f t="shared" si="8"/>
        <v>0.18878684967690201</v>
      </c>
      <c r="P14" s="108">
        <f t="shared" si="9"/>
        <v>142.57946808510638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1.2731589547662847</v>
      </c>
      <c r="F15" s="119">
        <f t="shared" si="2"/>
        <v>0.43357591623036651</v>
      </c>
      <c r="G15" s="120">
        <f t="shared" si="3"/>
        <v>151.64181460674158</v>
      </c>
      <c r="H15" s="118">
        <f>H28*$B$35/10/$B$33</f>
        <v>1.3377207678883074</v>
      </c>
      <c r="I15" s="119">
        <f t="shared" si="4"/>
        <v>0.43681986698740649</v>
      </c>
      <c r="J15" s="120">
        <f t="shared" si="5"/>
        <v>148.48700523560211</v>
      </c>
      <c r="K15" s="118">
        <f>K28*$B$35/10/$B$33</f>
        <v>1.3273908777887835</v>
      </c>
      <c r="L15" s="119">
        <f t="shared" si="6"/>
        <v>0.48780783925286531</v>
      </c>
      <c r="M15" s="120">
        <f t="shared" si="7"/>
        <v>158.101202247191</v>
      </c>
      <c r="N15" s="118">
        <f>N28*$B$35/10/$B$33</f>
        <v>0.60171609829725026</v>
      </c>
      <c r="O15" s="119">
        <f t="shared" si="8"/>
        <v>0.15834078581199013</v>
      </c>
      <c r="P15" s="120">
        <f t="shared" si="9"/>
        <v>135.71258510638299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0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0" t="s">
        <v>214</v>
      </c>
      <c r="X19" s="330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1.91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46.63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</v>
      </c>
      <c r="L21" s="144" t="s">
        <v>172</v>
      </c>
      <c r="M21" s="145" t="s">
        <v>172</v>
      </c>
      <c r="N21" s="143">
        <v>23.64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42.28</v>
      </c>
      <c r="C22" s="144" t="s">
        <v>172</v>
      </c>
      <c r="D22" s="145" t="s">
        <v>172</v>
      </c>
      <c r="E22" s="143">
        <v>45.41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47.01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42.75</v>
      </c>
      <c r="C23" s="144" t="s">
        <v>172</v>
      </c>
      <c r="D23" s="145" t="s">
        <v>172</v>
      </c>
      <c r="E23" s="143">
        <v>45.99</v>
      </c>
      <c r="F23" s="144" t="s">
        <v>172</v>
      </c>
      <c r="G23" s="145" t="s">
        <v>172</v>
      </c>
      <c r="H23" s="143">
        <v>50.8</v>
      </c>
      <c r="I23" s="144" t="s">
        <v>172</v>
      </c>
      <c r="J23" s="145" t="s">
        <v>172</v>
      </c>
      <c r="K23" s="143">
        <v>47.37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42.02</v>
      </c>
      <c r="C24" s="144" t="s">
        <v>172</v>
      </c>
      <c r="D24" s="145" t="s">
        <v>172</v>
      </c>
      <c r="E24" s="143">
        <v>44.94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47.72</v>
      </c>
      <c r="L24" s="144" t="s">
        <v>172</v>
      </c>
      <c r="M24" s="145" t="s">
        <v>172</v>
      </c>
      <c r="N24" s="143">
        <v>22.25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25.95</v>
      </c>
      <c r="C25" s="144" t="s">
        <v>172</v>
      </c>
      <c r="D25" s="145" t="s">
        <v>172</v>
      </c>
      <c r="E25" s="143">
        <v>26.95</v>
      </c>
      <c r="F25" s="144" t="s">
        <v>172</v>
      </c>
      <c r="G25" s="145" t="s">
        <v>172</v>
      </c>
      <c r="H25" s="143">
        <v>30.64</v>
      </c>
      <c r="I25" s="144" t="s">
        <v>172</v>
      </c>
      <c r="J25" s="145" t="s">
        <v>172</v>
      </c>
      <c r="K25" s="143">
        <v>26.38</v>
      </c>
      <c r="L25" s="144" t="s">
        <v>172</v>
      </c>
      <c r="M25" s="145" t="s">
        <v>172</v>
      </c>
      <c r="N25" s="143">
        <v>12.39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1.3120000000000001</v>
      </c>
      <c r="F26" s="144" t="s">
        <v>172</v>
      </c>
      <c r="G26" s="145" t="s">
        <v>172</v>
      </c>
      <c r="H26" s="153">
        <v>1.367</v>
      </c>
      <c r="I26" s="144" t="s">
        <v>172</v>
      </c>
      <c r="J26" s="145" t="s">
        <v>172</v>
      </c>
      <c r="K26" s="153">
        <v>1.242</v>
      </c>
      <c r="L26" s="144" t="s">
        <v>172</v>
      </c>
      <c r="M26" s="145" t="s">
        <v>172</v>
      </c>
      <c r="N26" s="153">
        <v>0.59099999999999997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1.1990000000000001</v>
      </c>
      <c r="F27" s="144" t="s">
        <v>172</v>
      </c>
      <c r="G27" s="145" t="s">
        <v>172</v>
      </c>
      <c r="H27" s="153">
        <v>1.274</v>
      </c>
      <c r="I27" s="144" t="s">
        <v>172</v>
      </c>
      <c r="J27" s="145" t="s">
        <v>172</v>
      </c>
      <c r="K27" s="153">
        <v>1.105</v>
      </c>
      <c r="L27" s="144" t="s">
        <v>172</v>
      </c>
      <c r="M27" s="145" t="s">
        <v>172</v>
      </c>
      <c r="N27" s="153">
        <v>0.57299999999999995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4.93</v>
      </c>
      <c r="F28" s="158" t="s">
        <v>172</v>
      </c>
      <c r="G28" s="159" t="s">
        <v>172</v>
      </c>
      <c r="H28" s="234">
        <v>5.18</v>
      </c>
      <c r="I28" s="158" t="s">
        <v>172</v>
      </c>
      <c r="J28" s="159" t="s">
        <v>172</v>
      </c>
      <c r="K28" s="234">
        <v>5.14</v>
      </c>
      <c r="L28" s="158" t="s">
        <v>172</v>
      </c>
      <c r="M28" s="159" t="s">
        <v>172</v>
      </c>
      <c r="N28" s="234">
        <v>2.33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29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8.6218000000000004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2.1200999999999999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2.339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5.4751000000000003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3.3982000000000001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43864</v>
      </c>
      <c r="E2" s="493"/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Q2" s="332"/>
      <c r="R2" s="332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0.79045837231057059</v>
      </c>
      <c r="C6" s="103" t="s">
        <v>172</v>
      </c>
      <c r="D6" s="104" t="s">
        <v>172</v>
      </c>
      <c r="E6" s="102">
        <f>E20/$B$33</f>
        <v>0.83723105706267542</v>
      </c>
      <c r="F6" s="103" t="s">
        <v>172</v>
      </c>
      <c r="G6" s="104" t="s">
        <v>172</v>
      </c>
      <c r="H6" s="102">
        <f>H20/$B$33</f>
        <v>0.89803554724041157</v>
      </c>
      <c r="I6" s="103" t="s">
        <v>172</v>
      </c>
      <c r="J6" s="104" t="s">
        <v>172</v>
      </c>
      <c r="K6" s="102">
        <f>K20/$B$33</f>
        <v>0.83723105706267542</v>
      </c>
      <c r="L6" s="103" t="s">
        <v>172</v>
      </c>
      <c r="M6" s="104" t="s">
        <v>172</v>
      </c>
      <c r="N6" s="102">
        <f>N20/$B$33</f>
        <v>0.43966323666978485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0.67159746024321798</v>
      </c>
      <c r="C7" s="107">
        <f t="shared" ref="C7:C12" si="0">B7-B$6</f>
        <v>-0.11886091206735261</v>
      </c>
      <c r="D7" s="108">
        <f t="shared" ref="D7:D12" si="1">B7/B$6*100</f>
        <v>84.963039644970422</v>
      </c>
      <c r="E7" s="102">
        <f>E21*$B$36/100/$B$33</f>
        <v>0.73874137043966326</v>
      </c>
      <c r="F7" s="107">
        <f t="shared" ref="F7:F15" si="2">E7-E$6</f>
        <v>-9.8489686623012163E-2</v>
      </c>
      <c r="G7" s="108">
        <f t="shared" ref="G7:G15" si="3">E7/E$6*100</f>
        <v>88.236259776536315</v>
      </c>
      <c r="H7" s="102">
        <f>H21*$B$36/100/$B$33</f>
        <v>0.81538677736202059</v>
      </c>
      <c r="I7" s="107">
        <f t="shared" ref="I7:I15" si="4">H7-H$6</f>
        <v>-8.2648769878390982E-2</v>
      </c>
      <c r="J7" s="108">
        <f t="shared" ref="J7:J15" si="5">H7/H$6*100</f>
        <v>90.796715104166665</v>
      </c>
      <c r="K7" s="102">
        <f>K21*$B$36/100/$B$33</f>
        <v>0.74523405986903646</v>
      </c>
      <c r="L7" s="107">
        <f t="shared" ref="L7:L15" si="6">K7-K$6</f>
        <v>-9.1996997193638963E-2</v>
      </c>
      <c r="M7" s="108">
        <f t="shared" ref="M7:M15" si="7">K7/K$6*100</f>
        <v>89.011755307262561</v>
      </c>
      <c r="N7" s="102">
        <f>N21*$B$36/100/$B$33</f>
        <v>0.37119180542563146</v>
      </c>
      <c r="O7" s="107">
        <f t="shared" ref="O7:O15" si="8">N7-N$6</f>
        <v>-6.8471431244153391E-2</v>
      </c>
      <c r="P7" s="108">
        <f t="shared" ref="P7:P15" si="9">N7/N$6*100</f>
        <v>84.426391489361706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0.66779686155285312</v>
      </c>
      <c r="C8" s="107">
        <f t="shared" si="0"/>
        <v>-0.12266151075771747</v>
      </c>
      <c r="D8" s="108">
        <f t="shared" si="1"/>
        <v>84.482230177514793</v>
      </c>
      <c r="E8" s="102">
        <f>E22*$B$36/100/$B$33</f>
        <v>0.71942166043030875</v>
      </c>
      <c r="F8" s="107">
        <f t="shared" si="2"/>
        <v>-0.11780939663236667</v>
      </c>
      <c r="G8" s="108">
        <f t="shared" si="3"/>
        <v>85.928687709497211</v>
      </c>
      <c r="H8" s="102">
        <f>H22*$B$36/100/$B$33</f>
        <v>0.81158617867165572</v>
      </c>
      <c r="I8" s="107">
        <f t="shared" si="4"/>
        <v>-8.6449368568755847E-2</v>
      </c>
      <c r="J8" s="108">
        <f t="shared" si="5"/>
        <v>90.37350260416666</v>
      </c>
      <c r="K8" s="102">
        <f>K22*$B$36/100/$B$33</f>
        <v>0.7479261506080449</v>
      </c>
      <c r="L8" s="107">
        <f t="shared" si="6"/>
        <v>-8.9304906454630517E-2</v>
      </c>
      <c r="M8" s="108">
        <f t="shared" si="7"/>
        <v>89.333302234636875</v>
      </c>
      <c r="N8" s="102">
        <f>N22*$B$36/100/$B$33</f>
        <v>0.37055837231057059</v>
      </c>
      <c r="O8" s="107">
        <f t="shared" si="8"/>
        <v>-6.9104864359214258E-2</v>
      </c>
      <c r="P8" s="108">
        <f t="shared" si="9"/>
        <v>84.282319148936153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0.67967373246024321</v>
      </c>
      <c r="C9" s="107">
        <f t="shared" si="0"/>
        <v>-0.11078463985032738</v>
      </c>
      <c r="D9" s="108">
        <f t="shared" si="1"/>
        <v>85.984759763313605</v>
      </c>
      <c r="E9" s="102">
        <f>E23*$B$36/100/$B$33</f>
        <v>0.73003166510757722</v>
      </c>
      <c r="F9" s="107">
        <f t="shared" si="2"/>
        <v>-0.1071993919550982</v>
      </c>
      <c r="G9" s="108">
        <f t="shared" si="3"/>
        <v>87.195960893854746</v>
      </c>
      <c r="H9" s="102">
        <f>H23*$B$36/100/$B$33</f>
        <v>0.8044600561272216</v>
      </c>
      <c r="I9" s="107">
        <f t="shared" si="4"/>
        <v>-9.3575491113189968E-2</v>
      </c>
      <c r="J9" s="108">
        <f t="shared" si="5"/>
        <v>89.579979166666661</v>
      </c>
      <c r="K9" s="102">
        <f>K23*$B$36/100/$B$33</f>
        <v>0.75220182413470538</v>
      </c>
      <c r="L9" s="107">
        <f t="shared" si="6"/>
        <v>-8.5029232927970044E-2</v>
      </c>
      <c r="M9" s="108">
        <f t="shared" si="7"/>
        <v>89.843994413407827</v>
      </c>
      <c r="N9" s="102">
        <f>N23*$B$36/100/$B$33</f>
        <v>0.37610091206735269</v>
      </c>
      <c r="O9" s="107">
        <f t="shared" si="8"/>
        <v>-6.3562324602432163E-2</v>
      </c>
      <c r="P9" s="108">
        <f t="shared" si="9"/>
        <v>85.542952127659575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0.66827193638914884</v>
      </c>
      <c r="C10" s="107">
        <f t="shared" si="0"/>
        <v>-0.12218643592142175</v>
      </c>
      <c r="D10" s="108">
        <f t="shared" si="1"/>
        <v>84.542331360946761</v>
      </c>
      <c r="E10" s="102">
        <f>E24*$B$36/100/$B$33</f>
        <v>0.7162544948550047</v>
      </c>
      <c r="F10" s="107">
        <f t="shared" si="2"/>
        <v>-0.12097656220767072</v>
      </c>
      <c r="G10" s="108">
        <f t="shared" si="3"/>
        <v>85.550397206703906</v>
      </c>
      <c r="H10" s="102">
        <f>H24*$B$36/100/$B$33</f>
        <v>0.83122260523854075</v>
      </c>
      <c r="I10" s="107">
        <f t="shared" si="4"/>
        <v>-6.6812942001870823E-2</v>
      </c>
      <c r="J10" s="108">
        <f t="shared" si="5"/>
        <v>92.560100520833345</v>
      </c>
      <c r="K10" s="102">
        <f>K24*$B$36/100/$B$33</f>
        <v>0.76677078578110391</v>
      </c>
      <c r="L10" s="107">
        <f t="shared" si="6"/>
        <v>-7.0460271281571507E-2</v>
      </c>
      <c r="M10" s="108">
        <f t="shared" si="7"/>
        <v>91.584130726256987</v>
      </c>
      <c r="N10" s="102">
        <f>N24*$B$36/100/$B$33</f>
        <v>0.34918000467726851</v>
      </c>
      <c r="O10" s="107">
        <f t="shared" si="8"/>
        <v>-9.0483231992516344E-2</v>
      </c>
      <c r="P10" s="108">
        <f t="shared" si="9"/>
        <v>79.419877659574482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0.67183499766136578</v>
      </c>
      <c r="C11" s="236">
        <f t="shared" si="0"/>
        <v>-0.1186233746492048</v>
      </c>
      <c r="D11" s="237">
        <f t="shared" si="1"/>
        <v>84.993090236686399</v>
      </c>
      <c r="E11" s="235">
        <f>AVERAGE(E7:E10)</f>
        <v>0.72611229770813845</v>
      </c>
      <c r="F11" s="236">
        <f t="shared" si="2"/>
        <v>-0.11111875935453697</v>
      </c>
      <c r="G11" s="237">
        <f t="shared" si="3"/>
        <v>86.727826396648041</v>
      </c>
      <c r="H11" s="235">
        <f>AVERAGE(H7:H10)</f>
        <v>0.81566390434985969</v>
      </c>
      <c r="I11" s="236">
        <f t="shared" si="4"/>
        <v>-8.2371642890551877E-2</v>
      </c>
      <c r="J11" s="237">
        <f t="shared" si="5"/>
        <v>90.827574348958336</v>
      </c>
      <c r="K11" s="235">
        <f>AVERAGE(K7:K10)</f>
        <v>0.75303320509822269</v>
      </c>
      <c r="L11" s="236">
        <f t="shared" si="6"/>
        <v>-8.419785196445273E-2</v>
      </c>
      <c r="M11" s="237">
        <f t="shared" si="7"/>
        <v>89.943295670391066</v>
      </c>
      <c r="N11" s="235">
        <f>AVERAGE(N7:N10)</f>
        <v>0.36675777362020578</v>
      </c>
      <c r="O11" s="236">
        <f t="shared" si="8"/>
        <v>-7.2905463049579067E-2</v>
      </c>
      <c r="P11" s="237">
        <f t="shared" si="9"/>
        <v>83.417885106382968</v>
      </c>
      <c r="Q11" s="109"/>
    </row>
    <row r="12" spans="1:19" s="96" customFormat="1" ht="15.75" x14ac:dyDescent="0.25">
      <c r="A12" s="110" t="s">
        <v>24</v>
      </c>
      <c r="B12" s="102">
        <f>B25*$B$32/100/$B$33</f>
        <v>1.0364463985032739</v>
      </c>
      <c r="C12" s="107">
        <f t="shared" si="0"/>
        <v>0.24598802619270332</v>
      </c>
      <c r="D12" s="108">
        <f t="shared" si="1"/>
        <v>131.11966863905323</v>
      </c>
      <c r="E12" s="102">
        <f>E25*$B$32/100/$B$33</f>
        <v>1.0763865294667914</v>
      </c>
      <c r="F12" s="107">
        <f t="shared" si="2"/>
        <v>0.23915547240411594</v>
      </c>
      <c r="G12" s="108">
        <f t="shared" si="3"/>
        <v>128.5650502793296</v>
      </c>
      <c r="H12" s="102">
        <f>H25*$B$32/100/$B$33</f>
        <v>1.2237656127221701</v>
      </c>
      <c r="I12" s="107">
        <f t="shared" si="4"/>
        <v>0.32573006548175854</v>
      </c>
      <c r="J12" s="108">
        <f t="shared" si="5"/>
        <v>136.2714</v>
      </c>
      <c r="K12" s="102">
        <f>K25*$B$32/100/$B$33</f>
        <v>1.0536206548175864</v>
      </c>
      <c r="L12" s="107">
        <f t="shared" si="6"/>
        <v>0.21638959775491096</v>
      </c>
      <c r="M12" s="108">
        <f t="shared" si="7"/>
        <v>125.84586368715081</v>
      </c>
      <c r="N12" s="102">
        <f>N25*$B$32/100/$B$33</f>
        <v>0.49086420954162763</v>
      </c>
      <c r="O12" s="107">
        <f t="shared" si="8"/>
        <v>5.1200972871842776E-2</v>
      </c>
      <c r="P12" s="108">
        <f t="shared" si="9"/>
        <v>111.64549787234041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1.3856984565014032</v>
      </c>
      <c r="F13" s="107">
        <f t="shared" si="2"/>
        <v>0.5484673994387278</v>
      </c>
      <c r="G13" s="108">
        <f t="shared" si="3"/>
        <v>165.50968156424582</v>
      </c>
      <c r="H13" s="102">
        <f>H26*$B$34/$B$33</f>
        <v>1.4463296538821331</v>
      </c>
      <c r="I13" s="107">
        <f t="shared" si="4"/>
        <v>0.54829410664172151</v>
      </c>
      <c r="J13" s="108">
        <f t="shared" si="5"/>
        <v>161.05483333333336</v>
      </c>
      <c r="K13" s="102">
        <f>K26*$B$34/$B$33</f>
        <v>1.3195553320860618</v>
      </c>
      <c r="L13" s="107">
        <f t="shared" si="6"/>
        <v>0.48232427502338637</v>
      </c>
      <c r="M13" s="108">
        <f t="shared" si="7"/>
        <v>157.60945810055867</v>
      </c>
      <c r="N13" s="102">
        <f>N26*$B$34/$B$33</f>
        <v>0.65150977549111322</v>
      </c>
      <c r="O13" s="107">
        <f t="shared" si="8"/>
        <v>0.21184653882132837</v>
      </c>
      <c r="P13" s="108">
        <f t="shared" si="9"/>
        <v>148.18381914893618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1.3283744153414407</v>
      </c>
      <c r="F14" s="107">
        <f t="shared" si="2"/>
        <v>0.49114335827876532</v>
      </c>
      <c r="G14" s="108">
        <f t="shared" si="3"/>
        <v>158.66282122905028</v>
      </c>
      <c r="H14" s="102">
        <f>H27*$B$34/$B$33</f>
        <v>1.4044390084190834</v>
      </c>
      <c r="I14" s="107">
        <f t="shared" si="4"/>
        <v>0.50640346117867185</v>
      </c>
      <c r="J14" s="108">
        <f t="shared" si="5"/>
        <v>156.39013541666668</v>
      </c>
      <c r="K14" s="102">
        <f>K27*$B$34/$B$33</f>
        <v>1.218135874649205</v>
      </c>
      <c r="L14" s="107">
        <f t="shared" si="6"/>
        <v>0.38090481758652961</v>
      </c>
      <c r="M14" s="108">
        <f t="shared" si="7"/>
        <v>145.49578212290504</v>
      </c>
      <c r="N14" s="102">
        <f>N27*$B$34/$B$33</f>
        <v>0.58757142188961653</v>
      </c>
      <c r="O14" s="107">
        <f t="shared" si="8"/>
        <v>0.14790818521983168</v>
      </c>
      <c r="P14" s="108">
        <f t="shared" si="9"/>
        <v>133.64124468085109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1.2589625818521983</v>
      </c>
      <c r="F15" s="119">
        <f t="shared" si="2"/>
        <v>0.42173152478952292</v>
      </c>
      <c r="G15" s="120">
        <f t="shared" si="3"/>
        <v>150.37217877094972</v>
      </c>
      <c r="H15" s="118">
        <f>H28*$B$35/10/$B$33</f>
        <v>1.3102441534144063</v>
      </c>
      <c r="I15" s="119">
        <f t="shared" si="4"/>
        <v>0.41220860617399468</v>
      </c>
      <c r="J15" s="120">
        <f t="shared" si="5"/>
        <v>145.90114583333337</v>
      </c>
      <c r="K15" s="118">
        <f>K28*$B$35/10/$B$33</f>
        <v>1.315372310570627</v>
      </c>
      <c r="L15" s="119">
        <f t="shared" si="6"/>
        <v>0.47814125350795156</v>
      </c>
      <c r="M15" s="120">
        <f t="shared" si="7"/>
        <v>157.10983240223467</v>
      </c>
      <c r="N15" s="118">
        <f>N28*$B$35/10/$B$33</f>
        <v>0.594866230121609</v>
      </c>
      <c r="O15" s="119">
        <f t="shared" si="8"/>
        <v>0.15520299345182414</v>
      </c>
      <c r="P15" s="120">
        <f t="shared" si="9"/>
        <v>135.3004255319149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4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4" t="s">
        <v>214</v>
      </c>
      <c r="X19" s="334" t="s">
        <v>214</v>
      </c>
    </row>
    <row r="20" spans="1:24" s="141" customFormat="1" ht="15.75" x14ac:dyDescent="0.25">
      <c r="A20" s="133" t="s">
        <v>185</v>
      </c>
      <c r="B20" s="134">
        <v>1.69</v>
      </c>
      <c r="C20" s="135" t="s">
        <v>172</v>
      </c>
      <c r="D20" s="136" t="s">
        <v>172</v>
      </c>
      <c r="E20" s="134">
        <v>1.79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1.79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42.41</v>
      </c>
      <c r="C21" s="144" t="s">
        <v>172</v>
      </c>
      <c r="D21" s="145" t="s">
        <v>172</v>
      </c>
      <c r="E21" s="143">
        <v>46.65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47.06</v>
      </c>
      <c r="L21" s="144" t="s">
        <v>172</v>
      </c>
      <c r="M21" s="145" t="s">
        <v>172</v>
      </c>
      <c r="N21" s="143">
        <v>23.44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42.17</v>
      </c>
      <c r="C22" s="144" t="s">
        <v>172</v>
      </c>
      <c r="D22" s="145" t="s">
        <v>172</v>
      </c>
      <c r="E22" s="143">
        <v>45.43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47.23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42.92</v>
      </c>
      <c r="C23" s="144" t="s">
        <v>172</v>
      </c>
      <c r="D23" s="145" t="s">
        <v>172</v>
      </c>
      <c r="E23" s="143">
        <v>46.1</v>
      </c>
      <c r="F23" s="144" t="s">
        <v>172</v>
      </c>
      <c r="G23" s="145" t="s">
        <v>172</v>
      </c>
      <c r="H23" s="143">
        <v>50.8</v>
      </c>
      <c r="I23" s="144" t="s">
        <v>172</v>
      </c>
      <c r="J23" s="145" t="s">
        <v>172</v>
      </c>
      <c r="K23" s="143">
        <v>47.5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42.2</v>
      </c>
      <c r="C24" s="144" t="s">
        <v>172</v>
      </c>
      <c r="D24" s="145" t="s">
        <v>172</v>
      </c>
      <c r="E24" s="143">
        <v>45.23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48.42</v>
      </c>
      <c r="L24" s="144" t="s">
        <v>172</v>
      </c>
      <c r="M24" s="145" t="s">
        <v>172</v>
      </c>
      <c r="N24" s="143">
        <v>22.05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25.95</v>
      </c>
      <c r="C25" s="144" t="s">
        <v>172</v>
      </c>
      <c r="D25" s="145" t="s">
        <v>172</v>
      </c>
      <c r="E25" s="143">
        <v>26.95</v>
      </c>
      <c r="F25" s="144" t="s">
        <v>172</v>
      </c>
      <c r="G25" s="145" t="s">
        <v>172</v>
      </c>
      <c r="H25" s="143">
        <v>30.64</v>
      </c>
      <c r="I25" s="144" t="s">
        <v>172</v>
      </c>
      <c r="J25" s="145" t="s">
        <v>172</v>
      </c>
      <c r="K25" s="143">
        <v>26.38</v>
      </c>
      <c r="L25" s="144" t="s">
        <v>172</v>
      </c>
      <c r="M25" s="145" t="s">
        <v>172</v>
      </c>
      <c r="N25" s="143">
        <v>12.29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1.2569999999999999</v>
      </c>
      <c r="F26" s="144" t="s">
        <v>172</v>
      </c>
      <c r="G26" s="145" t="s">
        <v>172</v>
      </c>
      <c r="H26" s="153">
        <v>1.3120000000000001</v>
      </c>
      <c r="I26" s="144" t="s">
        <v>172</v>
      </c>
      <c r="J26" s="145" t="s">
        <v>172</v>
      </c>
      <c r="K26" s="153">
        <v>1.1970000000000001</v>
      </c>
      <c r="L26" s="144" t="s">
        <v>172</v>
      </c>
      <c r="M26" s="145" t="s">
        <v>172</v>
      </c>
      <c r="N26" s="153">
        <v>0.59099999999999997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1.2050000000000001</v>
      </c>
      <c r="F27" s="144" t="s">
        <v>172</v>
      </c>
      <c r="G27" s="145" t="s">
        <v>172</v>
      </c>
      <c r="H27" s="153">
        <v>1.274</v>
      </c>
      <c r="I27" s="144" t="s">
        <v>172</v>
      </c>
      <c r="J27" s="145" t="s">
        <v>172</v>
      </c>
      <c r="K27" s="153">
        <v>1.105</v>
      </c>
      <c r="L27" s="144" t="s">
        <v>172</v>
      </c>
      <c r="M27" s="145" t="s">
        <v>172</v>
      </c>
      <c r="N27" s="153">
        <v>0.53300000000000003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4.91</v>
      </c>
      <c r="F28" s="158" t="s">
        <v>172</v>
      </c>
      <c r="G28" s="159" t="s">
        <v>172</v>
      </c>
      <c r="H28" s="234">
        <v>5.1100000000000003</v>
      </c>
      <c r="I28" s="158" t="s">
        <v>172</v>
      </c>
      <c r="J28" s="159" t="s">
        <v>172</v>
      </c>
      <c r="K28" s="234">
        <v>5.13</v>
      </c>
      <c r="L28" s="158" t="s">
        <v>172</v>
      </c>
      <c r="M28" s="159" t="s">
        <v>172</v>
      </c>
      <c r="N28" s="234">
        <v>2.3199999999999998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33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8.5391999999999992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2.1379999999999999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2.3569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5.4820000000000002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3.3856999999999999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F17" sqref="F1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43871</v>
      </c>
      <c r="E2" s="493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0.78117820053303921</v>
      </c>
      <c r="C6" s="103" t="s">
        <v>172</v>
      </c>
      <c r="D6" s="104" t="s">
        <v>172</v>
      </c>
      <c r="E6" s="102">
        <f>E20/$B$33</f>
        <v>0.82712985938792383</v>
      </c>
      <c r="F6" s="103" t="s">
        <v>172</v>
      </c>
      <c r="G6" s="104" t="s">
        <v>172</v>
      </c>
      <c r="H6" s="102">
        <f>H20/$B$33</f>
        <v>0.88686701589927386</v>
      </c>
      <c r="I6" s="103" t="s">
        <v>172</v>
      </c>
      <c r="J6" s="104" t="s">
        <v>172</v>
      </c>
      <c r="K6" s="102">
        <f>K20/$B$33</f>
        <v>0.82712985938792383</v>
      </c>
      <c r="L6" s="103" t="s">
        <v>172</v>
      </c>
      <c r="M6" s="104" t="s">
        <v>172</v>
      </c>
      <c r="N6" s="102">
        <f>N20/$B$33</f>
        <v>0.43194559323591575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0.66799511993382965</v>
      </c>
      <c r="C7" s="107">
        <f t="shared" ref="C7:C12" si="0">B7-B$6</f>
        <v>-0.11318308059920956</v>
      </c>
      <c r="D7" s="108">
        <f t="shared" ref="D7:D12" si="1">B7/B$6*100</f>
        <v>85.511234117647078</v>
      </c>
      <c r="E7" s="102">
        <f>E21*$B$36/100/$B$33</f>
        <v>0.73460566583953668</v>
      </c>
      <c r="F7" s="107">
        <f t="shared" ref="F7:F15" si="2">E7-E$6</f>
        <v>-9.2524193548387146E-2</v>
      </c>
      <c r="G7" s="108">
        <f t="shared" ref="G7:G15" si="3">E7/E$6*100</f>
        <v>88.813824999999994</v>
      </c>
      <c r="H7" s="102">
        <f>H21*$B$36/100/$B$33</f>
        <v>0.81082198786876203</v>
      </c>
      <c r="I7" s="107">
        <f t="shared" ref="I7:I15" si="4">H7-H$6</f>
        <v>-7.604502803051183E-2</v>
      </c>
      <c r="J7" s="108">
        <f t="shared" ref="J7:J15" si="5">H7/H$6*100</f>
        <v>91.42543056994819</v>
      </c>
      <c r="K7" s="102">
        <f>K21*$B$36/100/$B$33</f>
        <v>0.74137695064791831</v>
      </c>
      <c r="L7" s="107">
        <f t="shared" ref="L7:L15" si="6">K7-K$6</f>
        <v>-8.5752908740005518E-2</v>
      </c>
      <c r="M7" s="108">
        <f t="shared" ref="M7:M15" si="7">K7/K$6*100</f>
        <v>89.632473333333323</v>
      </c>
      <c r="N7" s="102">
        <f>N21*$B$36/100/$B$33</f>
        <v>0.37053100358422936</v>
      </c>
      <c r="O7" s="107">
        <f t="shared" ref="O7:O15" si="8">N7-N$6</f>
        <v>-6.1414589651686391E-2</v>
      </c>
      <c r="P7" s="108">
        <f t="shared" ref="P7:P15" si="9">N7/N$6*100</f>
        <v>85.781869148936181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0.6629560242624758</v>
      </c>
      <c r="C8" s="107">
        <f t="shared" si="0"/>
        <v>-0.11822217627056342</v>
      </c>
      <c r="D8" s="108">
        <f t="shared" si="1"/>
        <v>84.866170588235292</v>
      </c>
      <c r="E8" s="102">
        <f>E22*$B$36/100/$B$33</f>
        <v>0.71271709401709382</v>
      </c>
      <c r="F8" s="107">
        <f t="shared" si="2"/>
        <v>-0.11441276537083001</v>
      </c>
      <c r="G8" s="108">
        <f t="shared" si="3"/>
        <v>86.167496666666651</v>
      </c>
      <c r="H8" s="102">
        <f>H22*$B$36/100/$B$33</f>
        <v>0.80704266611524678</v>
      </c>
      <c r="I8" s="107">
        <f t="shared" si="4"/>
        <v>-7.9824349784027082E-2</v>
      </c>
      <c r="J8" s="108">
        <f t="shared" si="5"/>
        <v>90.999287564766846</v>
      </c>
      <c r="K8" s="102">
        <f>K22*$B$36/100/$B$33</f>
        <v>0.74846317893575964</v>
      </c>
      <c r="L8" s="107">
        <f t="shared" si="6"/>
        <v>-7.8666680452164184E-2</v>
      </c>
      <c r="M8" s="108">
        <f t="shared" si="7"/>
        <v>90.489198333333349</v>
      </c>
      <c r="N8" s="102">
        <f>N22*$B$36/100/$B$33</f>
        <v>0.36690915357044385</v>
      </c>
      <c r="O8" s="107">
        <f t="shared" si="8"/>
        <v>-6.5036439665471901E-2</v>
      </c>
      <c r="P8" s="108">
        <f t="shared" si="9"/>
        <v>84.94337234042554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0.67492387648194085</v>
      </c>
      <c r="C9" s="107">
        <f t="shared" si="0"/>
        <v>-0.10625432405109836</v>
      </c>
      <c r="D9" s="108">
        <f t="shared" si="1"/>
        <v>86.398196470588218</v>
      </c>
      <c r="E9" s="102">
        <f>E23*$B$36/100/$B$33</f>
        <v>0.7248424179762889</v>
      </c>
      <c r="F9" s="107">
        <f t="shared" si="2"/>
        <v>-0.10228744141163493</v>
      </c>
      <c r="G9" s="108">
        <f t="shared" si="3"/>
        <v>87.633448333333348</v>
      </c>
      <c r="H9" s="102">
        <f>H23*$B$36/100/$B$33</f>
        <v>0.79995643782740544</v>
      </c>
      <c r="I9" s="107">
        <f t="shared" si="4"/>
        <v>-8.6910578071868416E-2</v>
      </c>
      <c r="J9" s="108">
        <f t="shared" si="5"/>
        <v>90.200269430051804</v>
      </c>
      <c r="K9" s="102">
        <f>K23*$B$36/100/$B$33</f>
        <v>0.74814823545629994</v>
      </c>
      <c r="L9" s="107">
        <f t="shared" si="6"/>
        <v>-7.898162393162389E-2</v>
      </c>
      <c r="M9" s="108">
        <f t="shared" si="7"/>
        <v>90.451121666666666</v>
      </c>
      <c r="N9" s="102">
        <f>N23*$B$36/100/$B$33</f>
        <v>0.37399538185828501</v>
      </c>
      <c r="O9" s="107">
        <f t="shared" si="8"/>
        <v>-5.7950211377630734E-2</v>
      </c>
      <c r="P9" s="108">
        <f t="shared" si="9"/>
        <v>86.583909574468095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0.6618537220843671</v>
      </c>
      <c r="C10" s="107">
        <f t="shared" si="0"/>
        <v>-0.11932447844867211</v>
      </c>
      <c r="D10" s="108">
        <f t="shared" si="1"/>
        <v>84.725062941176461</v>
      </c>
      <c r="E10" s="102">
        <f>E24*$B$36/100/$B$33</f>
        <v>0.70878030052384888</v>
      </c>
      <c r="F10" s="107">
        <f t="shared" si="2"/>
        <v>-0.11834955886407494</v>
      </c>
      <c r="G10" s="108">
        <f t="shared" si="3"/>
        <v>85.691538333333341</v>
      </c>
      <c r="H10" s="102">
        <f>H24*$B$36/100/$B$33</f>
        <v>0.82656916184174245</v>
      </c>
      <c r="I10" s="107">
        <f t="shared" si="4"/>
        <v>-6.0297854057531408E-2</v>
      </c>
      <c r="J10" s="108">
        <f t="shared" si="5"/>
        <v>93.201026424870463</v>
      </c>
      <c r="K10" s="102">
        <f>K24*$B$36/100/$B$33</f>
        <v>0.75444710504549195</v>
      </c>
      <c r="L10" s="107">
        <f t="shared" si="6"/>
        <v>-7.2682754342431877E-2</v>
      </c>
      <c r="M10" s="108">
        <f t="shared" si="7"/>
        <v>91.212654999999984</v>
      </c>
      <c r="N10" s="102">
        <f>N24*$B$36/100/$B$33</f>
        <v>0.35037462089881444</v>
      </c>
      <c r="O10" s="107">
        <f t="shared" si="8"/>
        <v>-8.1570972337101311E-2</v>
      </c>
      <c r="P10" s="108">
        <f t="shared" si="9"/>
        <v>81.11545212765958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0.66693218569065338</v>
      </c>
      <c r="C11" s="236">
        <f t="shared" si="0"/>
        <v>-0.11424601484238583</v>
      </c>
      <c r="D11" s="237">
        <f t="shared" si="1"/>
        <v>85.375166029411758</v>
      </c>
      <c r="E11" s="235">
        <f>AVERAGE(E7:E10)</f>
        <v>0.72023636958919213</v>
      </c>
      <c r="F11" s="236">
        <f t="shared" si="2"/>
        <v>-0.1068934897987317</v>
      </c>
      <c r="G11" s="237">
        <f t="shared" si="3"/>
        <v>87.076577083333333</v>
      </c>
      <c r="H11" s="235">
        <f>AVERAGE(H7:H10)</f>
        <v>0.81109756341328909</v>
      </c>
      <c r="I11" s="236">
        <f t="shared" si="4"/>
        <v>-7.5769452485984767E-2</v>
      </c>
      <c r="J11" s="237">
        <f t="shared" si="5"/>
        <v>91.456503497409329</v>
      </c>
      <c r="K11" s="235">
        <f>AVERAGE(K7:K10)</f>
        <v>0.7481088675213674</v>
      </c>
      <c r="L11" s="236">
        <f t="shared" si="6"/>
        <v>-7.9020991866556423E-2</v>
      </c>
      <c r="M11" s="237">
        <f t="shared" si="7"/>
        <v>90.446362083333327</v>
      </c>
      <c r="N11" s="235">
        <f>AVERAGE(N7:N10)</f>
        <v>0.36545253997794314</v>
      </c>
      <c r="O11" s="236">
        <f t="shared" si="8"/>
        <v>-6.6493053257972612E-2</v>
      </c>
      <c r="P11" s="237">
        <f t="shared" si="9"/>
        <v>84.606150797872331</v>
      </c>
      <c r="Q11" s="109"/>
    </row>
    <row r="12" spans="1:19" s="96" customFormat="1" ht="15.75" x14ac:dyDescent="0.25">
      <c r="A12" s="110" t="s">
        <v>24</v>
      </c>
      <c r="B12" s="102">
        <f>B25*$B$32/100/$B$33</f>
        <v>1.051047380755445</v>
      </c>
      <c r="C12" s="107">
        <f t="shared" si="0"/>
        <v>0.2698691802224058</v>
      </c>
      <c r="D12" s="108">
        <f t="shared" si="1"/>
        <v>134.54642999999999</v>
      </c>
      <c r="E12" s="102">
        <f>E25*$B$32/100/$B$33</f>
        <v>1.1182915908464295</v>
      </c>
      <c r="F12" s="107">
        <f t="shared" si="2"/>
        <v>0.29116173145850566</v>
      </c>
      <c r="G12" s="108">
        <f t="shared" si="3"/>
        <v>135.20145333333332</v>
      </c>
      <c r="H12" s="102">
        <f>H25*$B$32/100/$B$33</f>
        <v>1.2487046043562171</v>
      </c>
      <c r="I12" s="107">
        <f t="shared" si="4"/>
        <v>0.36183758845694325</v>
      </c>
      <c r="J12" s="108">
        <f t="shared" si="5"/>
        <v>140.79953160621761</v>
      </c>
      <c r="K12" s="102">
        <f>K25*$B$32/100/$B$33</f>
        <v>1.0653113041080782</v>
      </c>
      <c r="L12" s="107">
        <f t="shared" si="6"/>
        <v>0.23818144472015434</v>
      </c>
      <c r="M12" s="108">
        <f t="shared" si="7"/>
        <v>128.79613666666668</v>
      </c>
      <c r="N12" s="102">
        <f>N25*$B$32/100/$B$33</f>
        <v>0.47967536531568777</v>
      </c>
      <c r="O12" s="107">
        <f t="shared" si="8"/>
        <v>4.7729772079772026E-2</v>
      </c>
      <c r="P12" s="108">
        <f t="shared" si="9"/>
        <v>111.04995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1.3341590386912967</v>
      </c>
      <c r="F13" s="107">
        <f t="shared" si="2"/>
        <v>0.50702917930337288</v>
      </c>
      <c r="G13" s="108">
        <f t="shared" si="3"/>
        <v>161.29982777777778</v>
      </c>
      <c r="H13" s="102">
        <f>H26*$B$34/$B$33</f>
        <v>1.3944538185828508</v>
      </c>
      <c r="I13" s="107">
        <f t="shared" si="4"/>
        <v>0.50758680268357692</v>
      </c>
      <c r="J13" s="108">
        <f t="shared" si="5"/>
        <v>157.2336994818653</v>
      </c>
      <c r="K13" s="102">
        <f>K26*$B$34/$B$33</f>
        <v>1.2683829151732378</v>
      </c>
      <c r="L13" s="107">
        <f t="shared" si="6"/>
        <v>0.44125305578531393</v>
      </c>
      <c r="M13" s="108">
        <f t="shared" si="7"/>
        <v>153.34749444444446</v>
      </c>
      <c r="N13" s="102">
        <f>N26*$B$34/$B$33</f>
        <v>0.64789481665288107</v>
      </c>
      <c r="O13" s="107">
        <f t="shared" si="8"/>
        <v>0.21594922341696532</v>
      </c>
      <c r="P13" s="108">
        <f t="shared" si="9"/>
        <v>149.99454255319148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1.3034635143828692</v>
      </c>
      <c r="F14" s="107">
        <f t="shared" si="2"/>
        <v>0.4763336549949454</v>
      </c>
      <c r="G14" s="108">
        <f t="shared" si="3"/>
        <v>157.58873888888891</v>
      </c>
      <c r="H14" s="102">
        <f>H27*$B$34/$B$33</f>
        <v>1.4076090432864625</v>
      </c>
      <c r="I14" s="107">
        <f t="shared" si="4"/>
        <v>0.52074202738718867</v>
      </c>
      <c r="J14" s="108">
        <f t="shared" si="5"/>
        <v>158.71703626943005</v>
      </c>
      <c r="K14" s="102">
        <f>K27*$B$34/$B$33</f>
        <v>1.1784888796985569</v>
      </c>
      <c r="L14" s="107">
        <f t="shared" si="6"/>
        <v>0.35135902031063304</v>
      </c>
      <c r="M14" s="108">
        <f t="shared" si="7"/>
        <v>142.47930555555556</v>
      </c>
      <c r="N14" s="102">
        <f>N27*$B$34/$B$33</f>
        <v>0.58431123058542411</v>
      </c>
      <c r="O14" s="107">
        <f t="shared" si="8"/>
        <v>0.15236563734950836</v>
      </c>
      <c r="P14" s="108">
        <f t="shared" si="9"/>
        <v>135.27426595744683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1.2577837514934289</v>
      </c>
      <c r="F15" s="119">
        <f t="shared" si="2"/>
        <v>0.43065389210550509</v>
      </c>
      <c r="G15" s="120">
        <f t="shared" si="3"/>
        <v>152.06605555555558</v>
      </c>
      <c r="H15" s="118">
        <f>H28*$B$35/10/$B$33</f>
        <v>1.311688769414576</v>
      </c>
      <c r="I15" s="119">
        <f t="shared" si="4"/>
        <v>0.42482175351530216</v>
      </c>
      <c r="J15" s="120">
        <f t="shared" si="5"/>
        <v>147.90140414507775</v>
      </c>
      <c r="K15" s="118">
        <f>K28*$B$35/10/$B$33</f>
        <v>1.309121863799283</v>
      </c>
      <c r="L15" s="119">
        <f t="shared" si="6"/>
        <v>0.48199200441135914</v>
      </c>
      <c r="M15" s="120">
        <f t="shared" si="7"/>
        <v>158.27283333333332</v>
      </c>
      <c r="N15" s="118">
        <f>N28*$B$35/10/$B$33</f>
        <v>0.58268757467144572</v>
      </c>
      <c r="O15" s="119">
        <f t="shared" si="8"/>
        <v>0.15074198143552997</v>
      </c>
      <c r="P15" s="120">
        <f t="shared" si="9"/>
        <v>134.89837234042557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3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39" t="s">
        <v>214</v>
      </c>
      <c r="X19" s="339" t="s">
        <v>214</v>
      </c>
    </row>
    <row r="20" spans="1:24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1.93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46.65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47.08</v>
      </c>
      <c r="L21" s="144" t="s">
        <v>172</v>
      </c>
      <c r="M21" s="145" t="s">
        <v>172</v>
      </c>
      <c r="N21" s="143">
        <v>23.53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42.1</v>
      </c>
      <c r="C22" s="144" t="s">
        <v>172</v>
      </c>
      <c r="D22" s="145" t="s">
        <v>172</v>
      </c>
      <c r="E22" s="143">
        <v>45.26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47.53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42.86</v>
      </c>
      <c r="C23" s="144" t="s">
        <v>172</v>
      </c>
      <c r="D23" s="145" t="s">
        <v>172</v>
      </c>
      <c r="E23" s="143">
        <v>46.03</v>
      </c>
      <c r="F23" s="144" t="s">
        <v>172</v>
      </c>
      <c r="G23" s="145" t="s">
        <v>172</v>
      </c>
      <c r="H23" s="143">
        <v>50.8</v>
      </c>
      <c r="I23" s="144" t="s">
        <v>172</v>
      </c>
      <c r="J23" s="145" t="s">
        <v>172</v>
      </c>
      <c r="K23" s="143">
        <v>47.51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42.03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22.25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25.79</v>
      </c>
      <c r="C25" s="144" t="s">
        <v>172</v>
      </c>
      <c r="D25" s="145" t="s">
        <v>172</v>
      </c>
      <c r="E25" s="143">
        <v>27.44</v>
      </c>
      <c r="F25" s="144" t="s">
        <v>172</v>
      </c>
      <c r="G25" s="145" t="s">
        <v>172</v>
      </c>
      <c r="H25" s="143">
        <v>30.64</v>
      </c>
      <c r="I25" s="144" t="s">
        <v>172</v>
      </c>
      <c r="J25" s="145" t="s">
        <v>172</v>
      </c>
      <c r="K25" s="143">
        <v>26.14</v>
      </c>
      <c r="L25" s="144" t="s">
        <v>172</v>
      </c>
      <c r="M25" s="145" t="s">
        <v>172</v>
      </c>
      <c r="N25" s="143">
        <v>11.77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1.2170000000000001</v>
      </c>
      <c r="F26" s="144" t="s">
        <v>172</v>
      </c>
      <c r="G26" s="145" t="s">
        <v>172</v>
      </c>
      <c r="H26" s="153">
        <v>1.272</v>
      </c>
      <c r="I26" s="144" t="s">
        <v>172</v>
      </c>
      <c r="J26" s="145" t="s">
        <v>172</v>
      </c>
      <c r="K26" s="153">
        <v>1.157</v>
      </c>
      <c r="L26" s="144" t="s">
        <v>172</v>
      </c>
      <c r="M26" s="145" t="s">
        <v>172</v>
      </c>
      <c r="N26" s="153">
        <v>0.59099999999999997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1.1890000000000001</v>
      </c>
      <c r="F27" s="144" t="s">
        <v>172</v>
      </c>
      <c r="G27" s="145" t="s">
        <v>172</v>
      </c>
      <c r="H27" s="153">
        <v>1.284</v>
      </c>
      <c r="I27" s="144" t="s">
        <v>172</v>
      </c>
      <c r="J27" s="145" t="s">
        <v>172</v>
      </c>
      <c r="K27" s="153">
        <v>1.075</v>
      </c>
      <c r="L27" s="144" t="s">
        <v>172</v>
      </c>
      <c r="M27" s="145" t="s">
        <v>172</v>
      </c>
      <c r="N27" s="153">
        <v>0.53300000000000003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4.9000000000000004</v>
      </c>
      <c r="F28" s="158" t="s">
        <v>172</v>
      </c>
      <c r="G28" s="159" t="s">
        <v>172</v>
      </c>
      <c r="H28" s="234">
        <v>5.1100000000000003</v>
      </c>
      <c r="I28" s="158" t="s">
        <v>172</v>
      </c>
      <c r="J28" s="159" t="s">
        <v>172</v>
      </c>
      <c r="K28" s="234">
        <v>5.0999999999999996</v>
      </c>
      <c r="L28" s="158" t="s">
        <v>172</v>
      </c>
      <c r="M28" s="159" t="s">
        <v>172</v>
      </c>
      <c r="N28" s="234">
        <v>2.27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3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8.8689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2.1762000000000001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2.3856999999999999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5.5861000000000001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3.4268999999999998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6" workbookViewId="0">
      <selection activeCell="B36" sqref="B3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43878</v>
      </c>
      <c r="E2" s="493"/>
      <c r="F2" s="341"/>
      <c r="G2" s="341"/>
      <c r="H2" s="341"/>
      <c r="I2" s="341"/>
      <c r="J2" s="341"/>
      <c r="K2" s="341"/>
      <c r="L2" s="341"/>
      <c r="M2" s="341"/>
      <c r="N2" s="341"/>
      <c r="O2" s="341"/>
      <c r="P2" s="341"/>
      <c r="Q2" s="341"/>
      <c r="R2" s="34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0.77776767033566818</v>
      </c>
      <c r="C6" s="103" t="s">
        <v>172</v>
      </c>
      <c r="D6" s="104" t="s">
        <v>172</v>
      </c>
      <c r="E6" s="102">
        <f>E20/$B$33</f>
        <v>0.82325115982898212</v>
      </c>
      <c r="F6" s="103" t="s">
        <v>172</v>
      </c>
      <c r="G6" s="104" t="s">
        <v>172</v>
      </c>
      <c r="H6" s="102">
        <f>H20/$B$33</f>
        <v>0.88237969617029022</v>
      </c>
      <c r="I6" s="103" t="s">
        <v>172</v>
      </c>
      <c r="J6" s="104" t="s">
        <v>172</v>
      </c>
      <c r="K6" s="102">
        <f>K20/$B$33</f>
        <v>0.82325115982898212</v>
      </c>
      <c r="L6" s="103" t="s">
        <v>172</v>
      </c>
      <c r="M6" s="104" t="s">
        <v>172</v>
      </c>
      <c r="N6" s="102">
        <f>N20/$B$33</f>
        <v>0.43209315018648231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0.66871733375784592</v>
      </c>
      <c r="C7" s="107">
        <f t="shared" ref="C7:C12" si="0">B7-B$6</f>
        <v>-0.10905033657782226</v>
      </c>
      <c r="D7" s="108">
        <f t="shared" ref="D7:D12" si="1">B7/B$6*100</f>
        <v>85.979060233918119</v>
      </c>
      <c r="E7" s="102">
        <f>E21*$B$36/100/$B$33</f>
        <v>0.73522657600291108</v>
      </c>
      <c r="F7" s="107">
        <f t="shared" ref="F7:F15" si="2">E7-E$6</f>
        <v>-8.8024583826071034E-2</v>
      </c>
      <c r="G7" s="108">
        <f t="shared" ref="G7:G15" si="3">E7/E$6*100</f>
        <v>89.307687845303889</v>
      </c>
      <c r="H7" s="102">
        <f>H21*$B$36/100/$B$33</f>
        <v>0.81150731829345957</v>
      </c>
      <c r="I7" s="107">
        <f t="shared" ref="I7:I15" si="4">H7-H$6</f>
        <v>-7.087237787683065E-2</v>
      </c>
      <c r="J7" s="108">
        <f t="shared" ref="J7:J15" si="5">H7/H$6*100</f>
        <v>91.968040721649487</v>
      </c>
      <c r="K7" s="102">
        <f>K21*$B$36/100/$B$33</f>
        <v>0.74279160829618851</v>
      </c>
      <c r="L7" s="107">
        <f t="shared" ref="L7:L15" si="6">K7-K$6</f>
        <v>-8.0459551532793605E-2</v>
      </c>
      <c r="M7" s="108">
        <f t="shared" ref="M7:M15" si="7">K7/K$6*100</f>
        <v>90.226609392265189</v>
      </c>
      <c r="N7" s="102">
        <f>N21*$B$36/100/$B$33</f>
        <v>0.36233352588010553</v>
      </c>
      <c r="O7" s="107">
        <f t="shared" ref="O7:O15" si="8">N7-N$6</f>
        <v>-6.9759624306376777E-2</v>
      </c>
      <c r="P7" s="108">
        <f t="shared" ref="P7:P15" si="9">N7/N$6*100</f>
        <v>83.855420000000009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0.66635326116619675</v>
      </c>
      <c r="C8" s="107">
        <f t="shared" si="0"/>
        <v>-0.11141440916947143</v>
      </c>
      <c r="D8" s="108">
        <f t="shared" si="1"/>
        <v>85.675104093567256</v>
      </c>
      <c r="E8" s="102">
        <f>E22*$B$36/100/$B$33</f>
        <v>0.71568357591194398</v>
      </c>
      <c r="F8" s="107">
        <f t="shared" si="2"/>
        <v>-0.10756758391703813</v>
      </c>
      <c r="G8" s="108">
        <f t="shared" si="3"/>
        <v>86.93380718232045</v>
      </c>
      <c r="H8" s="102">
        <f>H22*$B$36/100/$B$33</f>
        <v>0.80772480214682074</v>
      </c>
      <c r="I8" s="107">
        <f t="shared" si="4"/>
        <v>-7.4654894023469476E-2</v>
      </c>
      <c r="J8" s="108">
        <f t="shared" si="5"/>
        <v>91.539368556701035</v>
      </c>
      <c r="K8" s="102">
        <f>K22*$B$36/100/$B$33</f>
        <v>0.74121555990175569</v>
      </c>
      <c r="L8" s="107">
        <f t="shared" si="6"/>
        <v>-8.2035599927226421E-2</v>
      </c>
      <c r="M8" s="108">
        <f t="shared" si="7"/>
        <v>90.035167403314915</v>
      </c>
      <c r="N8" s="102">
        <f>N22*$B$36/100/$B$33</f>
        <v>0.36721927590284725</v>
      </c>
      <c r="O8" s="107">
        <f t="shared" si="8"/>
        <v>-6.4873874283635058E-2</v>
      </c>
      <c r="P8" s="108">
        <f t="shared" si="9"/>
        <v>84.986136842105267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0.67565194669335027</v>
      </c>
      <c r="C9" s="107">
        <f t="shared" si="0"/>
        <v>-0.10211572364231791</v>
      </c>
      <c r="D9" s="108">
        <f t="shared" si="1"/>
        <v>86.870664912280688</v>
      </c>
      <c r="E9" s="102">
        <f>E23*$B$36/100/$B$33</f>
        <v>0.72577028563631396</v>
      </c>
      <c r="F9" s="107">
        <f t="shared" si="2"/>
        <v>-9.7480874192668154E-2</v>
      </c>
      <c r="G9" s="108">
        <f t="shared" si="3"/>
        <v>88.159035911602203</v>
      </c>
      <c r="H9" s="102">
        <f>H23*$B$36/100/$B$33</f>
        <v>0.80063258437187301</v>
      </c>
      <c r="I9" s="107">
        <f t="shared" si="4"/>
        <v>-8.1747111798417205E-2</v>
      </c>
      <c r="J9" s="108">
        <f t="shared" si="5"/>
        <v>90.735608247422675</v>
      </c>
      <c r="K9" s="102">
        <f>K23*$B$36/100/$B$33</f>
        <v>0.74925340671336316</v>
      </c>
      <c r="L9" s="107">
        <f t="shared" si="6"/>
        <v>-7.3997753115618958E-2</v>
      </c>
      <c r="M9" s="108">
        <f t="shared" si="7"/>
        <v>91.011521546961333</v>
      </c>
      <c r="N9" s="102">
        <f>N23*$B$36/100/$B$33</f>
        <v>0.37431149367779504</v>
      </c>
      <c r="O9" s="107">
        <f t="shared" si="8"/>
        <v>-5.7781656508687274E-2</v>
      </c>
      <c r="P9" s="108">
        <f t="shared" si="9"/>
        <v>86.627500000000012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0.66241314018011477</v>
      </c>
      <c r="C10" s="107">
        <f t="shared" si="0"/>
        <v>-0.11535453015555341</v>
      </c>
      <c r="D10" s="108">
        <f t="shared" si="1"/>
        <v>85.168510526315814</v>
      </c>
      <c r="E10" s="102">
        <f>E24*$B$36/100/$B$33</f>
        <v>0.71048261621031561</v>
      </c>
      <c r="F10" s="107">
        <f t="shared" si="2"/>
        <v>-0.11276854361866651</v>
      </c>
      <c r="G10" s="108">
        <f t="shared" si="3"/>
        <v>86.302048618784525</v>
      </c>
      <c r="H10" s="102">
        <f>H24*$B$36/100/$B$33</f>
        <v>0.82726780223778784</v>
      </c>
      <c r="I10" s="107">
        <f t="shared" si="4"/>
        <v>-5.5111893932502376E-2</v>
      </c>
      <c r="J10" s="108">
        <f t="shared" si="5"/>
        <v>93.754174742268063</v>
      </c>
      <c r="K10" s="102">
        <f>K24*$B$36/100/$B$33</f>
        <v>0.75587280996998096</v>
      </c>
      <c r="L10" s="107">
        <f t="shared" si="6"/>
        <v>-6.7378349859001152E-2</v>
      </c>
      <c r="M10" s="108">
        <f t="shared" si="7"/>
        <v>91.815577900552498</v>
      </c>
      <c r="N10" s="102">
        <f>N24*$B$36/100/$B$33</f>
        <v>0.35271963067406531</v>
      </c>
      <c r="O10" s="107">
        <f t="shared" si="8"/>
        <v>-7.9373519512417001E-2</v>
      </c>
      <c r="P10" s="108">
        <f t="shared" si="9"/>
        <v>81.630461052631574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0.6682839204493769</v>
      </c>
      <c r="C11" s="236">
        <f t="shared" si="0"/>
        <v>-0.10948374988629128</v>
      </c>
      <c r="D11" s="237">
        <f t="shared" si="1"/>
        <v>85.923334941520466</v>
      </c>
      <c r="E11" s="235">
        <f>AVERAGE(E7:E10)</f>
        <v>0.72179076344037107</v>
      </c>
      <c r="F11" s="236">
        <f t="shared" si="2"/>
        <v>-0.10146039638861104</v>
      </c>
      <c r="G11" s="237">
        <f t="shared" si="3"/>
        <v>87.675644889502749</v>
      </c>
      <c r="H11" s="235">
        <f>AVERAGE(H7:H10)</f>
        <v>0.81178312676248521</v>
      </c>
      <c r="I11" s="236">
        <f t="shared" si="4"/>
        <v>-7.059656940780501E-2</v>
      </c>
      <c r="J11" s="237">
        <f t="shared" si="5"/>
        <v>91.999298067010301</v>
      </c>
      <c r="K11" s="235">
        <f>AVERAGE(K7:K10)</f>
        <v>0.74728334622032211</v>
      </c>
      <c r="L11" s="236">
        <f t="shared" si="6"/>
        <v>-7.5967813608660006E-2</v>
      </c>
      <c r="M11" s="237">
        <f t="shared" si="7"/>
        <v>90.77221906077348</v>
      </c>
      <c r="N11" s="235">
        <f>AVERAGE(N7:N10)</f>
        <v>0.36414598153370326</v>
      </c>
      <c r="O11" s="236">
        <f t="shared" si="8"/>
        <v>-6.7947168652779055E-2</v>
      </c>
      <c r="P11" s="237">
        <f t="shared" si="9"/>
        <v>84.274879473684209</v>
      </c>
      <c r="Q11" s="109"/>
    </row>
    <row r="12" spans="1:19" s="96" customFormat="1" ht="15.75" x14ac:dyDescent="0.25">
      <c r="A12" s="110" t="s">
        <v>24</v>
      </c>
      <c r="B12" s="102">
        <f>B25*$B$32/100/$B$33</f>
        <v>1.0507123533157465</v>
      </c>
      <c r="C12" s="107">
        <f t="shared" si="0"/>
        <v>0.27294468298007835</v>
      </c>
      <c r="D12" s="108">
        <f t="shared" si="1"/>
        <v>135.09334385964914</v>
      </c>
      <c r="E12" s="102">
        <f>E25*$B$32/100/$B$33</f>
        <v>1.1222867643045575</v>
      </c>
      <c r="F12" s="107">
        <f t="shared" si="2"/>
        <v>0.29903560447557542</v>
      </c>
      <c r="G12" s="108">
        <f t="shared" si="3"/>
        <v>136.32373922651934</v>
      </c>
      <c r="H12" s="102">
        <f>H25*$B$32/100/$B$33</f>
        <v>1.2490757209133083</v>
      </c>
      <c r="I12" s="107">
        <f t="shared" si="4"/>
        <v>0.3666960247430181</v>
      </c>
      <c r="J12" s="108">
        <f t="shared" si="5"/>
        <v>141.55762268041235</v>
      </c>
      <c r="K12" s="102">
        <f>K25*$B$32/100/$B$33</f>
        <v>1.0691172018557267</v>
      </c>
      <c r="L12" s="107">
        <f t="shared" si="6"/>
        <v>0.24586604202674456</v>
      </c>
      <c r="M12" s="108">
        <f t="shared" si="7"/>
        <v>129.86525303867407</v>
      </c>
      <c r="N12" s="102">
        <f>N25*$B$32/100/$B$33</f>
        <v>0.46502917311016106</v>
      </c>
      <c r="O12" s="107">
        <f t="shared" si="8"/>
        <v>3.2936022923678754E-2</v>
      </c>
      <c r="P12" s="108">
        <f t="shared" si="9"/>
        <v>107.6224357894737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1.2106845265168744</v>
      </c>
      <c r="F13" s="107">
        <f t="shared" si="2"/>
        <v>0.3874333666878923</v>
      </c>
      <c r="G13" s="108">
        <f t="shared" si="3"/>
        <v>147.06138121546962</v>
      </c>
      <c r="H13" s="102">
        <f>H26*$B$34/$B$33</f>
        <v>1.3353297552988266</v>
      </c>
      <c r="I13" s="107">
        <f t="shared" si="4"/>
        <v>0.45295005912853636</v>
      </c>
      <c r="J13" s="108">
        <f t="shared" si="5"/>
        <v>151.33278350515465</v>
      </c>
      <c r="K13" s="102">
        <f>K26*$B$34/$B$33</f>
        <v>1.2106845265168744</v>
      </c>
      <c r="L13" s="107">
        <f t="shared" si="6"/>
        <v>0.3874333666878923</v>
      </c>
      <c r="M13" s="108">
        <f t="shared" si="7"/>
        <v>147.06138121546962</v>
      </c>
      <c r="N13" s="102">
        <f>N26*$B$34/$B$33</f>
        <v>0.64056808878377147</v>
      </c>
      <c r="O13" s="107">
        <f t="shared" si="8"/>
        <v>0.20847493859728916</v>
      </c>
      <c r="P13" s="108">
        <f t="shared" si="9"/>
        <v>148.24768421052633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1.2887232784499227</v>
      </c>
      <c r="F14" s="107">
        <f t="shared" si="2"/>
        <v>0.46547211862094062</v>
      </c>
      <c r="G14" s="108">
        <f t="shared" si="3"/>
        <v>156.54071823204421</v>
      </c>
      <c r="H14" s="102">
        <f>H27*$B$34/$B$33</f>
        <v>1.3808523605931047</v>
      </c>
      <c r="I14" s="107">
        <f t="shared" si="4"/>
        <v>0.49847266442281446</v>
      </c>
      <c r="J14" s="108">
        <f t="shared" si="5"/>
        <v>156.49185567010309</v>
      </c>
      <c r="K14" s="102">
        <f>K27*$B$34/$B$33</f>
        <v>1.1651619212225963</v>
      </c>
      <c r="L14" s="107">
        <f t="shared" si="6"/>
        <v>0.3419107613936142</v>
      </c>
      <c r="M14" s="108">
        <f t="shared" si="7"/>
        <v>141.53176795580112</v>
      </c>
      <c r="N14" s="102">
        <f>N27*$B$34/$B$33</f>
        <v>0.56686482306922592</v>
      </c>
      <c r="O14" s="107">
        <f t="shared" si="8"/>
        <v>0.13477167288274361</v>
      </c>
      <c r="P14" s="108">
        <f t="shared" si="9"/>
        <v>131.19042105263159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1.2506131629218593</v>
      </c>
      <c r="F15" s="119">
        <f t="shared" si="2"/>
        <v>0.4273620030928772</v>
      </c>
      <c r="G15" s="120">
        <f t="shared" si="3"/>
        <v>151.91149723756905</v>
      </c>
      <c r="H15" s="118">
        <f>H28*$B$35/10/$B$33</f>
        <v>1.3119929500591285</v>
      </c>
      <c r="I15" s="119">
        <f t="shared" si="4"/>
        <v>0.42961325388883831</v>
      </c>
      <c r="J15" s="120">
        <f t="shared" si="5"/>
        <v>148.68802577319587</v>
      </c>
      <c r="K15" s="118">
        <f>K28*$B$35/10/$B$33</f>
        <v>1.2940905121440915</v>
      </c>
      <c r="L15" s="119">
        <f t="shared" si="6"/>
        <v>0.47083935231510943</v>
      </c>
      <c r="M15" s="120">
        <f t="shared" si="7"/>
        <v>157.19267403314913</v>
      </c>
      <c r="N15" s="118">
        <f>N28*$B$35/10/$B$33</f>
        <v>0.56776303101973991</v>
      </c>
      <c r="O15" s="119">
        <f t="shared" si="8"/>
        <v>0.13566988083325759</v>
      </c>
      <c r="P15" s="120">
        <f t="shared" si="9"/>
        <v>131.39829473684213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4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43" t="s">
        <v>214</v>
      </c>
      <c r="X19" s="343" t="s">
        <v>214</v>
      </c>
    </row>
    <row r="20" spans="1:24" s="141" customFormat="1" ht="15.75" x14ac:dyDescent="0.25">
      <c r="A20" s="133" t="s">
        <v>185</v>
      </c>
      <c r="B20" s="134">
        <v>1.71</v>
      </c>
      <c r="C20" s="135" t="s">
        <v>172</v>
      </c>
      <c r="D20" s="136" t="s">
        <v>172</v>
      </c>
      <c r="E20" s="134">
        <v>1.81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1.81</v>
      </c>
      <c r="L20" s="135" t="s">
        <v>172</v>
      </c>
      <c r="M20" s="136" t="s">
        <v>172</v>
      </c>
      <c r="N20" s="143">
        <v>0.95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42.43</v>
      </c>
      <c r="C21" s="144" t="s">
        <v>172</v>
      </c>
      <c r="D21" s="145" t="s">
        <v>172</v>
      </c>
      <c r="E21" s="143">
        <v>46.65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47.13</v>
      </c>
      <c r="L21" s="144" t="s">
        <v>172</v>
      </c>
      <c r="M21" s="145" t="s">
        <v>172</v>
      </c>
      <c r="N21" s="143">
        <v>22.99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42.28</v>
      </c>
      <c r="C22" s="144" t="s">
        <v>172</v>
      </c>
      <c r="D22" s="145" t="s">
        <v>172</v>
      </c>
      <c r="E22" s="143">
        <v>45.41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47.03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42.87</v>
      </c>
      <c r="C23" s="144" t="s">
        <v>172</v>
      </c>
      <c r="D23" s="145" t="s">
        <v>172</v>
      </c>
      <c r="E23" s="143">
        <v>46.05</v>
      </c>
      <c r="F23" s="144" t="s">
        <v>172</v>
      </c>
      <c r="G23" s="145" t="s">
        <v>172</v>
      </c>
      <c r="H23" s="143">
        <v>50.8</v>
      </c>
      <c r="I23" s="144" t="s">
        <v>172</v>
      </c>
      <c r="J23" s="145" t="s">
        <v>172</v>
      </c>
      <c r="K23" s="143">
        <v>47.54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42.03</v>
      </c>
      <c r="C24" s="144" t="s">
        <v>172</v>
      </c>
      <c r="D24" s="145" t="s">
        <v>172</v>
      </c>
      <c r="E24" s="143">
        <v>45.08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47.96</v>
      </c>
      <c r="L24" s="144" t="s">
        <v>172</v>
      </c>
      <c r="M24" s="145" t="s">
        <v>172</v>
      </c>
      <c r="N24" s="143">
        <v>22.38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25.69</v>
      </c>
      <c r="C25" s="144" t="s">
        <v>172</v>
      </c>
      <c r="D25" s="145" t="s">
        <v>172</v>
      </c>
      <c r="E25" s="143">
        <v>27.44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26.14</v>
      </c>
      <c r="L25" s="144" t="s">
        <v>172</v>
      </c>
      <c r="M25" s="145" t="s">
        <v>172</v>
      </c>
      <c r="N25" s="143">
        <v>11.37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1.117</v>
      </c>
      <c r="F26" s="144" t="s">
        <v>172</v>
      </c>
      <c r="G26" s="145" t="s">
        <v>172</v>
      </c>
      <c r="H26" s="153">
        <v>1.232</v>
      </c>
      <c r="I26" s="144" t="s">
        <v>172</v>
      </c>
      <c r="J26" s="145" t="s">
        <v>172</v>
      </c>
      <c r="K26" s="153">
        <v>1.117</v>
      </c>
      <c r="L26" s="144" t="s">
        <v>172</v>
      </c>
      <c r="M26" s="145" t="s">
        <v>172</v>
      </c>
      <c r="N26" s="153">
        <v>0.59099999999999997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1.1890000000000001</v>
      </c>
      <c r="F27" s="144" t="s">
        <v>172</v>
      </c>
      <c r="G27" s="145" t="s">
        <v>172</v>
      </c>
      <c r="H27" s="153">
        <v>1.274</v>
      </c>
      <c r="I27" s="144" t="s">
        <v>172</v>
      </c>
      <c r="J27" s="145" t="s">
        <v>172</v>
      </c>
      <c r="K27" s="153">
        <v>1.075</v>
      </c>
      <c r="L27" s="144" t="s">
        <v>172</v>
      </c>
      <c r="M27" s="145" t="s">
        <v>172</v>
      </c>
      <c r="N27" s="153">
        <v>0.52300000000000002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4.8899999999999997</v>
      </c>
      <c r="F28" s="158" t="s">
        <v>172</v>
      </c>
      <c r="G28" s="159" t="s">
        <v>172</v>
      </c>
      <c r="H28" s="234">
        <v>5.13</v>
      </c>
      <c r="I28" s="158" t="s">
        <v>172</v>
      </c>
      <c r="J28" s="159" t="s">
        <v>172</v>
      </c>
      <c r="K28" s="234">
        <v>5.0599999999999996</v>
      </c>
      <c r="L28" s="158" t="s">
        <v>172</v>
      </c>
      <c r="M28" s="159" t="s">
        <v>172</v>
      </c>
      <c r="N28" s="234">
        <v>2.2200000000000002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4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8.9922000000000004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2.1985999999999999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2.383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5.6228999999999996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3.4651000000000001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E24" sqref="E24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43885</v>
      </c>
      <c r="E2" s="493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0.77757685352622052</v>
      </c>
      <c r="C6" s="103" t="s">
        <v>172</v>
      </c>
      <c r="D6" s="104" t="s">
        <v>172</v>
      </c>
      <c r="E6" s="102">
        <f>E20/$B$33</f>
        <v>0.82278481012658222</v>
      </c>
      <c r="F6" s="103" t="s">
        <v>172</v>
      </c>
      <c r="G6" s="104" t="s">
        <v>172</v>
      </c>
      <c r="H6" s="102">
        <f>H20/$B$33</f>
        <v>0.8815551537070524</v>
      </c>
      <c r="I6" s="103" t="s">
        <v>172</v>
      </c>
      <c r="J6" s="104" t="s">
        <v>172</v>
      </c>
      <c r="K6" s="102">
        <f>K20/$B$33</f>
        <v>0.82278481012658222</v>
      </c>
      <c r="L6" s="103" t="s">
        <v>172</v>
      </c>
      <c r="M6" s="104" t="s">
        <v>172</v>
      </c>
      <c r="N6" s="102">
        <f>N20/$B$33</f>
        <v>0.42947558770343575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0.66002641952983709</v>
      </c>
      <c r="C7" s="107">
        <f t="shared" ref="C7:C12" si="0">B7-B$6</f>
        <v>-0.11755043399638343</v>
      </c>
      <c r="D7" s="108">
        <f t="shared" ref="D7:D12" si="1">B7/B$6*100</f>
        <v>84.882467441860456</v>
      </c>
      <c r="E7" s="102">
        <f>E21*$B$36/100/$B$33</f>
        <v>0.72518925406871604</v>
      </c>
      <c r="F7" s="107">
        <f t="shared" ref="F7:F15" si="2">E7-E$6</f>
        <v>-9.7595556057866184E-2</v>
      </c>
      <c r="G7" s="108">
        <f t="shared" ref="G7:G15" si="3">E7/E$6*100</f>
        <v>88.138386263736265</v>
      </c>
      <c r="H7" s="102">
        <f>H21*$B$36/100/$B$33</f>
        <v>0.80077192133815545</v>
      </c>
      <c r="I7" s="107">
        <f t="shared" ref="I7:I15" si="4">H7-H$6</f>
        <v>-8.0783232368896951E-2</v>
      </c>
      <c r="J7" s="108">
        <f t="shared" ref="J7:J15" si="5">H7/H$6*100</f>
        <v>90.836281538461535</v>
      </c>
      <c r="K7" s="102">
        <f>K21*$B$36/100/$B$33</f>
        <v>0.73296524864376134</v>
      </c>
      <c r="L7" s="107">
        <f t="shared" ref="L7:L15" si="6">K7-K$6</f>
        <v>-8.9819561482820887E-2</v>
      </c>
      <c r="M7" s="108">
        <f t="shared" ref="M7:M15" si="7">K7/K$6*100</f>
        <v>89.083468681318692</v>
      </c>
      <c r="N7" s="102">
        <f>N21*$B$36/100/$B$33</f>
        <v>0.35536295207956603</v>
      </c>
      <c r="O7" s="107">
        <f t="shared" ref="O7:O15" si="8">N7-N$6</f>
        <v>-7.4112635623869716E-2</v>
      </c>
      <c r="P7" s="108">
        <f t="shared" ref="P7:P15" si="9">N7/N$6*100</f>
        <v>82.743457894736864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0.65738258137432193</v>
      </c>
      <c r="C8" s="107">
        <f t="shared" si="0"/>
        <v>-0.1201942721518986</v>
      </c>
      <c r="D8" s="108">
        <f t="shared" si="1"/>
        <v>84.542457558139546</v>
      </c>
      <c r="E8" s="102">
        <f>E22*$B$36/100/$B$33</f>
        <v>0.70979278481012653</v>
      </c>
      <c r="F8" s="107">
        <f t="shared" si="2"/>
        <v>-0.11299202531645569</v>
      </c>
      <c r="G8" s="108">
        <f t="shared" si="3"/>
        <v>86.267123076923085</v>
      </c>
      <c r="H8" s="102">
        <f>H22*$B$36/100/$B$33</f>
        <v>0.79703944394213377</v>
      </c>
      <c r="I8" s="107">
        <f t="shared" si="4"/>
        <v>-8.4515709764918623E-2</v>
      </c>
      <c r="J8" s="108">
        <f t="shared" si="5"/>
        <v>90.412884615384613</v>
      </c>
      <c r="K8" s="102">
        <f>K22*$B$36/100/$B$33</f>
        <v>0.73187660940325494</v>
      </c>
      <c r="L8" s="107">
        <f t="shared" si="6"/>
        <v>-9.0908200723327282E-2</v>
      </c>
      <c r="M8" s="108">
        <f t="shared" si="7"/>
        <v>88.951157142857141</v>
      </c>
      <c r="N8" s="102">
        <f>N22*$B$36/100/$B$33</f>
        <v>0.35614055153707047</v>
      </c>
      <c r="O8" s="107">
        <f t="shared" si="8"/>
        <v>-7.3335036166365275E-2</v>
      </c>
      <c r="P8" s="108">
        <f t="shared" si="9"/>
        <v>82.924515789473688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0.66733585443037968</v>
      </c>
      <c r="C9" s="107">
        <f t="shared" si="0"/>
        <v>-0.11024099909584084</v>
      </c>
      <c r="D9" s="108">
        <f t="shared" si="1"/>
        <v>85.822494767441853</v>
      </c>
      <c r="E9" s="102">
        <f>E23*$B$36/100/$B$33</f>
        <v>0.71632462025316457</v>
      </c>
      <c r="F9" s="107">
        <f t="shared" si="2"/>
        <v>-0.10646018987341765</v>
      </c>
      <c r="G9" s="108">
        <f t="shared" si="3"/>
        <v>87.060992307692317</v>
      </c>
      <c r="H9" s="102">
        <f>H23*$B$36/100/$B$33</f>
        <v>0.79315144665461113</v>
      </c>
      <c r="I9" s="107">
        <f t="shared" si="4"/>
        <v>-8.8403707052441272E-2</v>
      </c>
      <c r="J9" s="108">
        <f t="shared" si="5"/>
        <v>89.971846153846144</v>
      </c>
      <c r="K9" s="102">
        <f>K23*$B$36/100/$B$33</f>
        <v>0.73685324593128387</v>
      </c>
      <c r="L9" s="107">
        <f t="shared" si="6"/>
        <v>-8.5931564195298349E-2</v>
      </c>
      <c r="M9" s="108">
        <f t="shared" si="7"/>
        <v>89.556009890109891</v>
      </c>
      <c r="N9" s="102">
        <f>N23*$B$36/100/$B$33</f>
        <v>0.36935974231464735</v>
      </c>
      <c r="O9" s="107">
        <f t="shared" si="8"/>
        <v>-6.0115845388788391E-2</v>
      </c>
      <c r="P9" s="108">
        <f t="shared" si="9"/>
        <v>86.002499999999998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0.65333906419529819</v>
      </c>
      <c r="C10" s="107">
        <f t="shared" si="0"/>
        <v>-0.12423778933092233</v>
      </c>
      <c r="D10" s="108">
        <f t="shared" si="1"/>
        <v>84.022442441860463</v>
      </c>
      <c r="E10" s="102">
        <f>E24*$B$36/100/$B$33</f>
        <v>0.69999503164556953</v>
      </c>
      <c r="F10" s="107">
        <f t="shared" si="2"/>
        <v>-0.12278977848101269</v>
      </c>
      <c r="G10" s="108">
        <f t="shared" si="3"/>
        <v>85.076319230769229</v>
      </c>
      <c r="H10" s="102">
        <f>H24*$B$36/100/$B$33</f>
        <v>0.81632391048824582</v>
      </c>
      <c r="I10" s="107">
        <f t="shared" si="4"/>
        <v>-6.5231243218806578E-2</v>
      </c>
      <c r="J10" s="108">
        <f t="shared" si="5"/>
        <v>92.60043538461538</v>
      </c>
      <c r="K10" s="102">
        <f>K24*$B$36/100/$B$33</f>
        <v>0.74509580018083177</v>
      </c>
      <c r="L10" s="107">
        <f t="shared" si="6"/>
        <v>-7.7689009945750453E-2</v>
      </c>
      <c r="M10" s="108">
        <f t="shared" si="7"/>
        <v>90.55779725274725</v>
      </c>
      <c r="N10" s="102">
        <f>N24*$B$36/100/$B$33</f>
        <v>0.34603175858951168</v>
      </c>
      <c r="O10" s="107">
        <f t="shared" si="8"/>
        <v>-8.3443829113924062E-2</v>
      </c>
      <c r="P10" s="108">
        <f t="shared" si="9"/>
        <v>80.570763157894731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0.65952097988245928</v>
      </c>
      <c r="C11" s="236">
        <f t="shared" si="0"/>
        <v>-0.11805587364376124</v>
      </c>
      <c r="D11" s="237">
        <f t="shared" si="1"/>
        <v>84.817465552325586</v>
      </c>
      <c r="E11" s="235">
        <f>AVERAGE(E7:E10)</f>
        <v>0.7128254226943942</v>
      </c>
      <c r="F11" s="236">
        <f t="shared" si="2"/>
        <v>-0.10995938743218803</v>
      </c>
      <c r="G11" s="237">
        <f t="shared" si="3"/>
        <v>86.63570521978022</v>
      </c>
      <c r="H11" s="235">
        <f>AVERAGE(H7:H10)</f>
        <v>0.80182168060578651</v>
      </c>
      <c r="I11" s="236">
        <f t="shared" si="4"/>
        <v>-7.9733473101265884E-2</v>
      </c>
      <c r="J11" s="237">
        <f t="shared" si="5"/>
        <v>90.955361923076921</v>
      </c>
      <c r="K11" s="235">
        <f>AVERAGE(K7:K10)</f>
        <v>0.73669772603978301</v>
      </c>
      <c r="L11" s="236">
        <f t="shared" si="6"/>
        <v>-8.6087084086799215E-2</v>
      </c>
      <c r="M11" s="237">
        <f t="shared" si="7"/>
        <v>89.537108241758247</v>
      </c>
      <c r="N11" s="235">
        <f>AVERAGE(N7:N10)</f>
        <v>0.35672375113019889</v>
      </c>
      <c r="O11" s="236">
        <f t="shared" si="8"/>
        <v>-7.2751836573236861E-2</v>
      </c>
      <c r="P11" s="237">
        <f t="shared" si="9"/>
        <v>83.060309210526313</v>
      </c>
      <c r="Q11" s="109"/>
    </row>
    <row r="12" spans="1:19" s="96" customFormat="1" ht="15.75" x14ac:dyDescent="0.25">
      <c r="A12" s="110" t="s">
        <v>24</v>
      </c>
      <c r="B12" s="102">
        <f>B25*$B$32/100/$B$33</f>
        <v>1.0496548417721518</v>
      </c>
      <c r="C12" s="107">
        <f t="shared" si="0"/>
        <v>0.27207798824593132</v>
      </c>
      <c r="D12" s="108">
        <f t="shared" si="1"/>
        <v>134.99049476744187</v>
      </c>
      <c r="E12" s="102">
        <f>E25*$B$32/100/$B$33</f>
        <v>1.1211572151898734</v>
      </c>
      <c r="F12" s="107">
        <f t="shared" si="2"/>
        <v>0.29837240506329121</v>
      </c>
      <c r="G12" s="108">
        <f t="shared" si="3"/>
        <v>136.2637230769231</v>
      </c>
      <c r="H12" s="102">
        <f>H25*$B$32/100/$B$33</f>
        <v>1.24781856238698</v>
      </c>
      <c r="I12" s="107">
        <f t="shared" si="4"/>
        <v>0.36626340867992757</v>
      </c>
      <c r="J12" s="108">
        <f t="shared" si="5"/>
        <v>141.54741846153846</v>
      </c>
      <c r="K12" s="102">
        <f>K25*$B$32/100/$B$33</f>
        <v>1.0680411663652802</v>
      </c>
      <c r="L12" s="107">
        <f t="shared" si="6"/>
        <v>0.24525635623869801</v>
      </c>
      <c r="M12" s="108">
        <f t="shared" si="7"/>
        <v>129.80808021978024</v>
      </c>
      <c r="N12" s="102">
        <f>N25*$B$32/100/$B$33</f>
        <v>0.4441318851717902</v>
      </c>
      <c r="O12" s="107">
        <f t="shared" si="8"/>
        <v>1.4656297468354451E-2</v>
      </c>
      <c r="P12" s="108">
        <f t="shared" si="9"/>
        <v>103.41260315789474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1.3000696202531645</v>
      </c>
      <c r="F13" s="107">
        <f t="shared" si="2"/>
        <v>0.4772848101265823</v>
      </c>
      <c r="G13" s="108">
        <f t="shared" si="3"/>
        <v>158.00846153846155</v>
      </c>
      <c r="H13" s="102">
        <f>H26*$B$34/$B$33</f>
        <v>1.3594581826401444</v>
      </c>
      <c r="I13" s="107">
        <f t="shared" si="4"/>
        <v>0.477903028933092</v>
      </c>
      <c r="J13" s="108">
        <f t="shared" si="5"/>
        <v>154.21135897435897</v>
      </c>
      <c r="K13" s="102">
        <f>K26*$B$34/$B$33</f>
        <v>1.2244841772151895</v>
      </c>
      <c r="L13" s="107">
        <f t="shared" si="6"/>
        <v>0.40169936708860732</v>
      </c>
      <c r="M13" s="108">
        <f t="shared" si="7"/>
        <v>148.82192307692307</v>
      </c>
      <c r="N13" s="102">
        <f>N26*$B$34/$B$33</f>
        <v>0.59712500000000002</v>
      </c>
      <c r="O13" s="107">
        <f t="shared" si="8"/>
        <v>0.16764941229656427</v>
      </c>
      <c r="P13" s="108">
        <f t="shared" si="9"/>
        <v>139.03584210526319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1.2838727396021701</v>
      </c>
      <c r="F14" s="107">
        <f t="shared" si="2"/>
        <v>0.46108792947558785</v>
      </c>
      <c r="G14" s="108">
        <f t="shared" si="3"/>
        <v>156.03991758241759</v>
      </c>
      <c r="H14" s="102">
        <f>H27*$B$34/$B$33</f>
        <v>1.3756550632911393</v>
      </c>
      <c r="I14" s="107">
        <f t="shared" si="4"/>
        <v>0.49409990958408689</v>
      </c>
      <c r="J14" s="108">
        <f t="shared" si="5"/>
        <v>156.04866666666669</v>
      </c>
      <c r="K14" s="102">
        <f>K27*$B$34/$B$33</f>
        <v>1.1607764466546111</v>
      </c>
      <c r="L14" s="107">
        <f t="shared" si="6"/>
        <v>0.33799163652802888</v>
      </c>
      <c r="M14" s="108">
        <f t="shared" si="7"/>
        <v>141.0789835164835</v>
      </c>
      <c r="N14" s="102">
        <f>N27*$B$34/$B$33</f>
        <v>0.56473123869801078</v>
      </c>
      <c r="O14" s="107">
        <f t="shared" si="8"/>
        <v>0.13525565099457504</v>
      </c>
      <c r="P14" s="108">
        <f t="shared" si="9"/>
        <v>131.49321052631581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1.2241207052441228</v>
      </c>
      <c r="F15" s="119">
        <f t="shared" si="2"/>
        <v>0.40133589511754053</v>
      </c>
      <c r="G15" s="120">
        <f t="shared" si="3"/>
        <v>148.77774725274725</v>
      </c>
      <c r="H15" s="118">
        <f>H28*$B$35/10/$B$33</f>
        <v>1.3023634719710668</v>
      </c>
      <c r="I15" s="119">
        <f t="shared" si="4"/>
        <v>0.42080831826401444</v>
      </c>
      <c r="J15" s="120">
        <f t="shared" si="5"/>
        <v>147.73476923076922</v>
      </c>
      <c r="K15" s="118">
        <f>K28*$B$35/10/$B$33</f>
        <v>1.2720759493670886</v>
      </c>
      <c r="L15" s="119">
        <f t="shared" si="6"/>
        <v>0.44929113924050634</v>
      </c>
      <c r="M15" s="120">
        <f t="shared" si="7"/>
        <v>154.60615384615386</v>
      </c>
      <c r="N15" s="118">
        <f>N28*$B$35/10/$B$33</f>
        <v>0.54769936708860756</v>
      </c>
      <c r="O15" s="119">
        <f t="shared" si="8"/>
        <v>0.11822377938517181</v>
      </c>
      <c r="P15" s="120">
        <f t="shared" si="9"/>
        <v>127.52747368421053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4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45" t="s">
        <v>214</v>
      </c>
      <c r="X19" s="345" t="s">
        <v>214</v>
      </c>
    </row>
    <row r="20" spans="1:24" s="141" customFormat="1" ht="15.75" x14ac:dyDescent="0.25">
      <c r="A20" s="133" t="s">
        <v>185</v>
      </c>
      <c r="B20" s="134">
        <v>1.72</v>
      </c>
      <c r="C20" s="135" t="s">
        <v>172</v>
      </c>
      <c r="D20" s="136" t="s">
        <v>172</v>
      </c>
      <c r="E20" s="134">
        <v>1.82</v>
      </c>
      <c r="F20" s="135" t="s">
        <v>172</v>
      </c>
      <c r="G20" s="136" t="s">
        <v>172</v>
      </c>
      <c r="H20" s="134">
        <v>1.95</v>
      </c>
      <c r="I20" s="135" t="s">
        <v>172</v>
      </c>
      <c r="J20" s="136" t="s">
        <v>172</v>
      </c>
      <c r="K20" s="134">
        <v>1.82</v>
      </c>
      <c r="L20" s="135" t="s">
        <v>172</v>
      </c>
      <c r="M20" s="136" t="s">
        <v>172</v>
      </c>
      <c r="N20" s="143">
        <v>0.95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42.44</v>
      </c>
      <c r="C21" s="144" t="s">
        <v>172</v>
      </c>
      <c r="D21" s="145" t="s">
        <v>172</v>
      </c>
      <c r="E21" s="143">
        <v>46.63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47.13</v>
      </c>
      <c r="L21" s="144" t="s">
        <v>172</v>
      </c>
      <c r="M21" s="145" t="s">
        <v>172</v>
      </c>
      <c r="N21" s="143">
        <v>22.85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42.27</v>
      </c>
      <c r="C22" s="144" t="s">
        <v>172</v>
      </c>
      <c r="D22" s="145" t="s">
        <v>172</v>
      </c>
      <c r="E22" s="143">
        <v>45.64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47.06</v>
      </c>
      <c r="L22" s="144" t="s">
        <v>172</v>
      </c>
      <c r="M22" s="145" t="s">
        <v>172</v>
      </c>
      <c r="N22" s="143">
        <v>22.9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47.38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42.01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22.25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25.69</v>
      </c>
      <c r="C25" s="144" t="s">
        <v>172</v>
      </c>
      <c r="D25" s="145" t="s">
        <v>172</v>
      </c>
      <c r="E25" s="143">
        <v>27.44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26.14</v>
      </c>
      <c r="L25" s="144" t="s">
        <v>172</v>
      </c>
      <c r="M25" s="145" t="s">
        <v>172</v>
      </c>
      <c r="N25" s="143">
        <v>10.87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1.204</v>
      </c>
      <c r="F26" s="144" t="s">
        <v>172</v>
      </c>
      <c r="G26" s="145" t="s">
        <v>172</v>
      </c>
      <c r="H26" s="153">
        <v>1.2589999999999999</v>
      </c>
      <c r="I26" s="144" t="s">
        <v>172</v>
      </c>
      <c r="J26" s="145" t="s">
        <v>172</v>
      </c>
      <c r="K26" s="153">
        <v>1.1339999999999999</v>
      </c>
      <c r="L26" s="144" t="s">
        <v>172</v>
      </c>
      <c r="M26" s="145" t="s">
        <v>172</v>
      </c>
      <c r="N26" s="153">
        <v>0.55300000000000005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1.1890000000000001</v>
      </c>
      <c r="F27" s="144" t="s">
        <v>172</v>
      </c>
      <c r="G27" s="145" t="s">
        <v>172</v>
      </c>
      <c r="H27" s="153">
        <v>1.274</v>
      </c>
      <c r="I27" s="144" t="s">
        <v>172</v>
      </c>
      <c r="J27" s="145" t="s">
        <v>172</v>
      </c>
      <c r="K27" s="153">
        <v>1.075</v>
      </c>
      <c r="L27" s="144" t="s">
        <v>172</v>
      </c>
      <c r="M27" s="145" t="s">
        <v>172</v>
      </c>
      <c r="N27" s="153">
        <v>0.52300000000000002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4.8499999999999996</v>
      </c>
      <c r="F28" s="158" t="s">
        <v>172</v>
      </c>
      <c r="G28" s="159" t="s">
        <v>172</v>
      </c>
      <c r="H28" s="234">
        <v>5.16</v>
      </c>
      <c r="I28" s="158" t="s">
        <v>172</v>
      </c>
      <c r="J28" s="159" t="s">
        <v>172</v>
      </c>
      <c r="K28" s="234">
        <v>5.04</v>
      </c>
      <c r="L28" s="158" t="s">
        <v>172</v>
      </c>
      <c r="M28" s="159" t="s">
        <v>172</v>
      </c>
      <c r="N28" s="234">
        <v>2.17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4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9.0379000000000005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2.2120000000000002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2.3885000000000001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5.5830000000000002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3.4401000000000002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B20" sqref="B20:P2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43892</v>
      </c>
      <c r="E2" s="493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  <c r="R2" s="347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0.77263186101558656</v>
      </c>
      <c r="C6" s="103" t="s">
        <v>172</v>
      </c>
      <c r="D6" s="104" t="s">
        <v>172</v>
      </c>
      <c r="E6" s="102">
        <f>E20/$B$33</f>
        <v>0.81729266223036046</v>
      </c>
      <c r="F6" s="103" t="s">
        <v>172</v>
      </c>
      <c r="G6" s="104" t="s">
        <v>172</v>
      </c>
      <c r="H6" s="102">
        <f>H20/$B$33</f>
        <v>0.87535170380956628</v>
      </c>
      <c r="I6" s="103" t="s">
        <v>172</v>
      </c>
      <c r="J6" s="104" t="s">
        <v>172</v>
      </c>
      <c r="K6" s="102">
        <f>K20/$B$33</f>
        <v>0.81729266223036046</v>
      </c>
      <c r="L6" s="103" t="s">
        <v>172</v>
      </c>
      <c r="M6" s="104" t="s">
        <v>172</v>
      </c>
      <c r="N6" s="102">
        <f>N20/$B$33</f>
        <v>0.42874369166182841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0.63317879505158314</v>
      </c>
      <c r="C7" s="107">
        <f t="shared" ref="C7:C12" si="0">B7-B$6</f>
        <v>-0.13945306596400342</v>
      </c>
      <c r="D7" s="108">
        <f t="shared" ref="D7:D12" si="1">B7/B$6*100</f>
        <v>81.950904046242769</v>
      </c>
      <c r="E7" s="102">
        <f>E21*$B$36/100/$B$33</f>
        <v>0.69613860926265003</v>
      </c>
      <c r="F7" s="107">
        <f t="shared" ref="F7:F15" si="2">E7-E$6</f>
        <v>-0.12115405296771042</v>
      </c>
      <c r="G7" s="108">
        <f t="shared" ref="G7:G15" si="3">E7/E$6*100</f>
        <v>85.176172677595602</v>
      </c>
      <c r="H7" s="102">
        <f>H21*$B$36/100/$B$33</f>
        <v>0.76819924969853959</v>
      </c>
      <c r="I7" s="107">
        <f t="shared" ref="I7:I15" si="4">H7-H$6</f>
        <v>-0.1071524541110267</v>
      </c>
      <c r="J7" s="108">
        <f t="shared" ref="J7:J15" si="5">H7/H$6*100</f>
        <v>87.758925510204094</v>
      </c>
      <c r="K7" s="102">
        <f>K21*$B$36/100/$B$33</f>
        <v>0.70300152739940147</v>
      </c>
      <c r="L7" s="107">
        <f t="shared" ref="L7:L15" si="6">K7-K$6</f>
        <v>-0.11429113483095898</v>
      </c>
      <c r="M7" s="108">
        <f t="shared" ref="M7:M15" si="7">K7/K$6*100</f>
        <v>86.015886338797799</v>
      </c>
      <c r="N7" s="102">
        <f>N21*$B$36/100/$B$33</f>
        <v>0.33270233575990354</v>
      </c>
      <c r="O7" s="107">
        <f t="shared" ref="O7:O15" si="8">N7-N$6</f>
        <v>-9.6041355901924863E-2</v>
      </c>
      <c r="P7" s="108">
        <f t="shared" ref="P7:P15" si="9">N7/N$6*100</f>
        <v>77.599354166666672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0.63094088696351203</v>
      </c>
      <c r="C8" s="107">
        <f t="shared" si="0"/>
        <v>-0.14169097405207454</v>
      </c>
      <c r="D8" s="108">
        <f t="shared" si="1"/>
        <v>81.661256647398844</v>
      </c>
      <c r="E8" s="102">
        <f>E22*$B$36/100/$B$33</f>
        <v>0.67987647715600019</v>
      </c>
      <c r="F8" s="107">
        <f t="shared" si="2"/>
        <v>-0.13741618507436026</v>
      </c>
      <c r="G8" s="108">
        <f t="shared" si="3"/>
        <v>83.186416393442613</v>
      </c>
      <c r="H8" s="102">
        <f>H22*$B$36/100/$B$33</f>
        <v>0.76461859675762578</v>
      </c>
      <c r="I8" s="107">
        <f t="shared" si="4"/>
        <v>-0.1107331070519405</v>
      </c>
      <c r="J8" s="108">
        <f t="shared" si="5"/>
        <v>87.349872448979596</v>
      </c>
      <c r="K8" s="102">
        <f>K22*$B$36/100/$B$33</f>
        <v>0.70195717029163485</v>
      </c>
      <c r="L8" s="107">
        <f t="shared" si="6"/>
        <v>-0.11533549193872561</v>
      </c>
      <c r="M8" s="108">
        <f t="shared" si="7"/>
        <v>85.888103825136582</v>
      </c>
      <c r="N8" s="102">
        <f>N22*$B$36/100/$B$33</f>
        <v>0.3476217230137108</v>
      </c>
      <c r="O8" s="107">
        <f t="shared" si="8"/>
        <v>-8.1121968648117604E-2</v>
      </c>
      <c r="P8" s="108">
        <f t="shared" si="9"/>
        <v>81.079145833333328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0.64019090706087245</v>
      </c>
      <c r="C9" s="107">
        <f t="shared" si="0"/>
        <v>-0.13244095395471411</v>
      </c>
      <c r="D9" s="108">
        <f t="shared" si="1"/>
        <v>82.858465895953742</v>
      </c>
      <c r="E9" s="102">
        <f>E23*$B$36/100/$B$33</f>
        <v>0.68718697691036568</v>
      </c>
      <c r="F9" s="107">
        <f t="shared" si="2"/>
        <v>-0.13010568531999478</v>
      </c>
      <c r="G9" s="108">
        <f t="shared" si="3"/>
        <v>84.080893989071029</v>
      </c>
      <c r="H9" s="102">
        <f>H23*$B$36/100/$B$33</f>
        <v>0.76088874994417399</v>
      </c>
      <c r="I9" s="107">
        <f t="shared" si="4"/>
        <v>-0.11446295386539229</v>
      </c>
      <c r="J9" s="108">
        <f t="shared" si="5"/>
        <v>86.923775510204081</v>
      </c>
      <c r="K9" s="102">
        <f>K23*$B$36/100/$B$33</f>
        <v>0.7074773435755437</v>
      </c>
      <c r="L9" s="107">
        <f t="shared" si="6"/>
        <v>-0.10981531865481675</v>
      </c>
      <c r="M9" s="108">
        <f t="shared" si="7"/>
        <v>86.563525683060107</v>
      </c>
      <c r="N9" s="102">
        <f>N23*$B$36/100/$B$33</f>
        <v>0.35433544727792415</v>
      </c>
      <c r="O9" s="107">
        <f t="shared" si="8"/>
        <v>-7.4408244383904254E-2</v>
      </c>
      <c r="P9" s="108">
        <f t="shared" si="9"/>
        <v>82.64505208333334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0.62676345853244597</v>
      </c>
      <c r="C10" s="107">
        <f t="shared" si="0"/>
        <v>-0.14586840248314059</v>
      </c>
      <c r="D10" s="108">
        <f t="shared" si="1"/>
        <v>81.120581502890161</v>
      </c>
      <c r="E10" s="102">
        <f>E24*$B$36/100/$B$33</f>
        <v>0.67167081416640606</v>
      </c>
      <c r="F10" s="107">
        <f t="shared" si="2"/>
        <v>-0.1456218480639544</v>
      </c>
      <c r="G10" s="108">
        <f t="shared" si="3"/>
        <v>82.18241092896173</v>
      </c>
      <c r="H10" s="102">
        <f>H24*$B$36/100/$B$33</f>
        <v>0.78311863695234685</v>
      </c>
      <c r="I10" s="107">
        <f t="shared" si="4"/>
        <v>-9.2233066857219437E-2</v>
      </c>
      <c r="J10" s="108">
        <f t="shared" si="5"/>
        <v>89.463313265306127</v>
      </c>
      <c r="K10" s="102">
        <f>K24*$B$36/100/$B$33</f>
        <v>0.71508623107498548</v>
      </c>
      <c r="L10" s="107">
        <f t="shared" si="6"/>
        <v>-0.10220643115537498</v>
      </c>
      <c r="M10" s="108">
        <f t="shared" si="7"/>
        <v>87.494512568306007</v>
      </c>
      <c r="N10" s="102">
        <f>N24*$B$36/100/$B$33</f>
        <v>0.32449667277030941</v>
      </c>
      <c r="O10" s="107">
        <f t="shared" si="8"/>
        <v>-0.10424701889151899</v>
      </c>
      <c r="P10" s="108">
        <f t="shared" si="9"/>
        <v>75.685468749999984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0.63276851190210337</v>
      </c>
      <c r="C11" s="236">
        <f t="shared" si="0"/>
        <v>-0.13986334911348319</v>
      </c>
      <c r="D11" s="237">
        <f t="shared" si="1"/>
        <v>81.897802023121372</v>
      </c>
      <c r="E11" s="235">
        <f>AVERAGE(E7:E10)</f>
        <v>0.68371821937385546</v>
      </c>
      <c r="F11" s="236">
        <f t="shared" si="2"/>
        <v>-0.13357444285650499</v>
      </c>
      <c r="G11" s="237">
        <f t="shared" si="3"/>
        <v>83.65647349726774</v>
      </c>
      <c r="H11" s="235">
        <f>AVERAGE(H7:H10)</f>
        <v>0.7692063083381715</v>
      </c>
      <c r="I11" s="236">
        <f t="shared" si="4"/>
        <v>-0.10614539547139479</v>
      </c>
      <c r="J11" s="237">
        <f t="shared" si="5"/>
        <v>87.873971683673474</v>
      </c>
      <c r="K11" s="235">
        <f>AVERAGE(K7:K10)</f>
        <v>0.70688056808539135</v>
      </c>
      <c r="L11" s="236">
        <f t="shared" si="6"/>
        <v>-0.11041209414496911</v>
      </c>
      <c r="M11" s="237">
        <f t="shared" si="7"/>
        <v>86.490507103825124</v>
      </c>
      <c r="N11" s="235">
        <f>AVERAGE(N7:N10)</f>
        <v>0.33978904470546195</v>
      </c>
      <c r="O11" s="236">
        <f t="shared" si="8"/>
        <v>-8.8954646956366457E-2</v>
      </c>
      <c r="P11" s="237">
        <f t="shared" si="9"/>
        <v>79.252255208333324</v>
      </c>
      <c r="Q11" s="109"/>
    </row>
    <row r="12" spans="1:19" s="96" customFormat="1" ht="15.75" x14ac:dyDescent="0.25">
      <c r="A12" s="110" t="s">
        <v>24</v>
      </c>
      <c r="B12" s="102">
        <f>B25*$B$32/100/$B$33</f>
        <v>1.0434810861506856</v>
      </c>
      <c r="C12" s="107">
        <f t="shared" si="0"/>
        <v>0.27084922513509901</v>
      </c>
      <c r="D12" s="108">
        <f t="shared" si="1"/>
        <v>135.05540462427749</v>
      </c>
      <c r="E12" s="102">
        <f>E25*$B$32/100/$B$33</f>
        <v>1.0878239471216113</v>
      </c>
      <c r="F12" s="107">
        <f t="shared" si="2"/>
        <v>0.27053128489125089</v>
      </c>
      <c r="G12" s="108">
        <f t="shared" si="3"/>
        <v>133.10090710382511</v>
      </c>
      <c r="H12" s="102">
        <f>H25*$B$32/100/$B$33</f>
        <v>1.2424137376624536</v>
      </c>
      <c r="I12" s="107">
        <f t="shared" si="4"/>
        <v>0.36706203385288727</v>
      </c>
      <c r="J12" s="108">
        <f t="shared" si="5"/>
        <v>141.93309183673469</v>
      </c>
      <c r="K12" s="102">
        <f>K25*$B$32/100/$B$33</f>
        <v>1.0166312804251707</v>
      </c>
      <c r="L12" s="107">
        <f t="shared" si="6"/>
        <v>0.19933861819481025</v>
      </c>
      <c r="M12" s="108">
        <f t="shared" si="7"/>
        <v>124.39011475409833</v>
      </c>
      <c r="N12" s="102">
        <f>N25*$B$32/100/$B$33</f>
        <v>0.43895364208833904</v>
      </c>
      <c r="O12" s="107">
        <f t="shared" si="8"/>
        <v>1.0209950426510628E-2</v>
      </c>
      <c r="P12" s="108">
        <f t="shared" si="9"/>
        <v>102.38136458333334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1.3268143450493499</v>
      </c>
      <c r="F13" s="107">
        <f t="shared" si="2"/>
        <v>0.50952168281898946</v>
      </c>
      <c r="G13" s="108">
        <f t="shared" si="3"/>
        <v>162.34262295081962</v>
      </c>
      <c r="H13" s="102">
        <f>H26*$B$34/$B$33</f>
        <v>1.3874246348979498</v>
      </c>
      <c r="I13" s="107">
        <f t="shared" si="4"/>
        <v>0.51207293108838348</v>
      </c>
      <c r="J13" s="108">
        <f t="shared" si="5"/>
        <v>158.4991071428571</v>
      </c>
      <c r="K13" s="102">
        <f>K26*$B$34/$B$33</f>
        <v>1.249673976151132</v>
      </c>
      <c r="L13" s="107">
        <f t="shared" si="6"/>
        <v>0.4323813139207715</v>
      </c>
      <c r="M13" s="108">
        <f t="shared" si="7"/>
        <v>152.90409836065569</v>
      </c>
      <c r="N13" s="102">
        <f>N26*$B$34/$B$33</f>
        <v>0.60940891429592248</v>
      </c>
      <c r="O13" s="107">
        <f t="shared" si="8"/>
        <v>0.18066522263409407</v>
      </c>
      <c r="P13" s="108">
        <f t="shared" si="9"/>
        <v>142.13828125000001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1.2849381447903174</v>
      </c>
      <c r="F14" s="107">
        <f t="shared" si="2"/>
        <v>0.46764548255995697</v>
      </c>
      <c r="G14" s="108">
        <f t="shared" si="3"/>
        <v>157.21885245901638</v>
      </c>
      <c r="H14" s="102">
        <f>H27*$B$34/$B$33</f>
        <v>1.3929346612478226</v>
      </c>
      <c r="I14" s="107">
        <f t="shared" si="4"/>
        <v>0.51758295743825633</v>
      </c>
      <c r="J14" s="108">
        <f t="shared" si="5"/>
        <v>159.12857142857143</v>
      </c>
      <c r="K14" s="102">
        <f>K27*$B$34/$B$33</f>
        <v>1.1780436336027866</v>
      </c>
      <c r="L14" s="107">
        <f t="shared" si="6"/>
        <v>0.36075097137242618</v>
      </c>
      <c r="M14" s="108">
        <f t="shared" si="7"/>
        <v>144.13975409836061</v>
      </c>
      <c r="N14" s="102">
        <f>N27*$B$34/$B$33</f>
        <v>0.56532870349694064</v>
      </c>
      <c r="O14" s="107">
        <f t="shared" si="8"/>
        <v>0.13658501183511224</v>
      </c>
      <c r="P14" s="108">
        <f t="shared" si="9"/>
        <v>131.85703124999998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1.2305487919253271</v>
      </c>
      <c r="F15" s="119">
        <f t="shared" si="2"/>
        <v>0.41325612969496661</v>
      </c>
      <c r="G15" s="120">
        <f t="shared" si="3"/>
        <v>150.56403278688524</v>
      </c>
      <c r="H15" s="118">
        <f>H28*$B$35/10/$B$33</f>
        <v>1.2993372337099729</v>
      </c>
      <c r="I15" s="119">
        <f t="shared" si="4"/>
        <v>0.42398552990040661</v>
      </c>
      <c r="J15" s="120">
        <f t="shared" si="5"/>
        <v>148.43602040816327</v>
      </c>
      <c r="K15" s="118">
        <f>K28*$B$35/10/$B$33</f>
        <v>1.2662168728506988</v>
      </c>
      <c r="L15" s="119">
        <f t="shared" si="6"/>
        <v>0.44892421062033838</v>
      </c>
      <c r="M15" s="120">
        <f t="shared" si="7"/>
        <v>154.92820765027321</v>
      </c>
      <c r="N15" s="118">
        <f>N28*$B$35/10/$B$33</f>
        <v>0.54266437407887103</v>
      </c>
      <c r="O15" s="119">
        <f t="shared" si="8"/>
        <v>0.11392068241704262</v>
      </c>
      <c r="P15" s="120">
        <f t="shared" si="9"/>
        <v>126.57081250000002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4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49" t="s">
        <v>214</v>
      </c>
      <c r="X19" s="349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42.44</v>
      </c>
      <c r="C21" s="144" t="s">
        <v>172</v>
      </c>
      <c r="D21" s="145" t="s">
        <v>172</v>
      </c>
      <c r="E21" s="143">
        <v>46.66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22.3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42.29</v>
      </c>
      <c r="C22" s="144" t="s">
        <v>172</v>
      </c>
      <c r="D22" s="145" t="s">
        <v>172</v>
      </c>
      <c r="E22" s="143">
        <v>45.57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47.05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47.42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42.01</v>
      </c>
      <c r="C24" s="144" t="s">
        <v>172</v>
      </c>
      <c r="D24" s="145" t="s">
        <v>172</v>
      </c>
      <c r="E24" s="143">
        <v>45.02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47.93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25.65</v>
      </c>
      <c r="C25" s="144" t="s">
        <v>172</v>
      </c>
      <c r="D25" s="145" t="s">
        <v>172</v>
      </c>
      <c r="E25" s="143">
        <v>26.74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24.99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1.204</v>
      </c>
      <c r="F26" s="144" t="s">
        <v>172</v>
      </c>
      <c r="G26" s="145" t="s">
        <v>172</v>
      </c>
      <c r="H26" s="153">
        <v>1.2589999999999999</v>
      </c>
      <c r="I26" s="144" t="s">
        <v>172</v>
      </c>
      <c r="J26" s="145" t="s">
        <v>172</v>
      </c>
      <c r="K26" s="153">
        <v>1.1339999999999999</v>
      </c>
      <c r="L26" s="144" t="s">
        <v>172</v>
      </c>
      <c r="M26" s="145" t="s">
        <v>172</v>
      </c>
      <c r="N26" s="153">
        <v>0.55300000000000005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1.1659999999999999</v>
      </c>
      <c r="F27" s="144" t="s">
        <v>172</v>
      </c>
      <c r="G27" s="145" t="s">
        <v>172</v>
      </c>
      <c r="H27" s="153">
        <v>1.264</v>
      </c>
      <c r="I27" s="144" t="s">
        <v>172</v>
      </c>
      <c r="J27" s="145" t="s">
        <v>172</v>
      </c>
      <c r="K27" s="153">
        <v>1.069</v>
      </c>
      <c r="L27" s="144" t="s">
        <v>172</v>
      </c>
      <c r="M27" s="145" t="s">
        <v>172</v>
      </c>
      <c r="N27" s="153">
        <v>0.51300000000000001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4.83</v>
      </c>
      <c r="F28" s="158" t="s">
        <v>172</v>
      </c>
      <c r="G28" s="159" t="s">
        <v>172</v>
      </c>
      <c r="H28" s="234">
        <v>5.0999999999999996</v>
      </c>
      <c r="I28" s="158" t="s">
        <v>172</v>
      </c>
      <c r="J28" s="159" t="s">
        <v>172</v>
      </c>
      <c r="K28" s="234">
        <v>4.97</v>
      </c>
      <c r="L28" s="158" t="s">
        <v>172</v>
      </c>
      <c r="M28" s="159" t="s">
        <v>172</v>
      </c>
      <c r="N28" s="234">
        <v>2.13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4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9.109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2.2391000000000001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2.4674999999999998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5.7046000000000001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3.3405999999999998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43899</v>
      </c>
      <c r="E2" s="493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0.77245936774424007</v>
      </c>
      <c r="C6" s="103" t="s">
        <v>172</v>
      </c>
      <c r="D6" s="104" t="s">
        <v>172</v>
      </c>
      <c r="E6" s="102">
        <f>E20/$B$33</f>
        <v>0.81711019824968756</v>
      </c>
      <c r="F6" s="103" t="s">
        <v>172</v>
      </c>
      <c r="G6" s="104" t="s">
        <v>172</v>
      </c>
      <c r="H6" s="102">
        <f>H20/$B$33</f>
        <v>0.87515627790676909</v>
      </c>
      <c r="I6" s="103" t="s">
        <v>172</v>
      </c>
      <c r="J6" s="104" t="s">
        <v>172</v>
      </c>
      <c r="K6" s="102">
        <f>K20/$B$33</f>
        <v>0.81711019824968756</v>
      </c>
      <c r="L6" s="103" t="s">
        <v>172</v>
      </c>
      <c r="M6" s="104" t="s">
        <v>172</v>
      </c>
      <c r="N6" s="102">
        <f>N20/$B$33</f>
        <v>0.42864797285229506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0.6288247901410966</v>
      </c>
      <c r="C7" s="107">
        <f t="shared" ref="C7:C12" si="0">B7-B$6</f>
        <v>-0.14363457760314347</v>
      </c>
      <c r="D7" s="108">
        <f t="shared" ref="D7:D12" si="1">B7/B$6*100</f>
        <v>81.405549132947968</v>
      </c>
      <c r="E7" s="102">
        <f>E21*$B$36/100/$B$33</f>
        <v>0.69096573048758703</v>
      </c>
      <c r="F7" s="107">
        <f t="shared" ref="F7:F15" si="2">E7-E$6</f>
        <v>-0.12614446776210053</v>
      </c>
      <c r="G7" s="108">
        <f t="shared" ref="G7:G15" si="3">E7/E$6*100</f>
        <v>84.562122950819656</v>
      </c>
      <c r="H7" s="102">
        <f>H21*$B$36/100/$B$33</f>
        <v>0.76363651991427051</v>
      </c>
      <c r="I7" s="107">
        <f t="shared" ref="I7:I15" si="4">H7-H$6</f>
        <v>-0.11151975799249858</v>
      </c>
      <c r="J7" s="108">
        <f t="shared" ref="J7:J15" si="5">H7/H$6*100</f>
        <v>87.257160714285718</v>
      </c>
      <c r="K7" s="102">
        <f>K21*$B$36/100/$B$33</f>
        <v>0.69763957849615998</v>
      </c>
      <c r="L7" s="107">
        <f t="shared" ref="L7:L15" si="6">K7-K$6</f>
        <v>-0.11947061975352757</v>
      </c>
      <c r="M7" s="108">
        <f t="shared" ref="M7:M15" si="7">K7/K$6*100</f>
        <v>85.378885245901628</v>
      </c>
      <c r="N7" s="102">
        <f>N21*$B$36/100/$B$33</f>
        <v>0.32790839882121808</v>
      </c>
      <c r="O7" s="107">
        <f t="shared" ref="O7:O15" si="8">N7-N$6</f>
        <v>-0.10073957403107697</v>
      </c>
      <c r="P7" s="108">
        <f t="shared" ref="P7:P15" si="9">N7/N$6*100</f>
        <v>76.498296875000008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0.62704509733881053</v>
      </c>
      <c r="C8" s="107">
        <f t="shared" si="0"/>
        <v>-0.14541427040542954</v>
      </c>
      <c r="D8" s="108">
        <f t="shared" si="1"/>
        <v>81.175156069364164</v>
      </c>
      <c r="E8" s="102">
        <f>E22*$B$36/100/$B$33</f>
        <v>0.67554172620110742</v>
      </c>
      <c r="F8" s="107">
        <f t="shared" si="2"/>
        <v>-0.14156847204858014</v>
      </c>
      <c r="G8" s="108">
        <f t="shared" si="3"/>
        <v>82.674494535519131</v>
      </c>
      <c r="H8" s="102">
        <f>H22*$B$36/100/$B$33</f>
        <v>0.76007713430969825</v>
      </c>
      <c r="I8" s="107">
        <f t="shared" si="4"/>
        <v>-0.11507914359707083</v>
      </c>
      <c r="J8" s="108">
        <f t="shared" si="5"/>
        <v>86.850446428571431</v>
      </c>
      <c r="K8" s="102">
        <f>K22*$B$36/100/$B$33</f>
        <v>0.69763957849615998</v>
      </c>
      <c r="L8" s="107">
        <f t="shared" si="6"/>
        <v>-0.11947061975352757</v>
      </c>
      <c r="M8" s="108">
        <f t="shared" si="7"/>
        <v>85.378885245901628</v>
      </c>
      <c r="N8" s="102">
        <f>N22*$B$36/100/$B$33</f>
        <v>0.34555701911055547</v>
      </c>
      <c r="O8" s="107">
        <f t="shared" si="8"/>
        <v>-8.3090953741739582E-2</v>
      </c>
      <c r="P8" s="108">
        <f t="shared" si="9"/>
        <v>80.615572916666665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0.63638848455081254</v>
      </c>
      <c r="C9" s="107">
        <f t="shared" si="0"/>
        <v>-0.13607088319342753</v>
      </c>
      <c r="D9" s="108">
        <f t="shared" si="1"/>
        <v>82.384719653179175</v>
      </c>
      <c r="E9" s="102">
        <f>E23*$B$36/100/$B$33</f>
        <v>0.68310542061082347</v>
      </c>
      <c r="F9" s="107">
        <f t="shared" si="2"/>
        <v>-0.13400477763886409</v>
      </c>
      <c r="G9" s="108">
        <f t="shared" si="3"/>
        <v>83.600158469945356</v>
      </c>
      <c r="H9" s="102">
        <f>H23*$B$36/100/$B$33</f>
        <v>0.75636944097160208</v>
      </c>
      <c r="I9" s="107">
        <f t="shared" si="4"/>
        <v>-0.11878683693516701</v>
      </c>
      <c r="J9" s="108">
        <f t="shared" si="5"/>
        <v>86.426785714285714</v>
      </c>
      <c r="K9" s="102">
        <f>K23*$B$36/100/$B$33</f>
        <v>0.7007540409001608</v>
      </c>
      <c r="L9" s="107">
        <f t="shared" si="6"/>
        <v>-0.11635615734952676</v>
      </c>
      <c r="M9" s="108">
        <f t="shared" si="7"/>
        <v>85.760040983606558</v>
      </c>
      <c r="N9" s="102">
        <f>N23*$B$36/100/$B$33</f>
        <v>0.35223086711912849</v>
      </c>
      <c r="O9" s="107">
        <f t="shared" si="8"/>
        <v>-7.6417105733166568E-2</v>
      </c>
      <c r="P9" s="108">
        <f t="shared" si="9"/>
        <v>82.172526041666686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0.62333740400071447</v>
      </c>
      <c r="C10" s="107">
        <f t="shared" si="0"/>
        <v>-0.1491219637435256</v>
      </c>
      <c r="D10" s="108">
        <f t="shared" si="1"/>
        <v>80.695170520231216</v>
      </c>
      <c r="E10" s="102">
        <f>E24*$B$36/100/$B$33</f>
        <v>0.66797803179139137</v>
      </c>
      <c r="F10" s="107">
        <f t="shared" si="2"/>
        <v>-0.14913216645829619</v>
      </c>
      <c r="G10" s="108">
        <f t="shared" si="3"/>
        <v>81.748830601092891</v>
      </c>
      <c r="H10" s="102">
        <f>H24*$B$36/100/$B$33</f>
        <v>0.77846729326665487</v>
      </c>
      <c r="I10" s="107">
        <f t="shared" si="4"/>
        <v>-9.6688984640114217E-2</v>
      </c>
      <c r="J10" s="108">
        <f t="shared" si="5"/>
        <v>88.951803571428584</v>
      </c>
      <c r="K10" s="102">
        <f>K24*$B$36/100/$B$33</f>
        <v>0.71039404357921065</v>
      </c>
      <c r="L10" s="107">
        <f t="shared" si="6"/>
        <v>-0.1067161546704769</v>
      </c>
      <c r="M10" s="108">
        <f t="shared" si="7"/>
        <v>86.939808743169394</v>
      </c>
      <c r="N10" s="102">
        <f>N24*$B$36/100/$B$33</f>
        <v>0.34110778710484019</v>
      </c>
      <c r="O10" s="107">
        <f t="shared" si="8"/>
        <v>-8.7540185747454868E-2</v>
      </c>
      <c r="P10" s="108">
        <f t="shared" si="9"/>
        <v>79.577604166666674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0.62889894400785851</v>
      </c>
      <c r="C11" s="236">
        <f t="shared" si="0"/>
        <v>-0.14356042373638156</v>
      </c>
      <c r="D11" s="237">
        <f t="shared" si="1"/>
        <v>81.415148843930623</v>
      </c>
      <c r="E11" s="235">
        <f>AVERAGE(E7:E10)</f>
        <v>0.67939772727272729</v>
      </c>
      <c r="F11" s="236">
        <f t="shared" si="2"/>
        <v>-0.13771247097696027</v>
      </c>
      <c r="G11" s="237">
        <f t="shared" si="3"/>
        <v>83.146401639344262</v>
      </c>
      <c r="H11" s="235">
        <f>AVERAGE(H7:H10)</f>
        <v>0.76463759711555646</v>
      </c>
      <c r="I11" s="236">
        <f t="shared" si="4"/>
        <v>-0.11051868079121263</v>
      </c>
      <c r="J11" s="237">
        <f t="shared" si="5"/>
        <v>87.371549107142869</v>
      </c>
      <c r="K11" s="235">
        <f>AVERAGE(K7:K10)</f>
        <v>0.70160681036792294</v>
      </c>
      <c r="L11" s="236">
        <f t="shared" si="6"/>
        <v>-0.11550338788176462</v>
      </c>
      <c r="M11" s="237">
        <f t="shared" si="7"/>
        <v>85.864405054644806</v>
      </c>
      <c r="N11" s="235">
        <f>AVERAGE(N7:N10)</f>
        <v>0.3417010180389356</v>
      </c>
      <c r="O11" s="236">
        <f t="shared" si="8"/>
        <v>-8.6946954813359456E-2</v>
      </c>
      <c r="P11" s="237">
        <f t="shared" si="9"/>
        <v>79.716000000000022</v>
      </c>
      <c r="Q11" s="109"/>
    </row>
    <row r="12" spans="1:19" s="96" customFormat="1" ht="15.75" x14ac:dyDescent="0.25">
      <c r="A12" s="110" t="s">
        <v>24</v>
      </c>
      <c r="B12" s="102">
        <f>B25*$B$32/100/$B$33</f>
        <v>1.012322512948741</v>
      </c>
      <c r="C12" s="107">
        <f t="shared" si="0"/>
        <v>0.23986314520450092</v>
      </c>
      <c r="D12" s="108">
        <f t="shared" si="1"/>
        <v>131.05187861271676</v>
      </c>
      <c r="E12" s="102">
        <f>E25*$B$32/100/$B$33</f>
        <v>1.0720595642078943</v>
      </c>
      <c r="F12" s="107">
        <f t="shared" si="2"/>
        <v>0.25494936595820672</v>
      </c>
      <c r="G12" s="108">
        <f t="shared" si="3"/>
        <v>131.20134426229507</v>
      </c>
      <c r="H12" s="102">
        <f>H25*$B$32/100/$B$33</f>
        <v>1.2244090909090908</v>
      </c>
      <c r="I12" s="107">
        <f t="shared" si="4"/>
        <v>0.34925281300232169</v>
      </c>
      <c r="J12" s="108">
        <f t="shared" si="5"/>
        <v>139.9074795918367</v>
      </c>
      <c r="K12" s="102">
        <f>K25*$B$32/100/$B$33</f>
        <v>0.98185260760850157</v>
      </c>
      <c r="L12" s="107">
        <f t="shared" si="6"/>
        <v>0.16474240935881401</v>
      </c>
      <c r="M12" s="108">
        <f t="shared" si="7"/>
        <v>120.16159016393442</v>
      </c>
      <c r="N12" s="102">
        <f>N25*$B$32/100/$B$33</f>
        <v>0.43259247186997674</v>
      </c>
      <c r="O12" s="107">
        <f t="shared" si="8"/>
        <v>3.9444990176816797E-3</v>
      </c>
      <c r="P12" s="108">
        <f t="shared" si="9"/>
        <v>100.92021874999999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1.3423170208965887</v>
      </c>
      <c r="F13" s="107">
        <f t="shared" si="2"/>
        <v>0.52520682264690111</v>
      </c>
      <c r="G13" s="108">
        <f t="shared" si="3"/>
        <v>164.27613114754095</v>
      </c>
      <c r="H13" s="102">
        <f>H26*$B$34/$B$33</f>
        <v>1.4153912305768885</v>
      </c>
      <c r="I13" s="107">
        <f t="shared" si="4"/>
        <v>0.54023495267011945</v>
      </c>
      <c r="J13" s="108">
        <f t="shared" si="5"/>
        <v>161.73011224489792</v>
      </c>
      <c r="K13" s="102">
        <f>K26*$B$34/$B$33</f>
        <v>1.2523795320592963</v>
      </c>
      <c r="L13" s="107">
        <f t="shared" si="6"/>
        <v>0.43526933380960875</v>
      </c>
      <c r="M13" s="108">
        <f t="shared" si="7"/>
        <v>153.26935519125681</v>
      </c>
      <c r="N13" s="102">
        <f>N26*$B$34/$B$33</f>
        <v>0.59021477049473126</v>
      </c>
      <c r="O13" s="107">
        <f t="shared" si="8"/>
        <v>0.1615667976424362</v>
      </c>
      <c r="P13" s="108">
        <f t="shared" si="9"/>
        <v>137.69218750000002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1.3209568672977319</v>
      </c>
      <c r="F14" s="107">
        <f t="shared" si="2"/>
        <v>0.50384666904804432</v>
      </c>
      <c r="G14" s="108">
        <f t="shared" si="3"/>
        <v>161.66202185792349</v>
      </c>
      <c r="H14" s="102">
        <f>H27*$B$34/$B$33</f>
        <v>1.4210123236292194</v>
      </c>
      <c r="I14" s="107">
        <f t="shared" si="4"/>
        <v>0.54585604572245028</v>
      </c>
      <c r="J14" s="108">
        <f t="shared" si="5"/>
        <v>162.37240816326528</v>
      </c>
      <c r="K14" s="102">
        <f>K27*$B$34/$B$33</f>
        <v>1.1860506340417931</v>
      </c>
      <c r="L14" s="107">
        <f t="shared" si="6"/>
        <v>0.36894043579210556</v>
      </c>
      <c r="M14" s="108">
        <f t="shared" si="7"/>
        <v>145.15185792349723</v>
      </c>
      <c r="N14" s="102">
        <f>N27*$B$34/$B$33</f>
        <v>0.56548196106447579</v>
      </c>
      <c r="O14" s="107">
        <f t="shared" si="8"/>
        <v>0.13683398821218073</v>
      </c>
      <c r="P14" s="108">
        <f t="shared" si="9"/>
        <v>131.92222916666668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1.2449198071084122</v>
      </c>
      <c r="F15" s="119">
        <f t="shared" si="2"/>
        <v>0.42780960885872465</v>
      </c>
      <c r="G15" s="120">
        <f t="shared" si="3"/>
        <v>152.35641530054642</v>
      </c>
      <c r="H15" s="118">
        <f>H28*$B$35/10/$B$33</f>
        <v>1.3024581175209859</v>
      </c>
      <c r="I15" s="119">
        <f t="shared" si="4"/>
        <v>0.42730183961421686</v>
      </c>
      <c r="J15" s="120">
        <f t="shared" si="5"/>
        <v>148.8257755102041</v>
      </c>
      <c r="K15" s="118">
        <f>K28*$B$35/10/$B$33</f>
        <v>1.2789197178067513</v>
      </c>
      <c r="L15" s="119">
        <f t="shared" si="6"/>
        <v>0.46180951955706373</v>
      </c>
      <c r="M15" s="120">
        <f t="shared" si="7"/>
        <v>156.51740983606558</v>
      </c>
      <c r="N15" s="118">
        <f>N28*$B$35/10/$B$33</f>
        <v>0.54138319342739782</v>
      </c>
      <c r="O15" s="119">
        <f t="shared" si="8"/>
        <v>0.11273522057510277</v>
      </c>
      <c r="P15" s="120">
        <f t="shared" si="9"/>
        <v>126.30018750000002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5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51" t="s">
        <v>214</v>
      </c>
      <c r="X19" s="351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47.04</v>
      </c>
      <c r="L21" s="144" t="s">
        <v>172</v>
      </c>
      <c r="M21" s="145" t="s">
        <v>172</v>
      </c>
      <c r="N21" s="143">
        <v>22.11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42.28</v>
      </c>
      <c r="C22" s="144" t="s">
        <v>172</v>
      </c>
      <c r="D22" s="145" t="s">
        <v>172</v>
      </c>
      <c r="E22" s="143">
        <v>45.55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47.04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47.25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42.03</v>
      </c>
      <c r="C24" s="144" t="s">
        <v>172</v>
      </c>
      <c r="D24" s="145" t="s">
        <v>172</v>
      </c>
      <c r="E24" s="143">
        <v>45.04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</v>
      </c>
      <c r="L24" s="144" t="s">
        <v>172</v>
      </c>
      <c r="M24" s="145" t="s">
        <v>172</v>
      </c>
      <c r="N24" s="143">
        <v>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25.25</v>
      </c>
      <c r="C25" s="144" t="s">
        <v>172</v>
      </c>
      <c r="D25" s="145" t="s">
        <v>172</v>
      </c>
      <c r="E25" s="143">
        <v>26.74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24.49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1.194</v>
      </c>
      <c r="F26" s="144" t="s">
        <v>172</v>
      </c>
      <c r="G26" s="145" t="s">
        <v>172</v>
      </c>
      <c r="H26" s="153">
        <v>1.2589999999999999</v>
      </c>
      <c r="I26" s="144" t="s">
        <v>172</v>
      </c>
      <c r="J26" s="145" t="s">
        <v>172</v>
      </c>
      <c r="K26" s="153">
        <v>1.1140000000000001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</v>
      </c>
      <c r="F27" s="144" t="s">
        <v>172</v>
      </c>
      <c r="G27" s="145" t="s">
        <v>172</v>
      </c>
      <c r="H27" s="153">
        <v>1.264</v>
      </c>
      <c r="I27" s="144" t="s">
        <v>172</v>
      </c>
      <c r="J27" s="145" t="s">
        <v>172</v>
      </c>
      <c r="K27" s="153">
        <v>1.0549999999999999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4.76</v>
      </c>
      <c r="F28" s="158" t="s">
        <v>172</v>
      </c>
      <c r="G28" s="159" t="s">
        <v>172</v>
      </c>
      <c r="H28" s="234">
        <v>4.9800000000000004</v>
      </c>
      <c r="I28" s="158" t="s">
        <v>172</v>
      </c>
      <c r="J28" s="159" t="s">
        <v>172</v>
      </c>
      <c r="K28" s="234">
        <v>4.8899999999999997</v>
      </c>
      <c r="L28" s="158" t="s">
        <v>172</v>
      </c>
      <c r="M28" s="159" t="s">
        <v>172</v>
      </c>
      <c r="N28" s="234">
        <v>2.0699999999999998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5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8.9789999999999992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2.2395999999999998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2.5177999999999998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5.8574000000000002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3.3214999999999999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workbookViewId="0">
      <selection activeCell="AC26" sqref="AC2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43900</v>
      </c>
      <c r="E2" s="493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352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0.73560676928310231</v>
      </c>
      <c r="C6" s="103" t="s">
        <v>172</v>
      </c>
      <c r="D6" s="104" t="s">
        <v>172</v>
      </c>
      <c r="E6" s="102">
        <f>E20/$B$33</f>
        <v>0.77812739178501578</v>
      </c>
      <c r="F6" s="103" t="s">
        <v>172</v>
      </c>
      <c r="G6" s="104" t="s">
        <v>172</v>
      </c>
      <c r="H6" s="102">
        <f>H20/$B$33</f>
        <v>0.83340420103750323</v>
      </c>
      <c r="I6" s="103" t="s">
        <v>172</v>
      </c>
      <c r="J6" s="104" t="s">
        <v>172</v>
      </c>
      <c r="K6" s="102">
        <f>K20/$B$33</f>
        <v>0.77812739178501578</v>
      </c>
      <c r="L6" s="103" t="s">
        <v>172</v>
      </c>
      <c r="M6" s="104" t="s">
        <v>172</v>
      </c>
      <c r="N6" s="102">
        <f>N20/$B$33</f>
        <v>0.40819797601836894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0.5702131133599796</v>
      </c>
      <c r="C7" s="107">
        <f t="shared" ref="C7:C12" si="0">B7-B$6</f>
        <v>-0.16539365592312272</v>
      </c>
      <c r="D7" s="108">
        <f t="shared" ref="D7:D12" si="1">B7/B$6*100</f>
        <v>77.516023121387278</v>
      </c>
      <c r="E7" s="102">
        <f>E21*$B$36/100/$B$33</f>
        <v>0.62656200357173231</v>
      </c>
      <c r="F7" s="107">
        <f t="shared" ref="F7:F15" si="2">E7-E$6</f>
        <v>-0.15156538821328347</v>
      </c>
      <c r="G7" s="108">
        <f t="shared" ref="G7:G15" si="3">E7/E$6*100</f>
        <v>80.521777049180315</v>
      </c>
      <c r="H7" s="102">
        <f>H21*$B$36/100/$B$33</f>
        <v>0.69245927374776772</v>
      </c>
      <c r="I7" s="107">
        <f t="shared" ref="I7:I15" si="4">H7-H$6</f>
        <v>-0.14094492728973551</v>
      </c>
      <c r="J7" s="108">
        <f t="shared" ref="J7:J15" si="5">H7/H$6*100</f>
        <v>83.08804693877552</v>
      </c>
      <c r="K7" s="102">
        <f>K21*$B$36/100/$B$33</f>
        <v>0.63261379368993964</v>
      </c>
      <c r="L7" s="107">
        <f t="shared" ref="L7:L15" si="6">K7-K$6</f>
        <v>-0.14551359809507614</v>
      </c>
      <c r="M7" s="108">
        <f t="shared" ref="M7:M15" si="7">K7/K$6*100</f>
        <v>81.299514754098354</v>
      </c>
      <c r="N7" s="102">
        <f>N21*$B$36/100/$B$33</f>
        <v>0.29734462114125348</v>
      </c>
      <c r="O7" s="107">
        <f t="shared" ref="O7:O15" si="8">N7-N$6</f>
        <v>-0.11085335487711545</v>
      </c>
      <c r="P7" s="108">
        <f t="shared" ref="P7:P15" si="9">N7/N$6*100</f>
        <v>72.843237499999987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0.56859930266179104</v>
      </c>
      <c r="C8" s="107">
        <f t="shared" si="0"/>
        <v>-0.16700746662131127</v>
      </c>
      <c r="D8" s="108">
        <f t="shared" si="1"/>
        <v>77.296638150289027</v>
      </c>
      <c r="E8" s="102">
        <f>E22*$B$36/100/$B$33</f>
        <v>0.61257564418743082</v>
      </c>
      <c r="F8" s="107">
        <f t="shared" si="2"/>
        <v>-0.16555174759758495</v>
      </c>
      <c r="G8" s="108">
        <f t="shared" si="3"/>
        <v>78.724338797814198</v>
      </c>
      <c r="H8" s="102">
        <f>H22*$B$36/100/$B$33</f>
        <v>0.68923165235139039</v>
      </c>
      <c r="I8" s="107">
        <f t="shared" si="4"/>
        <v>-0.14417254868611284</v>
      </c>
      <c r="J8" s="108">
        <f t="shared" si="5"/>
        <v>82.700765306122435</v>
      </c>
      <c r="K8" s="102">
        <f>K22*$B$36/100/$B$33</f>
        <v>0.63261379368993964</v>
      </c>
      <c r="L8" s="107">
        <f t="shared" si="6"/>
        <v>-0.14551359809507614</v>
      </c>
      <c r="M8" s="108">
        <f t="shared" si="7"/>
        <v>81.299514754098354</v>
      </c>
      <c r="N8" s="102">
        <f>N22*$B$36/100/$B$33</f>
        <v>0.31334824389829069</v>
      </c>
      <c r="O8" s="107">
        <f t="shared" si="8"/>
        <v>-9.4849732120078245E-2</v>
      </c>
      <c r="P8" s="108">
        <f t="shared" si="9"/>
        <v>76.763791666666663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0.57707180882728126</v>
      </c>
      <c r="C9" s="107">
        <f t="shared" si="0"/>
        <v>-0.15853496045582105</v>
      </c>
      <c r="D9" s="108">
        <f t="shared" si="1"/>
        <v>78.448409248554924</v>
      </c>
      <c r="E9" s="102">
        <f>E23*$B$36/100/$B$33</f>
        <v>0.6194343396547326</v>
      </c>
      <c r="F9" s="107">
        <f t="shared" si="2"/>
        <v>-0.15869305213028317</v>
      </c>
      <c r="G9" s="108">
        <f t="shared" si="3"/>
        <v>79.605774863387978</v>
      </c>
      <c r="H9" s="102">
        <f>H23*$B$36/100/$B$33</f>
        <v>0.68586954673016409</v>
      </c>
      <c r="I9" s="107">
        <f t="shared" si="4"/>
        <v>-0.14753465430733914</v>
      </c>
      <c r="J9" s="108">
        <f t="shared" si="5"/>
        <v>82.297346938775505</v>
      </c>
      <c r="K9" s="102">
        <f>K23*$B$36/100/$B$33</f>
        <v>0.63543796241176964</v>
      </c>
      <c r="L9" s="107">
        <f t="shared" si="6"/>
        <v>-0.14268942937324613</v>
      </c>
      <c r="M9" s="108">
        <f t="shared" si="7"/>
        <v>81.662459016393427</v>
      </c>
      <c r="N9" s="102">
        <f>N23*$B$36/100/$B$33</f>
        <v>0.31940003401649802</v>
      </c>
      <c r="O9" s="107">
        <f t="shared" si="8"/>
        <v>-8.8797942001870911E-2</v>
      </c>
      <c r="P9" s="108">
        <f t="shared" si="9"/>
        <v>78.246354166666663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0.56523719704056463</v>
      </c>
      <c r="C10" s="107">
        <f t="shared" si="0"/>
        <v>-0.17036957224253768</v>
      </c>
      <c r="D10" s="108">
        <f t="shared" si="1"/>
        <v>76.839586127167621</v>
      </c>
      <c r="E10" s="102">
        <f>E24*$B$36/100/$B$33</f>
        <v>0.60571694872012916</v>
      </c>
      <c r="F10" s="107">
        <f t="shared" si="2"/>
        <v>-0.17241044306488662</v>
      </c>
      <c r="G10" s="108">
        <f t="shared" si="3"/>
        <v>77.842902732240418</v>
      </c>
      <c r="H10" s="102">
        <f>H24*$B$36/100/$B$33</f>
        <v>0.7059076962326728</v>
      </c>
      <c r="I10" s="107">
        <f t="shared" si="4"/>
        <v>-0.12749650480483044</v>
      </c>
      <c r="J10" s="108">
        <f t="shared" si="5"/>
        <v>84.701720408163254</v>
      </c>
      <c r="K10" s="102">
        <f>K24*$B$36/100/$B$33</f>
        <v>0.64417943702695812</v>
      </c>
      <c r="L10" s="107">
        <f t="shared" si="6"/>
        <v>-0.13394795475805765</v>
      </c>
      <c r="M10" s="108">
        <f t="shared" si="7"/>
        <v>82.785857923497275</v>
      </c>
      <c r="N10" s="102">
        <f>N24*$B$36/100/$B$33</f>
        <v>0.30931371715281913</v>
      </c>
      <c r="O10" s="107">
        <f t="shared" si="8"/>
        <v>-9.8884258865549801E-2</v>
      </c>
      <c r="P10" s="108">
        <f t="shared" si="9"/>
        <v>75.775416666666658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0.57028035547240408</v>
      </c>
      <c r="C11" s="236">
        <f t="shared" si="0"/>
        <v>-0.16532641381069824</v>
      </c>
      <c r="D11" s="237">
        <f t="shared" si="1"/>
        <v>77.525164161849702</v>
      </c>
      <c r="E11" s="235">
        <f>AVERAGE(E7:E10)</f>
        <v>0.61607223403350619</v>
      </c>
      <c r="F11" s="236">
        <f t="shared" si="2"/>
        <v>-0.16205515775150958</v>
      </c>
      <c r="G11" s="237">
        <f t="shared" si="3"/>
        <v>79.173698360655735</v>
      </c>
      <c r="H11" s="235">
        <f>AVERAGE(H7:H10)</f>
        <v>0.69336704226549872</v>
      </c>
      <c r="I11" s="236">
        <f t="shared" si="4"/>
        <v>-0.14003715877200451</v>
      </c>
      <c r="J11" s="237">
        <f t="shared" si="5"/>
        <v>83.196969897959178</v>
      </c>
      <c r="K11" s="235">
        <f>AVERAGE(K7:K10)</f>
        <v>0.63621124670465179</v>
      </c>
      <c r="L11" s="236">
        <f t="shared" si="6"/>
        <v>-0.14191614508036399</v>
      </c>
      <c r="M11" s="237">
        <f t="shared" si="7"/>
        <v>81.761836612021852</v>
      </c>
      <c r="N11" s="235">
        <f>AVERAGE(N7:N10)</f>
        <v>0.30985165405221532</v>
      </c>
      <c r="O11" s="236">
        <f t="shared" si="8"/>
        <v>-9.8346321966153616E-2</v>
      </c>
      <c r="P11" s="237">
        <f t="shared" si="9"/>
        <v>75.907200000000003</v>
      </c>
      <c r="Q11" s="109"/>
    </row>
    <row r="12" spans="1:19" s="96" customFormat="1" ht="15.75" x14ac:dyDescent="0.25">
      <c r="A12" s="110" t="s">
        <v>24</v>
      </c>
      <c r="B12" s="102">
        <f>B25*$B$32/100/$B$33</f>
        <v>1.0093450761119143</v>
      </c>
      <c r="C12" s="107">
        <f t="shared" si="0"/>
        <v>0.27373830682881195</v>
      </c>
      <c r="D12" s="108">
        <f t="shared" si="1"/>
        <v>137.21258670520231</v>
      </c>
      <c r="E12" s="102">
        <f>E25*$B$32/100/$B$33</f>
        <v>1.0689064291181223</v>
      </c>
      <c r="F12" s="107">
        <f t="shared" si="2"/>
        <v>0.2907790373331065</v>
      </c>
      <c r="G12" s="108">
        <f t="shared" si="3"/>
        <v>137.36907868852458</v>
      </c>
      <c r="H12" s="102">
        <f>H25*$B$32/100/$B$33</f>
        <v>1.2208078663151627</v>
      </c>
      <c r="I12" s="107">
        <f t="shared" si="4"/>
        <v>0.38740366527765946</v>
      </c>
      <c r="J12" s="108">
        <f t="shared" si="5"/>
        <v>146.48448673469386</v>
      </c>
      <c r="K12" s="102">
        <f>K25*$B$32/100/$B$33</f>
        <v>0.97896478867250614</v>
      </c>
      <c r="L12" s="107">
        <f t="shared" si="6"/>
        <v>0.20083739688749036</v>
      </c>
      <c r="M12" s="108">
        <f t="shared" si="7"/>
        <v>125.81034918032785</v>
      </c>
      <c r="N12" s="102">
        <f>N25*$B$32/100/$B$33</f>
        <v>0.43132013351475468</v>
      </c>
      <c r="O12" s="107">
        <f t="shared" si="8"/>
        <v>2.3122157496385742E-2</v>
      </c>
      <c r="P12" s="108">
        <f t="shared" si="9"/>
        <v>105.66444687500001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1.3580874223998638</v>
      </c>
      <c r="F13" s="107">
        <f t="shared" si="2"/>
        <v>0.57996003061484802</v>
      </c>
      <c r="G13" s="108">
        <f t="shared" si="3"/>
        <v>174.53278688524588</v>
      </c>
      <c r="H13" s="102">
        <f>H26*$B$34/$B$33</f>
        <v>1.4320201547750657</v>
      </c>
      <c r="I13" s="107">
        <f t="shared" si="4"/>
        <v>0.59861595373756249</v>
      </c>
      <c r="J13" s="108">
        <f t="shared" si="5"/>
        <v>171.82780612244895</v>
      </c>
      <c r="K13" s="102">
        <f>K26*$B$34/$B$33</f>
        <v>1.2670932902457692</v>
      </c>
      <c r="L13" s="107">
        <f t="shared" si="6"/>
        <v>0.48896589846075345</v>
      </c>
      <c r="M13" s="108">
        <f t="shared" si="7"/>
        <v>162.83879781420765</v>
      </c>
      <c r="N13" s="102">
        <f>N26*$B$34/$B$33</f>
        <v>0.59714899226124674</v>
      </c>
      <c r="O13" s="107">
        <f t="shared" si="8"/>
        <v>0.1889510162428778</v>
      </c>
      <c r="P13" s="108">
        <f t="shared" si="9"/>
        <v>146.2890625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1.3364763160132664</v>
      </c>
      <c r="F14" s="107">
        <f t="shared" si="2"/>
        <v>0.55834892422825066</v>
      </c>
      <c r="G14" s="108">
        <f t="shared" si="3"/>
        <v>171.75546448087431</v>
      </c>
      <c r="H14" s="102">
        <f>H27*$B$34/$B$33</f>
        <v>1.4377072880346968</v>
      </c>
      <c r="I14" s="107">
        <f t="shared" si="4"/>
        <v>0.60430308699719359</v>
      </c>
      <c r="J14" s="108">
        <f t="shared" si="5"/>
        <v>172.51020408163265</v>
      </c>
      <c r="K14" s="102">
        <f>K27*$B$34/$B$33</f>
        <v>1.1999851177821244</v>
      </c>
      <c r="L14" s="107">
        <f t="shared" si="6"/>
        <v>0.42185772599710858</v>
      </c>
      <c r="M14" s="108">
        <f t="shared" si="7"/>
        <v>154.21448087431693</v>
      </c>
      <c r="N14" s="102">
        <f>N27*$B$34/$B$33</f>
        <v>0.57212560591887063</v>
      </c>
      <c r="O14" s="107">
        <f t="shared" si="8"/>
        <v>0.16392762990050169</v>
      </c>
      <c r="P14" s="108">
        <f t="shared" si="9"/>
        <v>140.15885416666666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1.2564270771324091</v>
      </c>
      <c r="F15" s="119">
        <f t="shared" si="2"/>
        <v>0.47829968534739331</v>
      </c>
      <c r="G15" s="120">
        <f t="shared" si="3"/>
        <v>161.46804371584699</v>
      </c>
      <c r="H15" s="118">
        <f>H28*$B$35/10/$B$33</f>
        <v>1.3144972361595375</v>
      </c>
      <c r="I15" s="119">
        <f t="shared" si="4"/>
        <v>0.48109303512203427</v>
      </c>
      <c r="J15" s="120">
        <f t="shared" si="5"/>
        <v>157.72625510204082</v>
      </c>
      <c r="K15" s="118">
        <f>K28*$B$35/10/$B$33</f>
        <v>1.2907412620120757</v>
      </c>
      <c r="L15" s="119">
        <f t="shared" si="6"/>
        <v>0.51261387022705995</v>
      </c>
      <c r="M15" s="120">
        <f t="shared" si="7"/>
        <v>165.87788524590161</v>
      </c>
      <c r="N15" s="118">
        <f>N28*$B$35/10/$B$33</f>
        <v>0.5463874053916149</v>
      </c>
      <c r="O15" s="119">
        <f t="shared" si="8"/>
        <v>0.13818942937324596</v>
      </c>
      <c r="P15" s="120">
        <f t="shared" si="9"/>
        <v>133.85353125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5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51" t="s">
        <v>214</v>
      </c>
      <c r="X19" s="351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46.59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47.04</v>
      </c>
      <c r="L21" s="144" t="s">
        <v>172</v>
      </c>
      <c r="M21" s="145" t="s">
        <v>172</v>
      </c>
      <c r="N21" s="143">
        <v>22.11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42.28</v>
      </c>
      <c r="C22" s="144" t="s">
        <v>172</v>
      </c>
      <c r="D22" s="145" t="s">
        <v>172</v>
      </c>
      <c r="E22" s="143">
        <v>45.55</v>
      </c>
      <c r="F22" s="144" t="s">
        <v>172</v>
      </c>
      <c r="G22" s="145" t="s">
        <v>172</v>
      </c>
      <c r="H22" s="143">
        <v>51.25</v>
      </c>
      <c r="I22" s="144" t="s">
        <v>172</v>
      </c>
      <c r="J22" s="145" t="s">
        <v>172</v>
      </c>
      <c r="K22" s="143">
        <v>47.04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47.25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42.03</v>
      </c>
      <c r="C24" s="144" t="s">
        <v>172</v>
      </c>
      <c r="D24" s="145" t="s">
        <v>172</v>
      </c>
      <c r="E24" s="143">
        <v>45.04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</v>
      </c>
      <c r="L24" s="144" t="s">
        <v>172</v>
      </c>
      <c r="M24" s="145" t="s">
        <v>172</v>
      </c>
      <c r="N24" s="143">
        <v>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25.25</v>
      </c>
      <c r="C25" s="144" t="s">
        <v>172</v>
      </c>
      <c r="D25" s="145" t="s">
        <v>172</v>
      </c>
      <c r="E25" s="143">
        <v>26.74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24.49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1.194</v>
      </c>
      <c r="F26" s="144" t="s">
        <v>172</v>
      </c>
      <c r="G26" s="145" t="s">
        <v>172</v>
      </c>
      <c r="H26" s="153">
        <v>1.2589999999999999</v>
      </c>
      <c r="I26" s="144" t="s">
        <v>172</v>
      </c>
      <c r="J26" s="145" t="s">
        <v>172</v>
      </c>
      <c r="K26" s="153">
        <v>1.1140000000000001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1.175</v>
      </c>
      <c r="F27" s="144" t="s">
        <v>172</v>
      </c>
      <c r="G27" s="145" t="s">
        <v>172</v>
      </c>
      <c r="H27" s="153">
        <v>1.264</v>
      </c>
      <c r="I27" s="144" t="s">
        <v>172</v>
      </c>
      <c r="J27" s="145" t="s">
        <v>172</v>
      </c>
      <c r="K27" s="153">
        <v>1.0549999999999999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4.76</v>
      </c>
      <c r="F28" s="158" t="s">
        <v>172</v>
      </c>
      <c r="G28" s="159" t="s">
        <v>172</v>
      </c>
      <c r="H28" s="234">
        <v>4.9800000000000004</v>
      </c>
      <c r="I28" s="158" t="s">
        <v>172</v>
      </c>
      <c r="J28" s="159" t="s">
        <v>172</v>
      </c>
      <c r="K28" s="234">
        <v>4.8899999999999997</v>
      </c>
      <c r="L28" s="158" t="s">
        <v>172</v>
      </c>
      <c r="M28" s="159" t="s">
        <v>172</v>
      </c>
      <c r="N28" s="234">
        <v>2.0699999999999998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5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9.4010999999999996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2.3517999999999999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2.6749999999999998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6.2077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3.1627999999999998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43906</v>
      </c>
      <c r="E2" s="493"/>
      <c r="F2" s="353"/>
      <c r="G2" s="353"/>
      <c r="H2" s="353"/>
      <c r="I2" s="353"/>
      <c r="J2" s="353"/>
      <c r="K2" s="353"/>
      <c r="L2" s="353"/>
      <c r="M2" s="353"/>
      <c r="N2" s="353"/>
      <c r="O2" s="353"/>
      <c r="P2" s="353"/>
      <c r="Q2" s="353"/>
      <c r="R2" s="353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0.73925305529441931</v>
      </c>
      <c r="C6" s="103" t="s">
        <v>172</v>
      </c>
      <c r="D6" s="104" t="s">
        <v>172</v>
      </c>
      <c r="E6" s="102">
        <f>E20/$B$33</f>
        <v>0.78198444577386561</v>
      </c>
      <c r="F6" s="103" t="s">
        <v>172</v>
      </c>
      <c r="G6" s="104" t="s">
        <v>172</v>
      </c>
      <c r="H6" s="102">
        <f>H20/$B$33</f>
        <v>0.83753525339714563</v>
      </c>
      <c r="I6" s="103" t="s">
        <v>172</v>
      </c>
      <c r="J6" s="104" t="s">
        <v>172</v>
      </c>
      <c r="K6" s="102">
        <f>K20/$B$33</f>
        <v>0.78198444577386561</v>
      </c>
      <c r="L6" s="103" t="s">
        <v>172</v>
      </c>
      <c r="M6" s="104" t="s">
        <v>172</v>
      </c>
      <c r="N6" s="102">
        <f>N20/$B$33</f>
        <v>0.41022134860268356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0.57956478933424505</v>
      </c>
      <c r="C7" s="107">
        <f t="shared" ref="C7:C12" si="0">B7-B$6</f>
        <v>-0.15968826596017427</v>
      </c>
      <c r="D7" s="108">
        <f t="shared" ref="D7:D12" si="1">B7/B$6*100</f>
        <v>78.398700578034692</v>
      </c>
      <c r="E7" s="102">
        <f>E21*$B$36/100/$B$33</f>
        <v>0.63692039996581495</v>
      </c>
      <c r="F7" s="107">
        <f t="shared" ref="F7:F15" si="2">E7-E$6</f>
        <v>-0.14506404580805066</v>
      </c>
      <c r="G7" s="108">
        <f t="shared" ref="G7:G15" si="3">E7/E$6*100</f>
        <v>81.449241530054636</v>
      </c>
      <c r="H7" s="102">
        <f>H21*$B$36/100/$B$33</f>
        <v>0.70315247414750892</v>
      </c>
      <c r="I7" s="107">
        <f t="shared" ref="I7:I15" si="4">H7-H$6</f>
        <v>-0.13438277924963671</v>
      </c>
      <c r="J7" s="108">
        <f t="shared" ref="J7:J15" si="5">H7/H$6*100</f>
        <v>83.954970408163277</v>
      </c>
      <c r="K7" s="102">
        <f>K21*$B$36/100/$B$33</f>
        <v>0.64320220493974889</v>
      </c>
      <c r="L7" s="107">
        <f t="shared" ref="L7:L15" si="6">K7-K$6</f>
        <v>-0.13878224083411672</v>
      </c>
      <c r="M7" s="108">
        <f t="shared" ref="M7:M15" si="7">K7/K$6*100</f>
        <v>82.252557377049186</v>
      </c>
      <c r="N7" s="102">
        <f>N21*$B$36/100/$B$33</f>
        <v>0.3015266387488249</v>
      </c>
      <c r="O7" s="107">
        <f t="shared" ref="O7:O15" si="8">N7-N$6</f>
        <v>-0.10869470985385865</v>
      </c>
      <c r="P7" s="108">
        <f t="shared" ref="P7:P15" si="9">N7/N$6*100</f>
        <v>73.503399999999999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0.5777894966242203</v>
      </c>
      <c r="C8" s="107">
        <f t="shared" si="0"/>
        <v>-0.16146355867019901</v>
      </c>
      <c r="D8" s="108">
        <f t="shared" si="1"/>
        <v>78.158553757225448</v>
      </c>
      <c r="E8" s="102">
        <f>E22*$B$36/100/$B$33</f>
        <v>0.62271805828561677</v>
      </c>
      <c r="F8" s="107">
        <f t="shared" si="2"/>
        <v>-0.15926638748824884</v>
      </c>
      <c r="G8" s="108">
        <f t="shared" si="3"/>
        <v>79.633049180327873</v>
      </c>
      <c r="H8" s="102">
        <f>H22*$B$36/100/$B$33</f>
        <v>0.70738586445602947</v>
      </c>
      <c r="I8" s="107">
        <f t="shared" si="4"/>
        <v>-0.13014938894111616</v>
      </c>
      <c r="J8" s="108">
        <f t="shared" si="5"/>
        <v>84.460428571428565</v>
      </c>
      <c r="K8" s="102">
        <f>K22*$B$36/100/$B$33</f>
        <v>0.64170003418511246</v>
      </c>
      <c r="L8" s="107">
        <f t="shared" si="6"/>
        <v>-0.14028441158875316</v>
      </c>
      <c r="M8" s="108">
        <f t="shared" si="7"/>
        <v>82.060460109289608</v>
      </c>
      <c r="N8" s="102">
        <f>N22*$B$36/100/$B$33</f>
        <v>0.31272463891975044</v>
      </c>
      <c r="O8" s="107">
        <f t="shared" si="8"/>
        <v>-9.7496709682933114E-2</v>
      </c>
      <c r="P8" s="108">
        <f t="shared" si="9"/>
        <v>76.233145833333325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0.58584659430817876</v>
      </c>
      <c r="C9" s="107">
        <f t="shared" si="0"/>
        <v>-0.15340646098624056</v>
      </c>
      <c r="D9" s="108">
        <f t="shared" si="1"/>
        <v>79.248450867052014</v>
      </c>
      <c r="E9" s="102">
        <f>E23*$B$36/100/$B$33</f>
        <v>0.62899986325955048</v>
      </c>
      <c r="F9" s="107">
        <f t="shared" si="2"/>
        <v>-0.15298458251431513</v>
      </c>
      <c r="G9" s="108">
        <f t="shared" si="3"/>
        <v>80.436365027322395</v>
      </c>
      <c r="H9" s="102">
        <f>H23*$B$36/100/$B$33</f>
        <v>0.69646098624049235</v>
      </c>
      <c r="I9" s="107">
        <f t="shared" si="4"/>
        <v>-0.14107426715665328</v>
      </c>
      <c r="J9" s="108">
        <f t="shared" si="5"/>
        <v>83.156020408163272</v>
      </c>
      <c r="K9" s="102">
        <f>K23*$B$36/100/$B$33</f>
        <v>0.64156347320741824</v>
      </c>
      <c r="L9" s="107">
        <f t="shared" si="6"/>
        <v>-0.14042097256644737</v>
      </c>
      <c r="M9" s="108">
        <f t="shared" si="7"/>
        <v>82.042996721311468</v>
      </c>
      <c r="N9" s="102">
        <f>N23*$B$36/100/$B$33</f>
        <v>0.32433232202375867</v>
      </c>
      <c r="O9" s="107">
        <f t="shared" si="8"/>
        <v>-8.5889026578924887E-2</v>
      </c>
      <c r="P9" s="108">
        <f t="shared" si="9"/>
        <v>79.062760416666663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0.57396578924878228</v>
      </c>
      <c r="C10" s="107">
        <f t="shared" si="0"/>
        <v>-0.16528726604563704</v>
      </c>
      <c r="D10" s="108">
        <f t="shared" si="1"/>
        <v>77.641314450867057</v>
      </c>
      <c r="E10" s="102">
        <f>E24*$B$36/100/$B$33</f>
        <v>0.61507064353474072</v>
      </c>
      <c r="F10" s="107">
        <f t="shared" si="2"/>
        <v>-0.16691380223912489</v>
      </c>
      <c r="G10" s="108">
        <f t="shared" si="3"/>
        <v>78.655099453551912</v>
      </c>
      <c r="H10" s="102">
        <f>H24*$B$36/100/$B$33</f>
        <v>0.71680857191693026</v>
      </c>
      <c r="I10" s="107">
        <f t="shared" si="4"/>
        <v>-0.12072668148021537</v>
      </c>
      <c r="J10" s="108">
        <f t="shared" si="5"/>
        <v>85.585480612244908</v>
      </c>
      <c r="K10" s="102">
        <f>K24*$B$36/100/$B$33</f>
        <v>0.654127083155286</v>
      </c>
      <c r="L10" s="107">
        <f t="shared" si="6"/>
        <v>-0.12785736261857961</v>
      </c>
      <c r="M10" s="108">
        <f t="shared" si="7"/>
        <v>83.649628415300555</v>
      </c>
      <c r="N10" s="102">
        <f>N24*$B$36/100/$B$33</f>
        <v>0.30220944363729602</v>
      </c>
      <c r="O10" s="107">
        <f t="shared" si="8"/>
        <v>-0.10801190496538754</v>
      </c>
      <c r="P10" s="108">
        <f t="shared" si="9"/>
        <v>73.669847916666669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0.57929166737885662</v>
      </c>
      <c r="C11" s="236">
        <f t="shared" si="0"/>
        <v>-0.15996138791556269</v>
      </c>
      <c r="D11" s="237">
        <f t="shared" si="1"/>
        <v>78.361754913294817</v>
      </c>
      <c r="E11" s="235">
        <f>AVERAGE(E7:E10)</f>
        <v>0.62592724126143073</v>
      </c>
      <c r="F11" s="236">
        <f t="shared" si="2"/>
        <v>-0.15605720451243488</v>
      </c>
      <c r="G11" s="237">
        <f t="shared" si="3"/>
        <v>80.043438797814204</v>
      </c>
      <c r="H11" s="235">
        <f>AVERAGE(H7:H10)</f>
        <v>0.70595197419024025</v>
      </c>
      <c r="I11" s="236">
        <f t="shared" si="4"/>
        <v>-0.13158327920690538</v>
      </c>
      <c r="J11" s="237">
        <f t="shared" si="5"/>
        <v>84.289225000000002</v>
      </c>
      <c r="K11" s="235">
        <f>AVERAGE(K7:K10)</f>
        <v>0.64514819887189145</v>
      </c>
      <c r="L11" s="236">
        <f t="shared" si="6"/>
        <v>-0.13683624690197416</v>
      </c>
      <c r="M11" s="237">
        <f t="shared" si="7"/>
        <v>82.501410655737715</v>
      </c>
      <c r="N11" s="235">
        <f>AVERAGE(N7:N10)</f>
        <v>0.31019826083240748</v>
      </c>
      <c r="O11" s="236">
        <f t="shared" si="8"/>
        <v>-0.10002308777027608</v>
      </c>
      <c r="P11" s="237">
        <f t="shared" si="9"/>
        <v>75.617288541666667</v>
      </c>
      <c r="Q11" s="109"/>
    </row>
    <row r="12" spans="1:19" s="96" customFormat="1" ht="15.75" x14ac:dyDescent="0.25">
      <c r="A12" s="110" t="s">
        <v>24</v>
      </c>
      <c r="B12" s="102">
        <f>B25*$B$32/100/$B$33</f>
        <v>0.96947397658319823</v>
      </c>
      <c r="C12" s="107">
        <f t="shared" si="0"/>
        <v>0.23022092128877891</v>
      </c>
      <c r="D12" s="108">
        <f t="shared" si="1"/>
        <v>131.14236994219655</v>
      </c>
      <c r="E12" s="102">
        <f>E25*$B$32/100/$B$33</f>
        <v>1.0170837877104524</v>
      </c>
      <c r="F12" s="107">
        <f t="shared" si="2"/>
        <v>0.23509934193658677</v>
      </c>
      <c r="G12" s="108">
        <f t="shared" si="3"/>
        <v>130.06445245901642</v>
      </c>
      <c r="H12" s="102">
        <f>H25*$B$32/100/$B$33</f>
        <v>1.1725835740534998</v>
      </c>
      <c r="I12" s="107">
        <f t="shared" si="4"/>
        <v>0.33504832065635415</v>
      </c>
      <c r="J12" s="108">
        <f t="shared" si="5"/>
        <v>140.00408571428571</v>
      </c>
      <c r="K12" s="102">
        <f>K25*$B$32/100/$B$33</f>
        <v>0.94029376976326817</v>
      </c>
      <c r="L12" s="107">
        <f t="shared" si="6"/>
        <v>0.15830932398940256</v>
      </c>
      <c r="M12" s="108">
        <f t="shared" si="7"/>
        <v>120.24456174863387</v>
      </c>
      <c r="N12" s="102">
        <f>N25*$B$32/100/$B$33</f>
        <v>0.41428214682505776</v>
      </c>
      <c r="O12" s="107">
        <f t="shared" si="8"/>
        <v>4.0607982223742067E-3</v>
      </c>
      <c r="P12" s="108">
        <f t="shared" si="9"/>
        <v>100.98990416666669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1.3117576275532006</v>
      </c>
      <c r="F13" s="107">
        <f t="shared" si="2"/>
        <v>0.52977318177933497</v>
      </c>
      <c r="G13" s="108">
        <f t="shared" si="3"/>
        <v>167.74727868852457</v>
      </c>
      <c r="H13" s="102">
        <f>H26*$B$34/$B$33</f>
        <v>1.384384753439877</v>
      </c>
      <c r="I13" s="107">
        <f t="shared" si="4"/>
        <v>0.54684950004273136</v>
      </c>
      <c r="J13" s="108">
        <f t="shared" si="5"/>
        <v>165.29271428571428</v>
      </c>
      <c r="K13" s="102">
        <f>K26*$B$34/$B$33</f>
        <v>1.2033756089223142</v>
      </c>
      <c r="L13" s="107">
        <f t="shared" si="6"/>
        <v>0.4213911631484486</v>
      </c>
      <c r="M13" s="108">
        <f t="shared" si="7"/>
        <v>153.88740983606553</v>
      </c>
      <c r="N13" s="102">
        <f>N26*$B$34/$B$33</f>
        <v>0.59777711306725922</v>
      </c>
      <c r="O13" s="107">
        <f t="shared" si="8"/>
        <v>0.18755576446457567</v>
      </c>
      <c r="P13" s="108">
        <f t="shared" si="9"/>
        <v>145.72062500000001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1.2123143321083669</v>
      </c>
      <c r="F14" s="107">
        <f t="shared" si="2"/>
        <v>0.43032988633450131</v>
      </c>
      <c r="G14" s="108">
        <f t="shared" si="3"/>
        <v>155.03049180327869</v>
      </c>
      <c r="H14" s="102">
        <f>H27*$B$34/$B$33</f>
        <v>1.3005842235706349</v>
      </c>
      <c r="I14" s="107">
        <f t="shared" si="4"/>
        <v>0.46304897017348923</v>
      </c>
      <c r="J14" s="108">
        <f t="shared" si="5"/>
        <v>155.28710204081631</v>
      </c>
      <c r="K14" s="102">
        <f>K27*$B$34/$B$33</f>
        <v>1.1005802922827108</v>
      </c>
      <c r="L14" s="107">
        <f t="shared" si="6"/>
        <v>0.3185958465088452</v>
      </c>
      <c r="M14" s="108">
        <f t="shared" si="7"/>
        <v>140.74196721311472</v>
      </c>
      <c r="N14" s="102">
        <f>N27*$B$34/$B$33</f>
        <v>0.56202222032304927</v>
      </c>
      <c r="O14" s="107">
        <f t="shared" si="8"/>
        <v>0.15180087172036572</v>
      </c>
      <c r="P14" s="108">
        <f t="shared" si="9"/>
        <v>137.004625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1.1995553798820615</v>
      </c>
      <c r="F15" s="119">
        <f t="shared" si="2"/>
        <v>0.4175709341081959</v>
      </c>
      <c r="G15" s="120">
        <f t="shared" si="3"/>
        <v>153.39887978142076</v>
      </c>
      <c r="H15" s="118">
        <f>H28*$B$35/10/$B$33</f>
        <v>1.2686129390650374</v>
      </c>
      <c r="I15" s="119">
        <f t="shared" si="4"/>
        <v>0.43107768566789173</v>
      </c>
      <c r="J15" s="120">
        <f t="shared" si="5"/>
        <v>151.46979591836737</v>
      </c>
      <c r="K15" s="118">
        <f>K28*$B$35/10/$B$33</f>
        <v>1.2251322536535341</v>
      </c>
      <c r="L15" s="119">
        <f t="shared" si="6"/>
        <v>0.44314780787966845</v>
      </c>
      <c r="M15" s="120">
        <f t="shared" si="7"/>
        <v>156.66964480874316</v>
      </c>
      <c r="N15" s="118">
        <f>N28*$B$35/10/$B$33</f>
        <v>0.51665285018374507</v>
      </c>
      <c r="O15" s="119">
        <f t="shared" si="8"/>
        <v>0.10643150158106152</v>
      </c>
      <c r="P15" s="120">
        <f t="shared" si="9"/>
        <v>125.94489583333335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5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55" t="s">
        <v>214</v>
      </c>
      <c r="X19" s="355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42.44</v>
      </c>
      <c r="C21" s="144" t="s">
        <v>172</v>
      </c>
      <c r="D21" s="145" t="s">
        <v>172</v>
      </c>
      <c r="E21" s="143">
        <v>46.64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</v>
      </c>
      <c r="L21" s="144" t="s">
        <v>172</v>
      </c>
      <c r="M21" s="145" t="s">
        <v>172</v>
      </c>
      <c r="N21" s="143">
        <v>22.08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42.31</v>
      </c>
      <c r="C22" s="144" t="s">
        <v>172</v>
      </c>
      <c r="D22" s="145" t="s">
        <v>172</v>
      </c>
      <c r="E22" s="143">
        <v>45.6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46.99</v>
      </c>
      <c r="L22" s="144" t="s">
        <v>172</v>
      </c>
      <c r="M22" s="145" t="s">
        <v>172</v>
      </c>
      <c r="N22" s="143">
        <v>22.9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46.98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42.03</v>
      </c>
      <c r="C24" s="144" t="s">
        <v>172</v>
      </c>
      <c r="D24" s="145" t="s">
        <v>172</v>
      </c>
      <c r="E24" s="143">
        <v>45.04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</v>
      </c>
      <c r="L24" s="144" t="s">
        <v>172</v>
      </c>
      <c r="M24" s="145" t="s">
        <v>172</v>
      </c>
      <c r="N24" s="143">
        <v>22.13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25.25</v>
      </c>
      <c r="C25" s="144" t="s">
        <v>172</v>
      </c>
      <c r="D25" s="145" t="s">
        <v>172</v>
      </c>
      <c r="E25" s="143">
        <v>26.49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24.49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1.1739999999999999</v>
      </c>
      <c r="F26" s="144" t="s">
        <v>172</v>
      </c>
      <c r="G26" s="145" t="s">
        <v>172</v>
      </c>
      <c r="H26" s="153">
        <v>1.2390000000000001</v>
      </c>
      <c r="I26" s="144" t="s">
        <v>172</v>
      </c>
      <c r="J26" s="145" t="s">
        <v>172</v>
      </c>
      <c r="K26" s="153">
        <v>1.077</v>
      </c>
      <c r="L26" s="144" t="s">
        <v>172</v>
      </c>
      <c r="M26" s="145" t="s">
        <v>172</v>
      </c>
      <c r="N26" s="153">
        <v>0.53500000000000003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1.085</v>
      </c>
      <c r="F27" s="144" t="s">
        <v>172</v>
      </c>
      <c r="G27" s="145" t="s">
        <v>172</v>
      </c>
      <c r="H27" s="153">
        <v>1.1639999999999999</v>
      </c>
      <c r="I27" s="144" t="s">
        <v>172</v>
      </c>
      <c r="J27" s="145" t="s">
        <v>172</v>
      </c>
      <c r="K27" s="153">
        <v>0.98499999999999999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4.6900000000000004</v>
      </c>
      <c r="F28" s="158" t="s">
        <v>172</v>
      </c>
      <c r="G28" s="159" t="s">
        <v>172</v>
      </c>
      <c r="H28" s="234">
        <v>4.96</v>
      </c>
      <c r="I28" s="158" t="s">
        <v>172</v>
      </c>
      <c r="J28" s="159" t="s">
        <v>172</v>
      </c>
      <c r="K28" s="234">
        <v>4.79</v>
      </c>
      <c r="L28" s="158" t="s">
        <v>172</v>
      </c>
      <c r="M28" s="159" t="s">
        <v>172</v>
      </c>
      <c r="N28" s="234">
        <v>2.02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5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8.9852000000000007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2.3401999999999998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2.6147999999999998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5.9855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3.1958000000000002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workbookViewId="0">
      <selection activeCell="E28" sqref="E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43913</v>
      </c>
      <c r="E2" s="493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0.67601891289906613</v>
      </c>
      <c r="C6" s="103" t="s">
        <v>172</v>
      </c>
      <c r="D6" s="104" t="s">
        <v>172</v>
      </c>
      <c r="E6" s="102">
        <f>E20/$B$33</f>
        <v>0.7150951506388965</v>
      </c>
      <c r="F6" s="103" t="s">
        <v>172</v>
      </c>
      <c r="G6" s="104" t="s">
        <v>172</v>
      </c>
      <c r="H6" s="102">
        <f>H20/$B$33</f>
        <v>0.76589425970067604</v>
      </c>
      <c r="I6" s="103" t="s">
        <v>172</v>
      </c>
      <c r="J6" s="104" t="s">
        <v>172</v>
      </c>
      <c r="K6" s="102">
        <f>K20/$B$33</f>
        <v>0.7150951506388965</v>
      </c>
      <c r="L6" s="103" t="s">
        <v>172</v>
      </c>
      <c r="M6" s="104" t="s">
        <v>172</v>
      </c>
      <c r="N6" s="102">
        <f>N20/$B$33</f>
        <v>0.37513188230237193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0.5429063342581375</v>
      </c>
      <c r="C7" s="107">
        <f t="shared" ref="C7:C12" si="0">B7-B$6</f>
        <v>-0.13311257864092862</v>
      </c>
      <c r="D7" s="108">
        <f t="shared" ref="D7:D12" si="1">B7/B$6*100</f>
        <v>80.3093410404624</v>
      </c>
      <c r="E7" s="102">
        <f>E21*$B$36/100/$B$33</f>
        <v>0.59641608377945365</v>
      </c>
      <c r="F7" s="107">
        <f t="shared" ref="F7:F15" si="2">E7-E$6</f>
        <v>-0.11867906685944285</v>
      </c>
      <c r="G7" s="108">
        <f t="shared" ref="G7:G15" si="3">E7/E$6*100</f>
        <v>83.403737704918029</v>
      </c>
      <c r="H7" s="102">
        <f>H21*$B$36/100/$B$33</f>
        <v>0.65914282364893906</v>
      </c>
      <c r="I7" s="107">
        <f t="shared" ref="I7:I15" si="4">H7-H$6</f>
        <v>-0.10675143605173698</v>
      </c>
      <c r="J7" s="108">
        <f t="shared" ref="J7:J15" si="5">H7/H$6*100</f>
        <v>86.061857142857136</v>
      </c>
      <c r="K7" s="102">
        <f>K21*$B$36/100/$B$33</f>
        <v>0.60204868899222386</v>
      </c>
      <c r="L7" s="107">
        <f t="shared" ref="L7:L15" si="6">K7-K$6</f>
        <v>-0.11304646164667265</v>
      </c>
      <c r="M7" s="108">
        <f t="shared" ref="M7:M15" si="7">K7/K$6*100</f>
        <v>84.191409836065574</v>
      </c>
      <c r="N7" s="102">
        <f>N21*$B$36/100/$B$33</f>
        <v>0.28380649447071238</v>
      </c>
      <c r="O7" s="107">
        <f t="shared" ref="O7:O15" si="8">N7-N$6</f>
        <v>-9.1325387831659555E-2</v>
      </c>
      <c r="P7" s="108">
        <f t="shared" ref="P7:P15" si="9">N7/N$6*100</f>
        <v>75.655124999999998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0.54098612793560241</v>
      </c>
      <c r="C8" s="107">
        <f t="shared" si="0"/>
        <v>-0.13503278496346371</v>
      </c>
      <c r="D8" s="108">
        <f t="shared" si="1"/>
        <v>80.025294797687863</v>
      </c>
      <c r="E8" s="102">
        <f>E22*$B$36/100/$B$33</f>
        <v>0.58297463952170681</v>
      </c>
      <c r="F8" s="107">
        <f t="shared" si="2"/>
        <v>-0.1321205111171897</v>
      </c>
      <c r="G8" s="108">
        <f t="shared" si="3"/>
        <v>81.524065573770486</v>
      </c>
      <c r="H8" s="102">
        <f>H22*$B$36/100/$B$33</f>
        <v>0.66311125004884519</v>
      </c>
      <c r="I8" s="107">
        <f t="shared" si="4"/>
        <v>-0.10278300965183085</v>
      </c>
      <c r="J8" s="108">
        <f t="shared" si="5"/>
        <v>86.579999999999984</v>
      </c>
      <c r="K8" s="102">
        <f>K22*$B$36/100/$B$33</f>
        <v>0.60166464772771666</v>
      </c>
      <c r="L8" s="107">
        <f t="shared" si="6"/>
        <v>-0.11343050291117984</v>
      </c>
      <c r="M8" s="108">
        <f t="shared" si="7"/>
        <v>84.137704918032767</v>
      </c>
      <c r="N8" s="102">
        <f>N22*$B$36/100/$B$33</f>
        <v>0.29827204876714469</v>
      </c>
      <c r="O8" s="107">
        <f t="shared" si="8"/>
        <v>-7.685983353522724E-2</v>
      </c>
      <c r="P8" s="108">
        <f t="shared" si="9"/>
        <v>79.511250000000004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0.54930702199992176</v>
      </c>
      <c r="C9" s="107">
        <f t="shared" si="0"/>
        <v>-0.12671189089914436</v>
      </c>
      <c r="D9" s="108">
        <f t="shared" si="1"/>
        <v>81.256161849710963</v>
      </c>
      <c r="E9" s="102">
        <f>E23*$B$36/100/$B$33</f>
        <v>0.58963135477316242</v>
      </c>
      <c r="F9" s="107">
        <f t="shared" si="2"/>
        <v>-0.12546379586573408</v>
      </c>
      <c r="G9" s="108">
        <f t="shared" si="3"/>
        <v>82.454950819672121</v>
      </c>
      <c r="H9" s="102">
        <f>H23*$B$36/100/$B$33</f>
        <v>0.65287014966199053</v>
      </c>
      <c r="I9" s="107">
        <f t="shared" si="4"/>
        <v>-0.11302411003868551</v>
      </c>
      <c r="J9" s="108">
        <f t="shared" si="5"/>
        <v>85.242857142857147</v>
      </c>
      <c r="K9" s="102">
        <f>K23*$B$36/100/$B$33</f>
        <v>0.59744019381813918</v>
      </c>
      <c r="L9" s="107">
        <f t="shared" si="6"/>
        <v>-0.11765495682075733</v>
      </c>
      <c r="M9" s="108">
        <f t="shared" si="7"/>
        <v>83.546950819672134</v>
      </c>
      <c r="N9" s="102">
        <f>N23*$B$36/100/$B$33</f>
        <v>0.30403266773475046</v>
      </c>
      <c r="O9" s="107">
        <f t="shared" si="8"/>
        <v>-7.1099214567621472E-2</v>
      </c>
      <c r="P9" s="108">
        <f t="shared" si="9"/>
        <v>81.046874999999986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0.53765777030987449</v>
      </c>
      <c r="C10" s="107">
        <f t="shared" si="0"/>
        <v>-0.13836114258919163</v>
      </c>
      <c r="D10" s="108">
        <f t="shared" si="1"/>
        <v>79.532947976878603</v>
      </c>
      <c r="E10" s="102">
        <f>E24*$B$36/100/$B$33</f>
        <v>0.57618991051541557</v>
      </c>
      <c r="F10" s="107">
        <f t="shared" si="2"/>
        <v>-0.13890524012348093</v>
      </c>
      <c r="G10" s="108">
        <f t="shared" si="3"/>
        <v>80.575278688524591</v>
      </c>
      <c r="H10" s="102">
        <f>H24*$B$36/100/$B$33</f>
        <v>0.67194419913250747</v>
      </c>
      <c r="I10" s="107">
        <f t="shared" si="4"/>
        <v>-9.395006056816857E-2</v>
      </c>
      <c r="J10" s="108">
        <f t="shared" si="5"/>
        <v>87.733285714285699</v>
      </c>
      <c r="K10" s="102">
        <f>K24*$B$36/100/$B$33</f>
        <v>0.61331389941776393</v>
      </c>
      <c r="L10" s="107">
        <f t="shared" si="6"/>
        <v>-0.10178125122113257</v>
      </c>
      <c r="M10" s="108">
        <f t="shared" si="7"/>
        <v>85.766754098360636</v>
      </c>
      <c r="N10" s="102">
        <f>N24*$B$36/100/$B$33</f>
        <v>0.27842991676761364</v>
      </c>
      <c r="O10" s="107">
        <f t="shared" si="8"/>
        <v>-9.6701965534758294E-2</v>
      </c>
      <c r="P10" s="108">
        <f t="shared" si="9"/>
        <v>74.221874999999997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0.54271431362588396</v>
      </c>
      <c r="C11" s="236">
        <f t="shared" si="0"/>
        <v>-0.13330459927318217</v>
      </c>
      <c r="D11" s="237">
        <f t="shared" si="1"/>
        <v>80.280936416184943</v>
      </c>
      <c r="E11" s="235">
        <f>AVERAGE(E7:E10)</f>
        <v>0.58630299714743461</v>
      </c>
      <c r="F11" s="236">
        <f t="shared" si="2"/>
        <v>-0.12879215349146189</v>
      </c>
      <c r="G11" s="237">
        <f t="shared" si="3"/>
        <v>81.989508196721303</v>
      </c>
      <c r="H11" s="235">
        <f>AVERAGE(H7:H10)</f>
        <v>0.66176710562307051</v>
      </c>
      <c r="I11" s="236">
        <f t="shared" si="4"/>
        <v>-0.10412715407760553</v>
      </c>
      <c r="J11" s="237">
        <f t="shared" si="5"/>
        <v>86.404499999999985</v>
      </c>
      <c r="K11" s="235">
        <f>AVERAGE(K7:K10)</f>
        <v>0.60361685748896088</v>
      </c>
      <c r="L11" s="236">
        <f t="shared" si="6"/>
        <v>-0.11147829314993563</v>
      </c>
      <c r="M11" s="237">
        <f t="shared" si="7"/>
        <v>84.410704918032778</v>
      </c>
      <c r="N11" s="235">
        <f>AVERAGE(N7:N10)</f>
        <v>0.29113528193505528</v>
      </c>
      <c r="O11" s="236">
        <f t="shared" si="8"/>
        <v>-8.3996600367316654E-2</v>
      </c>
      <c r="P11" s="237">
        <f t="shared" si="9"/>
        <v>77.608781249999993</v>
      </c>
      <c r="Q11" s="109"/>
    </row>
    <row r="12" spans="1:19" s="96" customFormat="1" ht="15.75" x14ac:dyDescent="0.25">
      <c r="A12" s="110" t="s">
        <v>24</v>
      </c>
      <c r="B12" s="102">
        <f>B25*$B$32/100/$B$33</f>
        <v>0.90763246844593803</v>
      </c>
      <c r="C12" s="107">
        <f t="shared" si="0"/>
        <v>0.23161355554687191</v>
      </c>
      <c r="D12" s="108">
        <f t="shared" si="1"/>
        <v>134.26140173410403</v>
      </c>
      <c r="E12" s="102">
        <f>E25*$B$32/100/$B$33</f>
        <v>0.95220531046070878</v>
      </c>
      <c r="F12" s="107">
        <f t="shared" si="2"/>
        <v>0.23711015982181227</v>
      </c>
      <c r="G12" s="108">
        <f t="shared" si="3"/>
        <v>133.1578475409836</v>
      </c>
      <c r="H12" s="102">
        <f>H25*$B$32/100/$B$33</f>
        <v>1.0977859638154037</v>
      </c>
      <c r="I12" s="107">
        <f t="shared" si="4"/>
        <v>0.33189170411472768</v>
      </c>
      <c r="J12" s="108">
        <f t="shared" si="5"/>
        <v>143.33388061224488</v>
      </c>
      <c r="K12" s="102">
        <f>K25*$B$32/100/$B$33</f>
        <v>0.88031362979172367</v>
      </c>
      <c r="L12" s="107">
        <f t="shared" si="6"/>
        <v>0.16521847915282717</v>
      </c>
      <c r="M12" s="108">
        <f t="shared" si="7"/>
        <v>123.10440491803278</v>
      </c>
      <c r="N12" s="102">
        <f>N25*$B$32/100/$B$33</f>
        <v>0.38785561720917505</v>
      </c>
      <c r="O12" s="107">
        <f t="shared" si="8"/>
        <v>1.2723734906803119E-2</v>
      </c>
      <c r="P12" s="108">
        <f t="shared" si="9"/>
        <v>103.39180312499998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1.2563340236802001</v>
      </c>
      <c r="F13" s="107">
        <f t="shared" si="2"/>
        <v>0.54123887304130358</v>
      </c>
      <c r="G13" s="108">
        <f t="shared" si="3"/>
        <v>175.68767213114754</v>
      </c>
      <c r="H13" s="102">
        <f>H26*$B$34/$B$33</f>
        <v>1.326490133249971</v>
      </c>
      <c r="I13" s="107">
        <f t="shared" si="4"/>
        <v>0.56059587354929497</v>
      </c>
      <c r="J13" s="108">
        <f t="shared" si="5"/>
        <v>173.19494387755105</v>
      </c>
      <c r="K13" s="102">
        <f>K26*$B$34/$B$33</f>
        <v>1.1484015474190148</v>
      </c>
      <c r="L13" s="107">
        <f t="shared" si="6"/>
        <v>0.43330639678011829</v>
      </c>
      <c r="M13" s="108">
        <f t="shared" si="7"/>
        <v>160.59422950819675</v>
      </c>
      <c r="N13" s="102">
        <f>N26*$B$34/$B$33</f>
        <v>0.5666455003712243</v>
      </c>
      <c r="O13" s="107">
        <f t="shared" si="8"/>
        <v>0.19151361806885236</v>
      </c>
      <c r="P13" s="108">
        <f t="shared" si="9"/>
        <v>151.05234375000001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1.1386876245555078</v>
      </c>
      <c r="F14" s="107">
        <f t="shared" si="2"/>
        <v>0.42359247391661126</v>
      </c>
      <c r="G14" s="108">
        <f t="shared" si="3"/>
        <v>159.23581967213113</v>
      </c>
      <c r="H14" s="102">
        <f>H27*$B$34/$B$33</f>
        <v>1.2239542808018444</v>
      </c>
      <c r="I14" s="107">
        <f t="shared" si="4"/>
        <v>0.45806002110116839</v>
      </c>
      <c r="J14" s="108">
        <f t="shared" si="5"/>
        <v>159.80721428571428</v>
      </c>
      <c r="K14" s="102">
        <f>K27*$B$34/$B$33</f>
        <v>1.0307551482943222</v>
      </c>
      <c r="L14" s="107">
        <f t="shared" si="6"/>
        <v>0.31565999765542574</v>
      </c>
      <c r="M14" s="108">
        <f t="shared" si="7"/>
        <v>144.14237704918034</v>
      </c>
      <c r="N14" s="102">
        <f>N27*$B$34/$B$33</f>
        <v>0.53210710796764493</v>
      </c>
      <c r="O14" s="107">
        <f t="shared" si="8"/>
        <v>0.156975225665273</v>
      </c>
      <c r="P14" s="108">
        <f t="shared" si="9"/>
        <v>141.84534375000001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1.0337974287835567</v>
      </c>
      <c r="F15" s="119">
        <f t="shared" si="2"/>
        <v>0.31870227814466023</v>
      </c>
      <c r="G15" s="120">
        <f t="shared" si="3"/>
        <v>144.56781420765029</v>
      </c>
      <c r="H15" s="118">
        <f>H28*$B$35/10/$B$33</f>
        <v>1.0829145011918253</v>
      </c>
      <c r="I15" s="119">
        <f t="shared" si="4"/>
        <v>0.31702024149114927</v>
      </c>
      <c r="J15" s="120">
        <f t="shared" si="5"/>
        <v>141.39216836734693</v>
      </c>
      <c r="K15" s="118">
        <f>K28*$B$35/10/$B$33</f>
        <v>1.0642032355124849</v>
      </c>
      <c r="L15" s="119">
        <f t="shared" si="6"/>
        <v>0.34910808487358835</v>
      </c>
      <c r="M15" s="120">
        <f t="shared" si="7"/>
        <v>148.8198087431694</v>
      </c>
      <c r="N15" s="118">
        <f>N28*$B$35/10/$B$33</f>
        <v>0.45608710093392207</v>
      </c>
      <c r="O15" s="119">
        <f t="shared" si="8"/>
        <v>8.0955218631550141E-2</v>
      </c>
      <c r="P15" s="120">
        <f t="shared" si="9"/>
        <v>121.58046874999999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5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57" t="s">
        <v>214</v>
      </c>
      <c r="X19" s="357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42.41</v>
      </c>
      <c r="C21" s="144" t="s">
        <v>172</v>
      </c>
      <c r="D21" s="145" t="s">
        <v>172</v>
      </c>
      <c r="E21" s="143">
        <v>46.59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47.03</v>
      </c>
      <c r="L21" s="144" t="s">
        <v>172</v>
      </c>
      <c r="M21" s="145" t="s">
        <v>172</v>
      </c>
      <c r="N21" s="143">
        <v>22.17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45.54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47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46.67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25.25</v>
      </c>
      <c r="C25" s="144" t="s">
        <v>172</v>
      </c>
      <c r="D25" s="145" t="s">
        <v>172</v>
      </c>
      <c r="E25" s="143">
        <v>26.49</v>
      </c>
      <c r="F25" s="144" t="s">
        <v>172</v>
      </c>
      <c r="G25" s="145" t="s">
        <v>172</v>
      </c>
      <c r="H25" s="143">
        <v>30.54</v>
      </c>
      <c r="I25" s="144" t="s">
        <v>172</v>
      </c>
      <c r="J25" s="145" t="s">
        <v>172</v>
      </c>
      <c r="K25" s="143">
        <v>24.49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1.1639999999999999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1.0640000000000001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1.0549999999999999</v>
      </c>
      <c r="F27" s="144" t="s">
        <v>172</v>
      </c>
      <c r="G27" s="145" t="s">
        <v>172</v>
      </c>
      <c r="H27" s="153">
        <v>1.1339999999999999</v>
      </c>
      <c r="I27" s="144" t="s">
        <v>172</v>
      </c>
      <c r="J27" s="145" t="s">
        <v>172</v>
      </c>
      <c r="K27" s="153">
        <v>0.95499999999999996</v>
      </c>
      <c r="L27" s="144" t="s">
        <v>172</v>
      </c>
      <c r="M27" s="145" t="s">
        <v>172</v>
      </c>
      <c r="N27" s="153">
        <v>0.49299999999999999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4.42</v>
      </c>
      <c r="F28" s="158" t="s">
        <v>172</v>
      </c>
      <c r="G28" s="159" t="s">
        <v>172</v>
      </c>
      <c r="H28" s="234">
        <v>4.63</v>
      </c>
      <c r="I28" s="158" t="s">
        <v>172</v>
      </c>
      <c r="J28" s="159" t="s">
        <v>172</v>
      </c>
      <c r="K28" s="234">
        <v>4.55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5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9.1989000000000001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2.5590999999999999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2.7621000000000002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5.9855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3.2759999999999998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0" workbookViewId="0">
      <selection activeCell="G17" sqref="G17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43920</v>
      </c>
      <c r="E2" s="493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0.67174031218451502</v>
      </c>
      <c r="C6" s="103" t="s">
        <v>172</v>
      </c>
      <c r="D6" s="104" t="s">
        <v>172</v>
      </c>
      <c r="E6" s="102">
        <f>E20/$B$33</f>
        <v>0.71056923196396671</v>
      </c>
      <c r="F6" s="103" t="s">
        <v>172</v>
      </c>
      <c r="G6" s="104" t="s">
        <v>172</v>
      </c>
      <c r="H6" s="102">
        <f>H20/$B$33</f>
        <v>0.76104682767725396</v>
      </c>
      <c r="I6" s="103" t="s">
        <v>172</v>
      </c>
      <c r="J6" s="104" t="s">
        <v>172</v>
      </c>
      <c r="K6" s="102">
        <f>K20/$B$33</f>
        <v>0.71056923196396671</v>
      </c>
      <c r="L6" s="103" t="s">
        <v>172</v>
      </c>
      <c r="M6" s="104" t="s">
        <v>172</v>
      </c>
      <c r="N6" s="102">
        <f>N20/$B$33</f>
        <v>0.37275762988273664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0.54554353498485664</v>
      </c>
      <c r="C7" s="107">
        <f t="shared" ref="C7:C12" si="0">B7-B$6</f>
        <v>-0.12619677719965838</v>
      </c>
      <c r="D7" s="108">
        <f t="shared" ref="D7:D12" si="1">B7/B$6*100</f>
        <v>81.213457803468188</v>
      </c>
      <c r="E7" s="102">
        <f>E21*$B$36/100/$B$33</f>
        <v>0.59955774636949599</v>
      </c>
      <c r="F7" s="107">
        <f t="shared" ref="F7:F15" si="2">E7-E$6</f>
        <v>-0.11101148559447072</v>
      </c>
      <c r="G7" s="108">
        <f t="shared" ref="G7:G15" si="3">E7/E$6*100</f>
        <v>84.377104918032799</v>
      </c>
      <c r="H7" s="102">
        <f>H21*$B$36/100/$B$33</f>
        <v>0.66218851052263727</v>
      </c>
      <c r="I7" s="107">
        <f t="shared" ref="I7:I15" si="4">H7-H$6</f>
        <v>-9.8858317154616682E-2</v>
      </c>
      <c r="J7" s="108">
        <f t="shared" ref="J7:J15" si="5">H7/H$6*100</f>
        <v>87.010218877551026</v>
      </c>
      <c r="K7" s="102">
        <f>K21*$B$36/100/$B$33</f>
        <v>0.60521637803836303</v>
      </c>
      <c r="L7" s="107">
        <f t="shared" ref="L7:L15" si="6">K7-K$6</f>
        <v>-0.10535285392560367</v>
      </c>
      <c r="M7" s="108">
        <f t="shared" ref="M7:M15" si="7">K7/K$6*100</f>
        <v>85.173456830601111</v>
      </c>
      <c r="N7" s="102">
        <f>N21*$B$36/100/$B$33</f>
        <v>0.27843039916129531</v>
      </c>
      <c r="O7" s="107">
        <f t="shared" ref="O7:O15" si="8">N7-N$6</f>
        <v>-9.4327230721441335E-2</v>
      </c>
      <c r="P7" s="108">
        <f t="shared" ref="P7:P15" si="9">N7/N$6*100</f>
        <v>74.694755208333333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0.543614456006834</v>
      </c>
      <c r="C8" s="107">
        <f t="shared" si="0"/>
        <v>-0.12812585617768102</v>
      </c>
      <c r="D8" s="108">
        <f t="shared" si="1"/>
        <v>80.926281502890191</v>
      </c>
      <c r="E8" s="102">
        <f>E22*$B$36/100/$B$33</f>
        <v>0.58553977246253008</v>
      </c>
      <c r="F8" s="107">
        <f t="shared" si="2"/>
        <v>-0.12502945950143662</v>
      </c>
      <c r="G8" s="108">
        <f t="shared" si="3"/>
        <v>82.404324043715846</v>
      </c>
      <c r="H8" s="102">
        <f>H22*$B$36/100/$B$33</f>
        <v>0.6661752737438843</v>
      </c>
      <c r="I8" s="107">
        <f t="shared" si="4"/>
        <v>-9.4871553933369657E-2</v>
      </c>
      <c r="J8" s="108">
        <f t="shared" si="5"/>
        <v>87.534071428571409</v>
      </c>
      <c r="K8" s="102">
        <f>K22*$B$36/100/$B$33</f>
        <v>0.60251566746913099</v>
      </c>
      <c r="L8" s="107">
        <f t="shared" si="6"/>
        <v>-0.10805356449483572</v>
      </c>
      <c r="M8" s="108">
        <f t="shared" si="7"/>
        <v>84.793379781420768</v>
      </c>
      <c r="N8" s="102">
        <f>N22*$B$36/100/$B$33</f>
        <v>0.29965026791954646</v>
      </c>
      <c r="O8" s="107">
        <f t="shared" si="8"/>
        <v>-7.3107361963190176E-2</v>
      </c>
      <c r="P8" s="108">
        <f t="shared" si="9"/>
        <v>80.387427083333336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0.55184519297973122</v>
      </c>
      <c r="C9" s="107">
        <f t="shared" si="0"/>
        <v>-0.1198951192047838</v>
      </c>
      <c r="D9" s="108">
        <f t="shared" si="1"/>
        <v>82.151567052023111</v>
      </c>
      <c r="E9" s="102">
        <f>E23*$B$36/100/$B$33</f>
        <v>0.5923558515182108</v>
      </c>
      <c r="F9" s="107">
        <f t="shared" si="2"/>
        <v>-0.11821338044575591</v>
      </c>
      <c r="G9" s="108">
        <f t="shared" si="3"/>
        <v>83.363566120218593</v>
      </c>
      <c r="H9" s="102">
        <f>H23*$B$36/100/$B$33</f>
        <v>0.65588685252776269</v>
      </c>
      <c r="I9" s="107">
        <f t="shared" si="4"/>
        <v>-0.10515997514949127</v>
      </c>
      <c r="J9" s="108">
        <f t="shared" si="5"/>
        <v>86.182193877551029</v>
      </c>
      <c r="K9" s="102">
        <f>K23*$B$36/100/$B$33</f>
        <v>0.59827169371748079</v>
      </c>
      <c r="L9" s="107">
        <f t="shared" si="6"/>
        <v>-0.11229753824648592</v>
      </c>
      <c r="M9" s="108">
        <f t="shared" si="7"/>
        <v>84.196115846994545</v>
      </c>
      <c r="N9" s="102">
        <f>N23*$B$36/100/$B$33</f>
        <v>0.30543750485361493</v>
      </c>
      <c r="O9" s="107">
        <f t="shared" si="8"/>
        <v>-6.7320125029121713E-2</v>
      </c>
      <c r="P9" s="108">
        <f t="shared" si="9"/>
        <v>81.939973958333326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0.54014211384639288</v>
      </c>
      <c r="C10" s="107">
        <f t="shared" si="0"/>
        <v>-0.13159819833812214</v>
      </c>
      <c r="D10" s="108">
        <f t="shared" si="1"/>
        <v>80.409364161849723</v>
      </c>
      <c r="E10" s="102">
        <f>E24*$B$36/100/$B$33</f>
        <v>0.5788522986720509</v>
      </c>
      <c r="F10" s="107">
        <f t="shared" si="2"/>
        <v>-0.13171693329191581</v>
      </c>
      <c r="G10" s="108">
        <f t="shared" si="3"/>
        <v>81.463180874316947</v>
      </c>
      <c r="H10" s="102">
        <f>H24*$B$36/100/$B$33</f>
        <v>0.67504903704278951</v>
      </c>
      <c r="I10" s="107">
        <f t="shared" si="4"/>
        <v>-8.5997790634464444E-2</v>
      </c>
      <c r="J10" s="108">
        <f t="shared" si="5"/>
        <v>88.700065816326543</v>
      </c>
      <c r="K10" s="102">
        <f>K24*$B$36/100/$B$33</f>
        <v>0.61614782558049219</v>
      </c>
      <c r="L10" s="107">
        <f t="shared" si="6"/>
        <v>-9.4421406383474515E-2</v>
      </c>
      <c r="M10" s="108">
        <f t="shared" si="7"/>
        <v>86.711863934426219</v>
      </c>
      <c r="N10" s="102">
        <f>N24*$B$36/100/$B$33</f>
        <v>0.27971645181331051</v>
      </c>
      <c r="O10" s="107">
        <f t="shared" si="8"/>
        <v>-9.3041178069426134E-2</v>
      </c>
      <c r="P10" s="108">
        <f t="shared" si="9"/>
        <v>75.039765624999987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0.54528632445445369</v>
      </c>
      <c r="C11" s="236">
        <f t="shared" si="0"/>
        <v>-0.12645398773006133</v>
      </c>
      <c r="D11" s="237">
        <f t="shared" si="1"/>
        <v>81.175167630057814</v>
      </c>
      <c r="E11" s="235">
        <f>AVERAGE(E7:E10)</f>
        <v>0.58907641725557192</v>
      </c>
      <c r="F11" s="236">
        <f t="shared" si="2"/>
        <v>-0.12149281470839479</v>
      </c>
      <c r="G11" s="237">
        <f t="shared" si="3"/>
        <v>82.902043989071046</v>
      </c>
      <c r="H11" s="235">
        <f>AVERAGE(H7:H10)</f>
        <v>0.6648249184592685</v>
      </c>
      <c r="I11" s="236">
        <f t="shared" si="4"/>
        <v>-9.6221909217985457E-2</v>
      </c>
      <c r="J11" s="237">
        <f t="shared" si="5"/>
        <v>87.356637500000005</v>
      </c>
      <c r="K11" s="235">
        <f>AVERAGE(K7:K10)</f>
        <v>0.6055378912013667</v>
      </c>
      <c r="L11" s="236">
        <f t="shared" si="6"/>
        <v>-0.10503134076260001</v>
      </c>
      <c r="M11" s="237">
        <f t="shared" si="7"/>
        <v>85.218704098360661</v>
      </c>
      <c r="N11" s="235">
        <f>AVERAGE(N7:N10)</f>
        <v>0.29080865593694183</v>
      </c>
      <c r="O11" s="236">
        <f t="shared" si="8"/>
        <v>-8.1948973945794812E-2</v>
      </c>
      <c r="P11" s="237">
        <f t="shared" si="9"/>
        <v>78.015480468749999</v>
      </c>
      <c r="Q11" s="109"/>
    </row>
    <row r="12" spans="1:19" s="96" customFormat="1" ht="15.75" x14ac:dyDescent="0.25">
      <c r="A12" s="110" t="s">
        <v>24</v>
      </c>
      <c r="B12" s="102">
        <f>B25*$B$32/100/$B$33</f>
        <v>0.89031800885299361</v>
      </c>
      <c r="C12" s="107">
        <f t="shared" si="0"/>
        <v>0.21857769666847859</v>
      </c>
      <c r="D12" s="108">
        <f t="shared" si="1"/>
        <v>132.53901734104045</v>
      </c>
      <c r="E12" s="102">
        <f>E25*$B$32/100/$B$33</f>
        <v>0.91524691310087747</v>
      </c>
      <c r="F12" s="107">
        <f t="shared" si="2"/>
        <v>0.20467768113691076</v>
      </c>
      <c r="G12" s="108">
        <f t="shared" si="3"/>
        <v>128.8047486338798</v>
      </c>
      <c r="H12" s="102">
        <f>H25*$B$32/100/$B$33</f>
        <v>1.0644642113846392</v>
      </c>
      <c r="I12" s="107">
        <f t="shared" si="4"/>
        <v>0.30341738370738525</v>
      </c>
      <c r="J12" s="108">
        <f t="shared" si="5"/>
        <v>139.868425</v>
      </c>
      <c r="K12" s="102">
        <f>K25*$B$32/100/$B$33</f>
        <v>0.8564859245165799</v>
      </c>
      <c r="L12" s="107">
        <f t="shared" si="6"/>
        <v>0.14591669255261319</v>
      </c>
      <c r="M12" s="108">
        <f t="shared" si="7"/>
        <v>120.53518306010929</v>
      </c>
      <c r="N12" s="102">
        <f>N25*$B$32/100/$B$33</f>
        <v>0.38426125262095201</v>
      </c>
      <c r="O12" s="107">
        <f t="shared" si="8"/>
        <v>1.1503622738215369E-2</v>
      </c>
      <c r="P12" s="108">
        <f t="shared" si="9"/>
        <v>103.08608645833333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1.2271994253319873</v>
      </c>
      <c r="F13" s="107">
        <f t="shared" si="2"/>
        <v>0.51663019336802063</v>
      </c>
      <c r="G13" s="108">
        <f t="shared" si="3"/>
        <v>172.70652459016395</v>
      </c>
      <c r="H13" s="102">
        <f>H26*$B$34/$B$33</f>
        <v>1.2988044187310708</v>
      </c>
      <c r="I13" s="107">
        <f t="shared" si="4"/>
        <v>0.53775759105381682</v>
      </c>
      <c r="J13" s="108">
        <f t="shared" si="5"/>
        <v>170.66024999999999</v>
      </c>
      <c r="K13" s="102">
        <f>K26*$B$34/$B$33</f>
        <v>1.0839894385338198</v>
      </c>
      <c r="L13" s="107">
        <f t="shared" si="6"/>
        <v>0.37342020656985309</v>
      </c>
      <c r="M13" s="108">
        <f t="shared" si="7"/>
        <v>152.55226229508193</v>
      </c>
      <c r="N13" s="102">
        <f>N26*$B$34/$B$33</f>
        <v>0.55631571794672663</v>
      </c>
      <c r="O13" s="107">
        <f t="shared" si="8"/>
        <v>0.18355808806398999</v>
      </c>
      <c r="P13" s="108">
        <f t="shared" si="9"/>
        <v>149.24328125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1.151187970800652</v>
      </c>
      <c r="F14" s="107">
        <f t="shared" si="2"/>
        <v>0.44061873883668534</v>
      </c>
      <c r="G14" s="108">
        <f t="shared" si="3"/>
        <v>162.00926229508195</v>
      </c>
      <c r="H14" s="102">
        <f>H27*$B$34/$B$33</f>
        <v>1.2382155781626154</v>
      </c>
      <c r="I14" s="107">
        <f t="shared" si="4"/>
        <v>0.47716875048536145</v>
      </c>
      <c r="J14" s="108">
        <f t="shared" si="5"/>
        <v>162.69899999999998</v>
      </c>
      <c r="K14" s="102">
        <f>K27*$B$34/$B$33</f>
        <v>1.0388232119282441</v>
      </c>
      <c r="L14" s="107">
        <f t="shared" si="6"/>
        <v>0.32825397996427741</v>
      </c>
      <c r="M14" s="108">
        <f t="shared" si="7"/>
        <v>146.19591803278689</v>
      </c>
      <c r="N14" s="102">
        <f>N27*$B$34/$B$33</f>
        <v>0.51004787605808799</v>
      </c>
      <c r="O14" s="107">
        <f t="shared" si="8"/>
        <v>0.13729024617535135</v>
      </c>
      <c r="P14" s="108">
        <f t="shared" si="9"/>
        <v>136.83096874999998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1.0111995029898269</v>
      </c>
      <c r="F15" s="119">
        <f t="shared" si="2"/>
        <v>0.30063027102586015</v>
      </c>
      <c r="G15" s="120">
        <f t="shared" si="3"/>
        <v>142.30837158469947</v>
      </c>
      <c r="H15" s="118">
        <f>H28*$B$35/10/$B$33</f>
        <v>1.0743994719266909</v>
      </c>
      <c r="I15" s="119">
        <f t="shared" si="4"/>
        <v>0.31335264424943698</v>
      </c>
      <c r="J15" s="120">
        <f t="shared" si="5"/>
        <v>141.17389795918368</v>
      </c>
      <c r="K15" s="118">
        <f>K28*$B$35/10/$B$33</f>
        <v>1.0427994874582589</v>
      </c>
      <c r="L15" s="119">
        <f t="shared" si="6"/>
        <v>0.33223025549429219</v>
      </c>
      <c r="M15" s="120">
        <f t="shared" si="7"/>
        <v>146.75550819672131</v>
      </c>
      <c r="N15" s="118">
        <f>N28*$B$35/10/$B$33</f>
        <v>0.45698439077424857</v>
      </c>
      <c r="O15" s="119">
        <f t="shared" si="8"/>
        <v>8.4226760891511931E-2</v>
      </c>
      <c r="P15" s="120">
        <f t="shared" si="9"/>
        <v>122.59558333333331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5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57" t="s">
        <v>214</v>
      </c>
      <c r="X19" s="357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46.62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47.06</v>
      </c>
      <c r="L21" s="144" t="s">
        <v>172</v>
      </c>
      <c r="M21" s="145" t="s">
        <v>172</v>
      </c>
      <c r="N21" s="143">
        <v>21.65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42.27</v>
      </c>
      <c r="C22" s="144" t="s">
        <v>172</v>
      </c>
      <c r="D22" s="145" t="s">
        <v>172</v>
      </c>
      <c r="E22" s="143">
        <v>45.53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46.85</v>
      </c>
      <c r="L22" s="144" t="s">
        <v>172</v>
      </c>
      <c r="M22" s="145" t="s">
        <v>172</v>
      </c>
      <c r="N22" s="143">
        <v>23.3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46.52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25</v>
      </c>
      <c r="C25" s="144" t="s">
        <v>172</v>
      </c>
      <c r="D25" s="145" t="s">
        <v>172</v>
      </c>
      <c r="E25" s="143">
        <v>25.7</v>
      </c>
      <c r="F25" s="144" t="s">
        <v>172</v>
      </c>
      <c r="G25" s="145" t="s">
        <v>172</v>
      </c>
      <c r="H25" s="143">
        <v>29.89</v>
      </c>
      <c r="I25" s="144" t="s">
        <v>172</v>
      </c>
      <c r="J25" s="145" t="s">
        <v>172</v>
      </c>
      <c r="K25" s="143">
        <v>24.05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1.1140000000000001</v>
      </c>
      <c r="F26" s="144" t="s">
        <v>172</v>
      </c>
      <c r="G26" s="145" t="s">
        <v>172</v>
      </c>
      <c r="H26" s="153">
        <v>1.179</v>
      </c>
      <c r="I26" s="144" t="s">
        <v>172</v>
      </c>
      <c r="J26" s="145" t="s">
        <v>172</v>
      </c>
      <c r="K26" s="153">
        <v>0.98399999999999999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1.0449999999999999</v>
      </c>
      <c r="F27" s="144" t="s">
        <v>172</v>
      </c>
      <c r="G27" s="145" t="s">
        <v>172</v>
      </c>
      <c r="H27" s="153">
        <v>1.1240000000000001</v>
      </c>
      <c r="I27" s="144" t="s">
        <v>172</v>
      </c>
      <c r="J27" s="145" t="s">
        <v>172</v>
      </c>
      <c r="K27" s="153">
        <v>0.94299999999999995</v>
      </c>
      <c r="L27" s="144" t="s">
        <v>172</v>
      </c>
      <c r="M27" s="145" t="s">
        <v>172</v>
      </c>
      <c r="N27" s="153">
        <v>0.46300000000000002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4.16</v>
      </c>
      <c r="F28" s="158" t="s">
        <v>172</v>
      </c>
      <c r="G28" s="159" t="s">
        <v>172</v>
      </c>
      <c r="H28" s="234">
        <v>4.42</v>
      </c>
      <c r="I28" s="158" t="s">
        <v>172</v>
      </c>
      <c r="J28" s="159" t="s">
        <v>172</v>
      </c>
      <c r="K28" s="234">
        <v>4.29</v>
      </c>
      <c r="L28" s="158" t="s">
        <v>172</v>
      </c>
      <c r="M28" s="159" t="s">
        <v>172</v>
      </c>
      <c r="N28" s="234">
        <v>1.88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5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9.1716999999999995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2.5754000000000001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2.8371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6.2602000000000002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3.3121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1" sqref="I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43927</v>
      </c>
      <c r="E2" s="493"/>
      <c r="F2" s="359"/>
      <c r="G2" s="359"/>
      <c r="H2" s="359"/>
      <c r="I2" s="359"/>
      <c r="J2" s="359"/>
      <c r="K2" s="359"/>
      <c r="L2" s="359"/>
      <c r="M2" s="359"/>
      <c r="N2" s="359"/>
      <c r="O2" s="359"/>
      <c r="P2" s="359"/>
      <c r="Q2" s="359"/>
      <c r="R2" s="35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0.67257600497628489</v>
      </c>
      <c r="C6" s="103" t="s">
        <v>172</v>
      </c>
      <c r="D6" s="104" t="s">
        <v>172</v>
      </c>
      <c r="E6" s="102">
        <f>E20/$B$33</f>
        <v>0.71145323069745747</v>
      </c>
      <c r="F6" s="103" t="s">
        <v>172</v>
      </c>
      <c r="G6" s="104" t="s">
        <v>172</v>
      </c>
      <c r="H6" s="102">
        <f>H20/$B$33</f>
        <v>0.76199362413498173</v>
      </c>
      <c r="I6" s="103" t="s">
        <v>172</v>
      </c>
      <c r="J6" s="104" t="s">
        <v>172</v>
      </c>
      <c r="K6" s="102">
        <f>K20/$B$33</f>
        <v>0.71145323069745747</v>
      </c>
      <c r="L6" s="103" t="s">
        <v>172</v>
      </c>
      <c r="M6" s="104" t="s">
        <v>172</v>
      </c>
      <c r="N6" s="102">
        <f>N20/$B$33</f>
        <v>0.37322136692325636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0.55389087940284587</v>
      </c>
      <c r="C7" s="107">
        <f t="shared" ref="C7:C12" si="0">B7-B$6</f>
        <v>-0.11868512557343902</v>
      </c>
      <c r="D7" s="108">
        <f t="shared" ref="D7:D12" si="1">B7/B$6*100</f>
        <v>82.353648554913306</v>
      </c>
      <c r="E7" s="102">
        <f>E21*$B$36/100/$B$33</f>
        <v>0.60847041443122629</v>
      </c>
      <c r="F7" s="107">
        <f t="shared" ref="F7:F15" si="2">E7-E$6</f>
        <v>-0.10298281626623118</v>
      </c>
      <c r="G7" s="108">
        <f t="shared" ref="G7:G15" si="3">E7/E$6*100</f>
        <v>85.525005464480884</v>
      </c>
      <c r="H7" s="102">
        <f>H21*$B$36/100/$B$33</f>
        <v>0.67232063603141279</v>
      </c>
      <c r="I7" s="107">
        <f t="shared" ref="I7:I15" si="4">H7-H$6</f>
        <v>-8.967298810356894E-2</v>
      </c>
      <c r="J7" s="108">
        <f t="shared" ref="J7:J15" si="5">H7/H$6*100</f>
        <v>88.23179285714285</v>
      </c>
      <c r="K7" s="102">
        <f>K21*$B$36/100/$B$33</f>
        <v>0.61526021304719691</v>
      </c>
      <c r="L7" s="107">
        <f t="shared" ref="L7:L15" si="6">K7-K$6</f>
        <v>-9.6193017650260559E-2</v>
      </c>
      <c r="M7" s="108">
        <f t="shared" ref="M7:M15" si="7">K7/K$6*100</f>
        <v>86.479361748633863</v>
      </c>
      <c r="N7" s="102">
        <f>N21*$B$36/100/$B$33</f>
        <v>0.28295180001555092</v>
      </c>
      <c r="O7" s="107">
        <f t="shared" ref="O7:O15" si="8">N7-N$6</f>
        <v>-9.0269566907705434E-2</v>
      </c>
      <c r="P7" s="108">
        <f t="shared" ref="P7:P15" si="9">N7/N$6*100</f>
        <v>75.813397916666673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0.55206285669854605</v>
      </c>
      <c r="C8" s="107">
        <f t="shared" si="0"/>
        <v>-0.12051314827773885</v>
      </c>
      <c r="D8" s="108">
        <f t="shared" si="1"/>
        <v>82.081854335260118</v>
      </c>
      <c r="E8" s="102">
        <f>E22*$B$36/100/$B$33</f>
        <v>0.59489081719928472</v>
      </c>
      <c r="F8" s="107">
        <f t="shared" si="2"/>
        <v>-0.11656241349817276</v>
      </c>
      <c r="G8" s="108">
        <f t="shared" si="3"/>
        <v>83.616292896174869</v>
      </c>
      <c r="H8" s="102">
        <f>H22*$B$36/100/$B$33</f>
        <v>0.67636840059093384</v>
      </c>
      <c r="I8" s="107">
        <f t="shared" si="4"/>
        <v>-8.562522354404789E-2</v>
      </c>
      <c r="J8" s="108">
        <f t="shared" si="5"/>
        <v>88.763000000000005</v>
      </c>
      <c r="K8" s="102">
        <f>K22*$B$36/100/$B$33</f>
        <v>0.60468379597231936</v>
      </c>
      <c r="L8" s="107">
        <f t="shared" si="6"/>
        <v>-0.10676943472513811</v>
      </c>
      <c r="M8" s="108">
        <f t="shared" si="7"/>
        <v>84.992768306010916</v>
      </c>
      <c r="N8" s="102">
        <f>N22*$B$36/100/$B$33</f>
        <v>0.30554093771868435</v>
      </c>
      <c r="O8" s="107">
        <f t="shared" si="8"/>
        <v>-6.7680429204572012E-2</v>
      </c>
      <c r="P8" s="108">
        <f t="shared" si="9"/>
        <v>81.865874999999988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0.5598972397169738</v>
      </c>
      <c r="C9" s="107">
        <f t="shared" si="0"/>
        <v>-0.11267876525931109</v>
      </c>
      <c r="D9" s="108">
        <f t="shared" si="1"/>
        <v>83.246686705202308</v>
      </c>
      <c r="E9" s="102">
        <f>E23*$B$36/100/$B$33</f>
        <v>0.60141946971464122</v>
      </c>
      <c r="F9" s="107">
        <f t="shared" si="2"/>
        <v>-0.11003376098281625</v>
      </c>
      <c r="G9" s="108">
        <f t="shared" si="3"/>
        <v>84.53394316939891</v>
      </c>
      <c r="H9" s="102">
        <f>H23*$B$36/100/$B$33</f>
        <v>0.66592255656636345</v>
      </c>
      <c r="I9" s="107">
        <f t="shared" si="4"/>
        <v>-9.6071067568618274E-2</v>
      </c>
      <c r="J9" s="108">
        <f t="shared" si="5"/>
        <v>87.392142857142858</v>
      </c>
      <c r="K9" s="102">
        <f>K23*$B$36/100/$B$33</f>
        <v>0.60285577326801953</v>
      </c>
      <c r="L9" s="107">
        <f t="shared" si="6"/>
        <v>-0.10859745742943794</v>
      </c>
      <c r="M9" s="108">
        <f t="shared" si="7"/>
        <v>84.735826229508177</v>
      </c>
      <c r="N9" s="102">
        <f>N23*$B$36/100/$B$33</f>
        <v>0.31011099447943391</v>
      </c>
      <c r="O9" s="107">
        <f t="shared" si="8"/>
        <v>-6.3110372443822449E-2</v>
      </c>
      <c r="P9" s="108">
        <f t="shared" si="9"/>
        <v>83.090364583333326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0.54840681128994639</v>
      </c>
      <c r="C10" s="107">
        <f t="shared" si="0"/>
        <v>-0.1241691936863385</v>
      </c>
      <c r="D10" s="108">
        <f t="shared" si="1"/>
        <v>81.538265895953771</v>
      </c>
      <c r="E10" s="102">
        <f>E24*$B$36/100/$B$33</f>
        <v>0.58770929943239247</v>
      </c>
      <c r="F10" s="107">
        <f t="shared" si="2"/>
        <v>-0.123743931265065</v>
      </c>
      <c r="G10" s="108">
        <f t="shared" si="3"/>
        <v>82.606877595628404</v>
      </c>
      <c r="H10" s="102">
        <f>H24*$B$36/100/$B$33</f>
        <v>0.6853779410621258</v>
      </c>
      <c r="I10" s="107">
        <f t="shared" si="4"/>
        <v>-7.6615683072855933E-2</v>
      </c>
      <c r="J10" s="108">
        <f t="shared" si="5"/>
        <v>89.945364285714277</v>
      </c>
      <c r="K10" s="102">
        <f>K24*$B$36/100/$B$33</f>
        <v>0.62557548402146013</v>
      </c>
      <c r="L10" s="107">
        <f t="shared" si="6"/>
        <v>-8.5877746675997346E-2</v>
      </c>
      <c r="M10" s="108">
        <f t="shared" si="7"/>
        <v>87.929249180327844</v>
      </c>
      <c r="N10" s="102">
        <f>N24*$B$36/100/$B$33</f>
        <v>0.2839963844180079</v>
      </c>
      <c r="O10" s="107">
        <f t="shared" si="8"/>
        <v>-8.9224982505248462E-2</v>
      </c>
      <c r="P10" s="108">
        <f t="shared" si="9"/>
        <v>76.09328124999999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0.55356444677707795</v>
      </c>
      <c r="C11" s="236">
        <f t="shared" si="0"/>
        <v>-0.11901155819920695</v>
      </c>
      <c r="D11" s="237">
        <f t="shared" si="1"/>
        <v>82.305113872832365</v>
      </c>
      <c r="E11" s="235">
        <f>AVERAGE(E7:E10)</f>
        <v>0.59812250019438618</v>
      </c>
      <c r="F11" s="236">
        <f t="shared" si="2"/>
        <v>-0.1133307305030713</v>
      </c>
      <c r="G11" s="237">
        <f t="shared" si="3"/>
        <v>84.07052978142076</v>
      </c>
      <c r="H11" s="235">
        <f>AVERAGE(H7:H10)</f>
        <v>0.674997383562709</v>
      </c>
      <c r="I11" s="236">
        <f t="shared" si="4"/>
        <v>-8.6996240572272732E-2</v>
      </c>
      <c r="J11" s="237">
        <f t="shared" si="5"/>
        <v>88.583074999999994</v>
      </c>
      <c r="K11" s="235">
        <f>AVERAGE(K7:K10)</f>
        <v>0.61209381657724893</v>
      </c>
      <c r="L11" s="236">
        <f t="shared" si="6"/>
        <v>-9.9359414120208545E-2</v>
      </c>
      <c r="M11" s="237">
        <f t="shared" si="7"/>
        <v>86.034301366120189</v>
      </c>
      <c r="N11" s="235">
        <f>AVERAGE(N7:N10)</f>
        <v>0.29565002915791927</v>
      </c>
      <c r="O11" s="236">
        <f t="shared" si="8"/>
        <v>-7.7571337765337089E-2</v>
      </c>
      <c r="P11" s="237">
        <f t="shared" si="9"/>
        <v>79.215729687499987</v>
      </c>
      <c r="Q11" s="109"/>
    </row>
    <row r="12" spans="1:19" s="96" customFormat="1" ht="15.75" x14ac:dyDescent="0.25">
      <c r="A12" s="110" t="s">
        <v>24</v>
      </c>
      <c r="B12" s="102">
        <f>B25*$B$32/100/$B$33</f>
        <v>0.88278409532695745</v>
      </c>
      <c r="C12" s="107">
        <f t="shared" si="0"/>
        <v>0.21020809035067256</v>
      </c>
      <c r="D12" s="108">
        <f t="shared" si="1"/>
        <v>131.25417630057802</v>
      </c>
      <c r="E12" s="102">
        <f>E25*$B$32/100/$B$33</f>
        <v>0.92646825674519873</v>
      </c>
      <c r="F12" s="107">
        <f t="shared" si="2"/>
        <v>0.21501502604774125</v>
      </c>
      <c r="G12" s="108">
        <f t="shared" si="3"/>
        <v>130.22194808743171</v>
      </c>
      <c r="H12" s="102">
        <f>H25*$B$32/100/$B$33</f>
        <v>1.0753584402457042</v>
      </c>
      <c r="I12" s="107">
        <f t="shared" si="4"/>
        <v>0.31336481611072242</v>
      </c>
      <c r="J12" s="108">
        <f t="shared" si="5"/>
        <v>141.12433571428573</v>
      </c>
      <c r="K12" s="102">
        <f>K25*$B$32/100/$B$33</f>
        <v>0.85548149444055654</v>
      </c>
      <c r="L12" s="107">
        <f t="shared" si="6"/>
        <v>0.14402826374309907</v>
      </c>
      <c r="M12" s="108">
        <f t="shared" si="7"/>
        <v>120.24423497267756</v>
      </c>
      <c r="N12" s="102">
        <f>N25*$B$32/100/$B$33</f>
        <v>0.39097324469325873</v>
      </c>
      <c r="O12" s="107">
        <f t="shared" si="8"/>
        <v>1.7751877770002367E-2</v>
      </c>
      <c r="P12" s="108">
        <f t="shared" si="9"/>
        <v>104.75639375000002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1.0525728170437758</v>
      </c>
      <c r="F13" s="107">
        <f t="shared" si="2"/>
        <v>0.34111958634631834</v>
      </c>
      <c r="G13" s="108">
        <f t="shared" si="3"/>
        <v>147.9468743169399</v>
      </c>
      <c r="H13" s="102">
        <f>H26*$B$34/$B$33</f>
        <v>1.1228163828629187</v>
      </c>
      <c r="I13" s="107">
        <f t="shared" si="4"/>
        <v>0.36082275872793701</v>
      </c>
      <c r="J13" s="108">
        <f t="shared" si="5"/>
        <v>147.35246428571426</v>
      </c>
      <c r="K13" s="102">
        <f>K26*$B$34/$B$33</f>
        <v>0.94450579270663249</v>
      </c>
      <c r="L13" s="107">
        <f t="shared" si="6"/>
        <v>0.23305256200917501</v>
      </c>
      <c r="M13" s="108">
        <f t="shared" si="7"/>
        <v>132.75725683060108</v>
      </c>
      <c r="N13" s="102">
        <f>N26*$B$34/$B$33</f>
        <v>0.52952841925200211</v>
      </c>
      <c r="O13" s="107">
        <f t="shared" si="8"/>
        <v>0.15630705232874575</v>
      </c>
      <c r="P13" s="108">
        <f t="shared" si="9"/>
        <v>141.88052083333332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1.0320400824197185</v>
      </c>
      <c r="F14" s="107">
        <f t="shared" si="2"/>
        <v>0.32058685172226098</v>
      </c>
      <c r="G14" s="108">
        <f t="shared" si="3"/>
        <v>145.0608469945355</v>
      </c>
      <c r="H14" s="102">
        <f>H27*$B$34/$B$33</f>
        <v>1.1174130316460618</v>
      </c>
      <c r="I14" s="107">
        <f t="shared" si="4"/>
        <v>0.35541940751108003</v>
      </c>
      <c r="J14" s="108">
        <f t="shared" si="5"/>
        <v>146.64335714285716</v>
      </c>
      <c r="K14" s="102">
        <f>K27*$B$34/$B$33</f>
        <v>0.99313595365834706</v>
      </c>
      <c r="L14" s="107">
        <f t="shared" si="6"/>
        <v>0.28168272296088959</v>
      </c>
      <c r="M14" s="108">
        <f t="shared" si="7"/>
        <v>139.59258469945357</v>
      </c>
      <c r="N14" s="102">
        <f>N27*$B$34/$B$33</f>
        <v>0.44199412953891609</v>
      </c>
      <c r="O14" s="107">
        <f t="shared" si="8"/>
        <v>6.8772762615659733E-2</v>
      </c>
      <c r="P14" s="108">
        <f t="shared" si="9"/>
        <v>118.42680208333334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0.94542586113054972</v>
      </c>
      <c r="F15" s="119">
        <f t="shared" si="2"/>
        <v>0.23397263043309224</v>
      </c>
      <c r="G15" s="120">
        <f t="shared" si="3"/>
        <v>132.88657923497266</v>
      </c>
      <c r="H15" s="118">
        <f>H28*$B$35/10/$B$33</f>
        <v>1.009082963999689</v>
      </c>
      <c r="I15" s="119">
        <f t="shared" si="4"/>
        <v>0.24708933986470727</v>
      </c>
      <c r="J15" s="120">
        <f t="shared" si="5"/>
        <v>132.426693877551</v>
      </c>
      <c r="K15" s="118">
        <f>K28*$B$35/10/$B$33</f>
        <v>0.98079091828007159</v>
      </c>
      <c r="L15" s="119">
        <f t="shared" si="6"/>
        <v>0.26933768758261412</v>
      </c>
      <c r="M15" s="120">
        <f t="shared" si="7"/>
        <v>137.85739890710383</v>
      </c>
      <c r="N15" s="118">
        <f>N28*$B$35/10/$B$33</f>
        <v>0.42909602674753133</v>
      </c>
      <c r="O15" s="119">
        <f t="shared" si="8"/>
        <v>5.5874659824274975E-2</v>
      </c>
      <c r="P15" s="120">
        <f t="shared" si="9"/>
        <v>114.97091666666668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6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61" t="s">
        <v>214</v>
      </c>
      <c r="X19" s="361" t="s">
        <v>214</v>
      </c>
    </row>
    <row r="20" spans="1:24" s="141" customFormat="1" ht="15.75" x14ac:dyDescent="0.25">
      <c r="A20" s="133" t="s">
        <v>185</v>
      </c>
      <c r="B20" s="134">
        <v>1.73</v>
      </c>
      <c r="C20" s="135" t="s">
        <v>172</v>
      </c>
      <c r="D20" s="136" t="s">
        <v>172</v>
      </c>
      <c r="E20" s="134">
        <v>1.83</v>
      </c>
      <c r="F20" s="135" t="s">
        <v>172</v>
      </c>
      <c r="G20" s="136" t="s">
        <v>172</v>
      </c>
      <c r="H20" s="134">
        <v>1.96</v>
      </c>
      <c r="I20" s="135" t="s">
        <v>172</v>
      </c>
      <c r="J20" s="136" t="s">
        <v>172</v>
      </c>
      <c r="K20" s="134">
        <v>1.83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42.42</v>
      </c>
      <c r="C21" s="144" t="s">
        <v>172</v>
      </c>
      <c r="D21" s="145" t="s">
        <v>172</v>
      </c>
      <c r="E21" s="143">
        <v>46.6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47.12</v>
      </c>
      <c r="L21" s="144" t="s">
        <v>172</v>
      </c>
      <c r="M21" s="145" t="s">
        <v>172</v>
      </c>
      <c r="N21" s="143">
        <v>21.67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42.28</v>
      </c>
      <c r="C22" s="144" t="s">
        <v>172</v>
      </c>
      <c r="D22" s="145" t="s">
        <v>172</v>
      </c>
      <c r="E22" s="143">
        <v>45.56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46.31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42.88</v>
      </c>
      <c r="C23" s="144" t="s">
        <v>172</v>
      </c>
      <c r="D23" s="145" t="s">
        <v>172</v>
      </c>
      <c r="E23" s="143">
        <v>46.06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46.17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24.25</v>
      </c>
      <c r="C25" s="144" t="s">
        <v>172</v>
      </c>
      <c r="D25" s="145" t="s">
        <v>172</v>
      </c>
      <c r="E25" s="143">
        <v>25.45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23.5</v>
      </c>
      <c r="L25" s="144" t="s">
        <v>172</v>
      </c>
      <c r="M25" s="145" t="s">
        <v>172</v>
      </c>
      <c r="N25" s="143">
        <v>10.74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0.97399999999999998</v>
      </c>
      <c r="F26" s="144" t="s">
        <v>172</v>
      </c>
      <c r="G26" s="145" t="s">
        <v>172</v>
      </c>
      <c r="H26" s="153">
        <v>1.0389999999999999</v>
      </c>
      <c r="I26" s="144" t="s">
        <v>172</v>
      </c>
      <c r="J26" s="145" t="s">
        <v>172</v>
      </c>
      <c r="K26" s="153">
        <v>0.874</v>
      </c>
      <c r="L26" s="144" t="s">
        <v>172</v>
      </c>
      <c r="M26" s="145" t="s">
        <v>172</v>
      </c>
      <c r="N26" s="153">
        <v>0.49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0.95499999999999996</v>
      </c>
      <c r="F27" s="144" t="s">
        <v>172</v>
      </c>
      <c r="G27" s="145" t="s">
        <v>172</v>
      </c>
      <c r="H27" s="153">
        <v>1.034</v>
      </c>
      <c r="I27" s="144" t="s">
        <v>172</v>
      </c>
      <c r="J27" s="145" t="s">
        <v>172</v>
      </c>
      <c r="K27" s="153">
        <v>0.91900000000000004</v>
      </c>
      <c r="L27" s="144" t="s">
        <v>172</v>
      </c>
      <c r="M27" s="145" t="s">
        <v>172</v>
      </c>
      <c r="N27" s="153">
        <v>0.40899999999999997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4.01</v>
      </c>
      <c r="F28" s="158" t="s">
        <v>172</v>
      </c>
      <c r="G28" s="159" t="s">
        <v>172</v>
      </c>
      <c r="H28" s="234">
        <v>4.28</v>
      </c>
      <c r="I28" s="158" t="s">
        <v>172</v>
      </c>
      <c r="J28" s="159" t="s">
        <v>172</v>
      </c>
      <c r="K28" s="234">
        <v>4.16</v>
      </c>
      <c r="L28" s="158" t="s">
        <v>172</v>
      </c>
      <c r="M28" s="159" t="s">
        <v>172</v>
      </c>
      <c r="N28" s="234">
        <v>1.82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6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9.3636999999999997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2.5722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6">
        <v>2.7797000000000001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6.0644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3.3586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208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display="http://www.fuel-prices-europe.info/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7" right="0.7" top="0.75" bottom="0.75" header="0.3" footer="0.3"/>
  <pageSetup paperSize="9" orientation="portrait" r:id="rId7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43934</v>
      </c>
      <c r="E2" s="493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0.69489334195216546</v>
      </c>
      <c r="C6" s="103" t="s">
        <v>172</v>
      </c>
      <c r="D6" s="104" t="s">
        <v>172</v>
      </c>
      <c r="E6" s="102">
        <f>E20/$B$33</f>
        <v>0.73529411764705888</v>
      </c>
      <c r="F6" s="103" t="s">
        <v>172</v>
      </c>
      <c r="G6" s="104" t="s">
        <v>172</v>
      </c>
      <c r="H6" s="102">
        <f>H20/$B$33</f>
        <v>0.78781512605042014</v>
      </c>
      <c r="I6" s="103" t="s">
        <v>172</v>
      </c>
      <c r="J6" s="104" t="s">
        <v>172</v>
      </c>
      <c r="K6" s="102">
        <f>K20/$B$33</f>
        <v>0.73529411764705888</v>
      </c>
      <c r="L6" s="103" t="s">
        <v>172</v>
      </c>
      <c r="M6" s="104" t="s">
        <v>172</v>
      </c>
      <c r="N6" s="102">
        <f>N20/$B$33</f>
        <v>0.38784744667097604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0.57439069570135737</v>
      </c>
      <c r="C7" s="107">
        <f t="shared" ref="C7:C12" si="0">B7-B$6</f>
        <v>-0.12050264625080809</v>
      </c>
      <c r="D7" s="108">
        <f t="shared" ref="D7:D12" si="1">B7/B$6*100</f>
        <v>82.65882848837208</v>
      </c>
      <c r="E7" s="102">
        <f>E21*$B$36/100/$B$33</f>
        <v>0.63149069166127991</v>
      </c>
      <c r="F7" s="107">
        <f t="shared" ref="F7:F15" si="2">E7-E$6</f>
        <v>-0.10380342598577896</v>
      </c>
      <c r="G7" s="108">
        <f t="shared" ref="G7:G15" si="3">E7/E$6*100</f>
        <v>85.882734065934059</v>
      </c>
      <c r="H7" s="102">
        <f>H21*$B$36/100/$B$33</f>
        <v>0.69835600759534577</v>
      </c>
      <c r="I7" s="107">
        <f t="shared" ref="I7:I15" si="4">H7-H$6</f>
        <v>-8.9459118455074371E-2</v>
      </c>
      <c r="J7" s="108">
        <f t="shared" ref="J7:J15" si="5">H7/H$6*100</f>
        <v>88.644655897435896</v>
      </c>
      <c r="K7" s="102">
        <f>K21*$B$36/100/$B$33</f>
        <v>0.63650898109243692</v>
      </c>
      <c r="L7" s="107">
        <f t="shared" ref="L7:L15" si="6">K7-K$6</f>
        <v>-9.8785136554621955E-2</v>
      </c>
      <c r="M7" s="108">
        <f t="shared" ref="M7:M15" si="7">K7/K$6*100</f>
        <v>86.565221428571419</v>
      </c>
      <c r="N7" s="102">
        <f>N21*$B$36/100/$B$33</f>
        <v>0.28455057369101483</v>
      </c>
      <c r="O7" s="107">
        <f t="shared" ref="O7:O15" si="8">N7-N$6</f>
        <v>-0.10329687297996121</v>
      </c>
      <c r="P7" s="108">
        <f t="shared" ref="P7:P15" si="9">N7/N$6*100</f>
        <v>73.366622916666671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0.56611729961215262</v>
      </c>
      <c r="C8" s="107">
        <f t="shared" si="0"/>
        <v>-0.12877604234001283</v>
      </c>
      <c r="D8" s="108">
        <f t="shared" si="1"/>
        <v>81.468229069767446</v>
      </c>
      <c r="E8" s="102">
        <f>E22*$B$36/100/$B$33</f>
        <v>0.60897620394311569</v>
      </c>
      <c r="F8" s="107">
        <f t="shared" si="2"/>
        <v>-0.12631791370394319</v>
      </c>
      <c r="G8" s="108">
        <f t="shared" si="3"/>
        <v>82.820763736263729</v>
      </c>
      <c r="H8" s="102">
        <f>H22*$B$36/100/$B$33</f>
        <v>0.7025605203619909</v>
      </c>
      <c r="I8" s="107">
        <f t="shared" si="4"/>
        <v>-8.5254605688429241E-2</v>
      </c>
      <c r="J8" s="108">
        <f t="shared" si="5"/>
        <v>89.178348717948722</v>
      </c>
      <c r="K8" s="102">
        <f>K22*$B$36/100/$B$33</f>
        <v>0.62552299612152551</v>
      </c>
      <c r="L8" s="107">
        <f t="shared" si="6"/>
        <v>-0.10977112152553337</v>
      </c>
      <c r="M8" s="108">
        <f t="shared" si="7"/>
        <v>85.071127472527465</v>
      </c>
      <c r="N8" s="102">
        <f>N22*$B$36/100/$B$33</f>
        <v>0.31737289915966382</v>
      </c>
      <c r="O8" s="107">
        <f t="shared" si="8"/>
        <v>-7.0474547511312213E-2</v>
      </c>
      <c r="P8" s="108">
        <f t="shared" si="9"/>
        <v>81.8293125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0.57561136069812535</v>
      </c>
      <c r="C9" s="107">
        <f t="shared" si="0"/>
        <v>-0.1192819812540401</v>
      </c>
      <c r="D9" s="108">
        <f t="shared" si="1"/>
        <v>82.834490697674411</v>
      </c>
      <c r="E9" s="102">
        <f>E23*$B$36/100/$B$33</f>
        <v>0.61941967113768581</v>
      </c>
      <c r="F9" s="107">
        <f t="shared" si="2"/>
        <v>-0.11587444650937306</v>
      </c>
      <c r="G9" s="108">
        <f t="shared" si="3"/>
        <v>84.241075274725262</v>
      </c>
      <c r="H9" s="102">
        <f>H23*$B$36/100/$B$33</f>
        <v>0.69171016483516479</v>
      </c>
      <c r="I9" s="107">
        <f t="shared" si="4"/>
        <v>-9.6104961215255358E-2</v>
      </c>
      <c r="J9" s="108">
        <f t="shared" si="5"/>
        <v>87.80107692307692</v>
      </c>
      <c r="K9" s="102">
        <f>K23*$B$36/100/$B$33</f>
        <v>0.62430233112475753</v>
      </c>
      <c r="L9" s="107">
        <f t="shared" si="6"/>
        <v>-0.11099178652230135</v>
      </c>
      <c r="M9" s="108">
        <f t="shared" si="7"/>
        <v>84.905117032967013</v>
      </c>
      <c r="N9" s="102">
        <f>N23*$B$36/100/$B$33</f>
        <v>0.3221199297026503</v>
      </c>
      <c r="O9" s="107">
        <f t="shared" si="8"/>
        <v>-6.5727516968325739E-2</v>
      </c>
      <c r="P9" s="108">
        <f t="shared" si="9"/>
        <v>83.05325520833334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0.56964366515837106</v>
      </c>
      <c r="C10" s="107">
        <f t="shared" si="0"/>
        <v>-0.1252496767937944</v>
      </c>
      <c r="D10" s="108">
        <f t="shared" si="1"/>
        <v>81.975697674418612</v>
      </c>
      <c r="E10" s="102">
        <f>E24*$B$36/100/$B$33</f>
        <v>0.61046812782805426</v>
      </c>
      <c r="F10" s="107">
        <f t="shared" si="2"/>
        <v>-0.12482598981900461</v>
      </c>
      <c r="G10" s="108">
        <f t="shared" si="3"/>
        <v>83.02366538461537</v>
      </c>
      <c r="H10" s="102">
        <f>H24*$B$36/100/$B$33</f>
        <v>0.71191895200387845</v>
      </c>
      <c r="I10" s="107">
        <f t="shared" si="4"/>
        <v>-7.5896174046541698E-2</v>
      </c>
      <c r="J10" s="108">
        <f t="shared" si="5"/>
        <v>90.366245641025642</v>
      </c>
      <c r="K10" s="102">
        <f>K24*$B$36/100/$B$33</f>
        <v>0.64952940772462842</v>
      </c>
      <c r="L10" s="107">
        <f t="shared" si="6"/>
        <v>-8.576470992243046E-2</v>
      </c>
      <c r="M10" s="108">
        <f t="shared" si="7"/>
        <v>88.335999450549465</v>
      </c>
      <c r="N10" s="102">
        <f>N24*$B$36/100/$B$33</f>
        <v>0.29499404088558501</v>
      </c>
      <c r="O10" s="107">
        <f t="shared" si="8"/>
        <v>-9.285340578539103E-2</v>
      </c>
      <c r="P10" s="108">
        <f t="shared" si="9"/>
        <v>76.059296875000015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0.5714407552925016</v>
      </c>
      <c r="C11" s="236">
        <f t="shared" si="0"/>
        <v>-0.12345258665966385</v>
      </c>
      <c r="D11" s="237">
        <f t="shared" si="1"/>
        <v>82.234311482558141</v>
      </c>
      <c r="E11" s="235">
        <f>AVERAGE(E7:E10)</f>
        <v>0.61758867364253389</v>
      </c>
      <c r="F11" s="236">
        <f t="shared" si="2"/>
        <v>-0.11770544400452498</v>
      </c>
      <c r="G11" s="237">
        <f t="shared" si="3"/>
        <v>83.992059615384605</v>
      </c>
      <c r="H11" s="235">
        <f>AVERAGE(H7:H10)</f>
        <v>0.70113641119909498</v>
      </c>
      <c r="I11" s="236">
        <f t="shared" si="4"/>
        <v>-8.6678714851325167E-2</v>
      </c>
      <c r="J11" s="237">
        <f t="shared" si="5"/>
        <v>88.997581794871792</v>
      </c>
      <c r="K11" s="235">
        <f>AVERAGE(K7:K10)</f>
        <v>0.63396592901583715</v>
      </c>
      <c r="L11" s="236">
        <f t="shared" si="6"/>
        <v>-0.10132818863122173</v>
      </c>
      <c r="M11" s="237">
        <f t="shared" si="7"/>
        <v>86.219366346153848</v>
      </c>
      <c r="N11" s="235">
        <f>AVERAGE(N7:N10)</f>
        <v>0.30475936085972843</v>
      </c>
      <c r="O11" s="236">
        <f t="shared" si="8"/>
        <v>-8.3088085811247603E-2</v>
      </c>
      <c r="P11" s="237">
        <f t="shared" si="9"/>
        <v>78.577121874999989</v>
      </c>
      <c r="Q11" s="109"/>
    </row>
    <row r="12" spans="1:19" s="96" customFormat="1" ht="15.75" x14ac:dyDescent="0.25">
      <c r="A12" s="110" t="s">
        <v>24</v>
      </c>
      <c r="B12" s="102">
        <f>B25*$B$32/100/$B$33</f>
        <v>0.89220052925016158</v>
      </c>
      <c r="C12" s="107">
        <f t="shared" si="0"/>
        <v>0.19730718729799612</v>
      </c>
      <c r="D12" s="108">
        <f t="shared" si="1"/>
        <v>128.3938808139535</v>
      </c>
      <c r="E12" s="102">
        <f>E25*$B$32/100/$B$33</f>
        <v>0.93635065853264376</v>
      </c>
      <c r="F12" s="107">
        <f t="shared" si="2"/>
        <v>0.20105654088558489</v>
      </c>
      <c r="G12" s="108">
        <f t="shared" si="3"/>
        <v>127.34368956043953</v>
      </c>
      <c r="H12" s="102">
        <f>H25*$B$32/100/$B$33</f>
        <v>1.0868290158371041</v>
      </c>
      <c r="I12" s="107">
        <f t="shared" si="4"/>
        <v>0.29901388978668397</v>
      </c>
      <c r="J12" s="108">
        <f t="shared" si="5"/>
        <v>137.95482974358976</v>
      </c>
      <c r="K12" s="102">
        <f>K25*$B$32/100/$B$33</f>
        <v>0.86460669844861016</v>
      </c>
      <c r="L12" s="107">
        <f t="shared" si="6"/>
        <v>0.12931258080155128</v>
      </c>
      <c r="M12" s="108">
        <f t="shared" si="7"/>
        <v>117.58651098901099</v>
      </c>
      <c r="N12" s="102">
        <f>N25*$B$32/100/$B$33</f>
        <v>0.37674776987718162</v>
      </c>
      <c r="O12" s="107">
        <f t="shared" si="8"/>
        <v>-1.1099676793794422E-2</v>
      </c>
      <c r="P12" s="108">
        <f t="shared" si="9"/>
        <v>97.138133333333343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1.0025056561085972</v>
      </c>
      <c r="F13" s="107">
        <f t="shared" si="2"/>
        <v>0.26721153846153833</v>
      </c>
      <c r="G13" s="108">
        <f t="shared" si="3"/>
        <v>136.34076923076921</v>
      </c>
      <c r="H13" s="102">
        <f>H26*$B$34/$B$33</f>
        <v>1.0735665804783452</v>
      </c>
      <c r="I13" s="107">
        <f t="shared" si="4"/>
        <v>0.28575145442792504</v>
      </c>
      <c r="J13" s="108">
        <f t="shared" si="5"/>
        <v>136.27138461538462</v>
      </c>
      <c r="K13" s="102">
        <f>K26*$B$34/$B$33</f>
        <v>0.9478434065934066</v>
      </c>
      <c r="L13" s="107">
        <f t="shared" si="6"/>
        <v>0.21254928894634773</v>
      </c>
      <c r="M13" s="108">
        <f t="shared" si="7"/>
        <v>128.90670329670328</v>
      </c>
      <c r="N13" s="102">
        <f>N26*$B$34/$B$33</f>
        <v>0.52475759534583066</v>
      </c>
      <c r="O13" s="107">
        <f t="shared" si="8"/>
        <v>0.13691014867485463</v>
      </c>
      <c r="P13" s="108">
        <f t="shared" si="9"/>
        <v>135.30000000000001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1.0331165158371038</v>
      </c>
      <c r="F14" s="107">
        <f t="shared" si="2"/>
        <v>0.29782239819004497</v>
      </c>
      <c r="G14" s="108">
        <f t="shared" si="3"/>
        <v>140.50384615384613</v>
      </c>
      <c r="H14" s="102">
        <f>H27*$B$34/$B$33</f>
        <v>1.1194828700711055</v>
      </c>
      <c r="I14" s="107">
        <f t="shared" si="4"/>
        <v>0.33166774402068533</v>
      </c>
      <c r="J14" s="108">
        <f t="shared" si="5"/>
        <v>142.09969230769232</v>
      </c>
      <c r="K14" s="102">
        <f>K27*$B$34/$B$33</f>
        <v>0.98938671622495145</v>
      </c>
      <c r="L14" s="107">
        <f t="shared" si="6"/>
        <v>0.25409259857789257</v>
      </c>
      <c r="M14" s="108">
        <f t="shared" si="7"/>
        <v>134.55659340659338</v>
      </c>
      <c r="N14" s="102">
        <f>N27*$B$34/$B$33</f>
        <v>0.46244263089851323</v>
      </c>
      <c r="O14" s="107">
        <f t="shared" si="8"/>
        <v>7.4595184227537192E-2</v>
      </c>
      <c r="P14" s="108">
        <f t="shared" si="9"/>
        <v>119.233125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0.9606660067873305</v>
      </c>
      <c r="F15" s="119">
        <f t="shared" si="2"/>
        <v>0.22537188914027162</v>
      </c>
      <c r="G15" s="120">
        <f t="shared" si="3"/>
        <v>130.65057692307693</v>
      </c>
      <c r="H15" s="118">
        <f>H28*$B$35/10/$B$33</f>
        <v>1.0328965336134452</v>
      </c>
      <c r="I15" s="119">
        <f t="shared" si="4"/>
        <v>0.2450814075630251</v>
      </c>
      <c r="J15" s="120">
        <f t="shared" si="5"/>
        <v>131.10899999999998</v>
      </c>
      <c r="K15" s="118">
        <f>K28*$B$35/10/$B$33</f>
        <v>0.99678127020038776</v>
      </c>
      <c r="L15" s="119">
        <f t="shared" si="6"/>
        <v>0.26148715255332888</v>
      </c>
      <c r="M15" s="120">
        <f t="shared" si="7"/>
        <v>135.56225274725273</v>
      </c>
      <c r="N15" s="118">
        <f>N28*$B$35/10/$B$33</f>
        <v>0.42375242404654168</v>
      </c>
      <c r="O15" s="119">
        <f t="shared" si="8"/>
        <v>3.5904977375565639E-2</v>
      </c>
      <c r="P15" s="120">
        <f t="shared" si="9"/>
        <v>109.25750000000001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6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63" t="s">
        <v>214</v>
      </c>
      <c r="X19" s="363" t="s">
        <v>214</v>
      </c>
    </row>
    <row r="20" spans="1:24" s="141" customFormat="1" ht="15.75" x14ac:dyDescent="0.25">
      <c r="A20" s="133" t="s">
        <v>185</v>
      </c>
      <c r="B20" s="134">
        <v>1.72</v>
      </c>
      <c r="C20" s="135" t="s">
        <v>172</v>
      </c>
      <c r="D20" s="136" t="s">
        <v>172</v>
      </c>
      <c r="E20" s="134">
        <v>1.82</v>
      </c>
      <c r="F20" s="135" t="s">
        <v>172</v>
      </c>
      <c r="G20" s="136" t="s">
        <v>172</v>
      </c>
      <c r="H20" s="134">
        <v>1.95</v>
      </c>
      <c r="I20" s="135" t="s">
        <v>172</v>
      </c>
      <c r="J20" s="136" t="s">
        <v>172</v>
      </c>
      <c r="K20" s="134">
        <v>1.82</v>
      </c>
      <c r="L20" s="135" t="s">
        <v>172</v>
      </c>
      <c r="M20" s="136" t="s">
        <v>172</v>
      </c>
      <c r="N20" s="143">
        <v>0.96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42.35</v>
      </c>
      <c r="C21" s="144" t="s">
        <v>172</v>
      </c>
      <c r="D21" s="145" t="s">
        <v>172</v>
      </c>
      <c r="E21" s="143">
        <v>46.56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46.93</v>
      </c>
      <c r="L21" s="144" t="s">
        <v>172</v>
      </c>
      <c r="M21" s="145" t="s">
        <v>172</v>
      </c>
      <c r="N21" s="143">
        <v>20.98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41.74</v>
      </c>
      <c r="C22" s="144" t="s">
        <v>172</v>
      </c>
      <c r="D22" s="145" t="s">
        <v>172</v>
      </c>
      <c r="E22" s="143">
        <v>44.9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46.12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42.44</v>
      </c>
      <c r="C23" s="144" t="s">
        <v>172</v>
      </c>
      <c r="D23" s="145" t="s">
        <v>172</v>
      </c>
      <c r="E23" s="143">
        <v>45.67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46.03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47.89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24.25</v>
      </c>
      <c r="C25" s="144" t="s">
        <v>172</v>
      </c>
      <c r="D25" s="145" t="s">
        <v>172</v>
      </c>
      <c r="E25" s="143">
        <v>25.45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23.5</v>
      </c>
      <c r="L25" s="144" t="s">
        <v>172</v>
      </c>
      <c r="M25" s="145" t="s">
        <v>172</v>
      </c>
      <c r="N25" s="143">
        <v>10.24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0.91700000000000004</v>
      </c>
      <c r="F26" s="144" t="s">
        <v>172</v>
      </c>
      <c r="G26" s="145" t="s">
        <v>172</v>
      </c>
      <c r="H26" s="153">
        <v>0.98199999999999998</v>
      </c>
      <c r="I26" s="144" t="s">
        <v>172</v>
      </c>
      <c r="J26" s="145" t="s">
        <v>172</v>
      </c>
      <c r="K26" s="153">
        <v>0.86699999999999999</v>
      </c>
      <c r="L26" s="144" t="s">
        <v>172</v>
      </c>
      <c r="M26" s="145" t="s">
        <v>172</v>
      </c>
      <c r="N26" s="153">
        <v>0.48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0.94499999999999995</v>
      </c>
      <c r="F27" s="144" t="s">
        <v>172</v>
      </c>
      <c r="G27" s="145" t="s">
        <v>172</v>
      </c>
      <c r="H27" s="153">
        <v>1.024</v>
      </c>
      <c r="I27" s="144" t="s">
        <v>172</v>
      </c>
      <c r="J27" s="145" t="s">
        <v>172</v>
      </c>
      <c r="K27" s="153">
        <v>0.90500000000000003</v>
      </c>
      <c r="L27" s="144" t="s">
        <v>172</v>
      </c>
      <c r="M27" s="145" t="s">
        <v>172</v>
      </c>
      <c r="N27" s="153">
        <v>0.42299999999999999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3.99</v>
      </c>
      <c r="F28" s="158" t="s">
        <v>172</v>
      </c>
      <c r="G28" s="159" t="s">
        <v>172</v>
      </c>
      <c r="H28" s="234">
        <v>4.29</v>
      </c>
      <c r="I28" s="158" t="s">
        <v>172</v>
      </c>
      <c r="J28" s="159" t="s">
        <v>172</v>
      </c>
      <c r="K28" s="234">
        <v>4.1399999999999997</v>
      </c>
      <c r="L28" s="158" t="s">
        <v>172</v>
      </c>
      <c r="M28" s="159" t="s">
        <v>172</v>
      </c>
      <c r="N28" s="234">
        <v>1.76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6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9.1067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2.4752000000000001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2.706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5.9595000000000002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3.3571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12" sqref="G1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43941</v>
      </c>
      <c r="E2" s="493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0.69938650306748473</v>
      </c>
      <c r="C6" s="103" t="s">
        <v>172</v>
      </c>
      <c r="D6" s="104" t="s">
        <v>172</v>
      </c>
      <c r="E6" s="102">
        <f>E20/$B$33</f>
        <v>0.74028629856850725</v>
      </c>
      <c r="F6" s="103" t="s">
        <v>172</v>
      </c>
      <c r="G6" s="104" t="s">
        <v>172</v>
      </c>
      <c r="H6" s="102">
        <f>H20/$B$33</f>
        <v>0.79345603271983645</v>
      </c>
      <c r="I6" s="103" t="s">
        <v>172</v>
      </c>
      <c r="J6" s="104" t="s">
        <v>172</v>
      </c>
      <c r="K6" s="102">
        <f>K20/$B$33</f>
        <v>0.74028629856850725</v>
      </c>
      <c r="L6" s="103" t="s">
        <v>172</v>
      </c>
      <c r="M6" s="104" t="s">
        <v>172</v>
      </c>
      <c r="N6" s="102">
        <f>N20/$B$33</f>
        <v>0.3885480572597137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0.5719031451942741</v>
      </c>
      <c r="C7" s="107">
        <f t="shared" ref="C7:C12" si="0">B7-B$6</f>
        <v>-0.12748335787321063</v>
      </c>
      <c r="D7" s="108">
        <f t="shared" ref="D7:D12" si="1">B7/B$6*100</f>
        <v>81.772116374269004</v>
      </c>
      <c r="E7" s="102">
        <f>E21*$B$36/100/$B$33</f>
        <v>0.62867443353783226</v>
      </c>
      <c r="F7" s="107">
        <f t="shared" ref="F7:F15" si="2">E7-E$6</f>
        <v>-0.11161186503067499</v>
      </c>
      <c r="G7" s="108">
        <f t="shared" ref="G7:G15" si="3">E7/E$6*100</f>
        <v>84.923148618784523</v>
      </c>
      <c r="H7" s="102">
        <f>H21*$B$36/100/$B$33</f>
        <v>0.69598896114519426</v>
      </c>
      <c r="I7" s="107">
        <f t="shared" ref="I7:I15" si="4">H7-H$6</f>
        <v>-9.7467071574642183E-2</v>
      </c>
      <c r="J7" s="108">
        <f t="shared" ref="J7:J15" si="5">H7/H$6*100</f>
        <v>87.716134536082464</v>
      </c>
      <c r="K7" s="102">
        <f>K21*$B$36/100/$B$33</f>
        <v>0.63299986503067474</v>
      </c>
      <c r="L7" s="107">
        <f t="shared" ref="L7:L15" si="6">K7-K$6</f>
        <v>-0.10728643353783252</v>
      </c>
      <c r="M7" s="108">
        <f t="shared" ref="M7:M15" si="7">K7/K$6*100</f>
        <v>85.507440331491694</v>
      </c>
      <c r="N7" s="102">
        <f>N21*$B$36/100/$B$33</f>
        <v>0.2796661799591002</v>
      </c>
      <c r="O7" s="107">
        <f t="shared" ref="O7:O15" si="8">N7-N$6</f>
        <v>-0.10888187730061349</v>
      </c>
      <c r="P7" s="108">
        <f t="shared" ref="P7:P15" si="9">N7/N$6*100</f>
        <v>71.977243157894733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0.56555016768916155</v>
      </c>
      <c r="C8" s="107">
        <f t="shared" si="0"/>
        <v>-0.13383633537832318</v>
      </c>
      <c r="D8" s="108">
        <f t="shared" si="1"/>
        <v>80.863752046783617</v>
      </c>
      <c r="E8" s="102">
        <f>E22*$B$36/100/$B$33</f>
        <v>0.60893965235173819</v>
      </c>
      <c r="F8" s="107">
        <f t="shared" si="2"/>
        <v>-0.13134664621676906</v>
      </c>
      <c r="G8" s="108">
        <f t="shared" si="3"/>
        <v>82.257317679558</v>
      </c>
      <c r="H8" s="102">
        <f>H22*$B$36/100/$B$33</f>
        <v>0.70017922290388546</v>
      </c>
      <c r="I8" s="107">
        <f t="shared" si="4"/>
        <v>-9.327680981595099E-2</v>
      </c>
      <c r="J8" s="108">
        <f t="shared" si="5"/>
        <v>88.24423711340205</v>
      </c>
      <c r="K8" s="102">
        <f>K22*$B$36/100/$B$33</f>
        <v>0.62394349284253581</v>
      </c>
      <c r="L8" s="107">
        <f t="shared" si="6"/>
        <v>-0.11634280572597144</v>
      </c>
      <c r="M8" s="108">
        <f t="shared" si="7"/>
        <v>84.284079558011044</v>
      </c>
      <c r="N8" s="102">
        <f>N22*$B$36/100/$B$33</f>
        <v>0.31629717791411044</v>
      </c>
      <c r="O8" s="107">
        <f t="shared" si="8"/>
        <v>-7.2250879345603258E-2</v>
      </c>
      <c r="P8" s="108">
        <f t="shared" si="9"/>
        <v>81.4049052631579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0.57906714110429458</v>
      </c>
      <c r="C9" s="107">
        <f t="shared" si="0"/>
        <v>-0.12031936196319015</v>
      </c>
      <c r="D9" s="108">
        <f t="shared" si="1"/>
        <v>82.796442105263168</v>
      </c>
      <c r="E9" s="102">
        <f>E23*$B$36/100/$B$33</f>
        <v>0.62205111656441714</v>
      </c>
      <c r="F9" s="107">
        <f t="shared" si="2"/>
        <v>-0.11823518200409011</v>
      </c>
      <c r="G9" s="108">
        <f t="shared" si="3"/>
        <v>84.028451933701646</v>
      </c>
      <c r="H9" s="102">
        <f>H23*$B$36/100/$B$33</f>
        <v>0.68936564417177926</v>
      </c>
      <c r="I9" s="107">
        <f t="shared" si="4"/>
        <v>-0.10409038854805719</v>
      </c>
      <c r="J9" s="108">
        <f t="shared" si="5"/>
        <v>86.881391752577329</v>
      </c>
      <c r="K9" s="102">
        <f>K23*$B$36/100/$B$33</f>
        <v>0.6228621349693253</v>
      </c>
      <c r="L9" s="107">
        <f t="shared" si="6"/>
        <v>-0.11742416359918195</v>
      </c>
      <c r="M9" s="108">
        <f t="shared" si="7"/>
        <v>84.138006629834265</v>
      </c>
      <c r="N9" s="102">
        <f>N23*$B$36/100/$B$33</f>
        <v>0.321028118609407</v>
      </c>
      <c r="O9" s="107">
        <f t="shared" si="8"/>
        <v>-6.7519938650306699E-2</v>
      </c>
      <c r="P9" s="108">
        <f t="shared" si="9"/>
        <v>82.622500000000016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0.5677128834355829</v>
      </c>
      <c r="C10" s="107">
        <f t="shared" si="0"/>
        <v>-0.13167361963190183</v>
      </c>
      <c r="D10" s="108">
        <f t="shared" si="1"/>
        <v>81.172982456140346</v>
      </c>
      <c r="E10" s="102">
        <f>E24*$B$36/100/$B$33</f>
        <v>0.60839897341513294</v>
      </c>
      <c r="F10" s="107">
        <f t="shared" si="2"/>
        <v>-0.13188732515337431</v>
      </c>
      <c r="G10" s="108">
        <f t="shared" si="3"/>
        <v>82.184281215469596</v>
      </c>
      <c r="H10" s="102">
        <f>H24*$B$36/100/$B$33</f>
        <v>0.70950593456032718</v>
      </c>
      <c r="I10" s="107">
        <f t="shared" si="4"/>
        <v>-8.3950098159509268E-2</v>
      </c>
      <c r="J10" s="108">
        <f t="shared" si="5"/>
        <v>89.419691237113398</v>
      </c>
      <c r="K10" s="102">
        <f>K24*$B$36/100/$B$33</f>
        <v>0.64759819631901838</v>
      </c>
      <c r="L10" s="107">
        <f t="shared" si="6"/>
        <v>-9.2688102249488868E-2</v>
      </c>
      <c r="M10" s="108">
        <f t="shared" si="7"/>
        <v>87.479424861878442</v>
      </c>
      <c r="N10" s="102">
        <f>N24*$B$36/100/$B$33</f>
        <v>0.29399417177914111</v>
      </c>
      <c r="O10" s="107">
        <f t="shared" si="8"/>
        <v>-9.4553885480572586E-2</v>
      </c>
      <c r="P10" s="108">
        <f t="shared" si="9"/>
        <v>75.664815789473678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0.5710583343558282</v>
      </c>
      <c r="C11" s="236">
        <f t="shared" si="0"/>
        <v>-0.12832816871165653</v>
      </c>
      <c r="D11" s="237">
        <f t="shared" si="1"/>
        <v>81.651323245614023</v>
      </c>
      <c r="E11" s="235">
        <f>AVERAGE(E7:E10)</f>
        <v>0.61701604396728005</v>
      </c>
      <c r="F11" s="236">
        <f t="shared" si="2"/>
        <v>-0.1232702546012272</v>
      </c>
      <c r="G11" s="237">
        <f t="shared" si="3"/>
        <v>83.348299861878431</v>
      </c>
      <c r="H11" s="235">
        <f>AVERAGE(H7:H10)</f>
        <v>0.69875994069529646</v>
      </c>
      <c r="I11" s="236">
        <f t="shared" si="4"/>
        <v>-9.4696092024539991E-2</v>
      </c>
      <c r="J11" s="237">
        <f t="shared" si="5"/>
        <v>88.065363659793803</v>
      </c>
      <c r="K11" s="235">
        <f>AVERAGE(K7:K10)</f>
        <v>0.63185092229038853</v>
      </c>
      <c r="L11" s="236">
        <f t="shared" si="6"/>
        <v>-0.10843537627811872</v>
      </c>
      <c r="M11" s="237">
        <f t="shared" si="7"/>
        <v>85.352237845303861</v>
      </c>
      <c r="N11" s="235">
        <f>AVERAGE(N7:N10)</f>
        <v>0.30274641206543973</v>
      </c>
      <c r="O11" s="236">
        <f t="shared" si="8"/>
        <v>-8.5801645194273968E-2</v>
      </c>
      <c r="P11" s="237">
        <f t="shared" si="9"/>
        <v>77.917366052631593</v>
      </c>
      <c r="Q11" s="109"/>
    </row>
    <row r="12" spans="1:19" s="96" customFormat="1" ht="15.75" x14ac:dyDescent="0.25">
      <c r="A12" s="110" t="s">
        <v>24</v>
      </c>
      <c r="B12" s="102">
        <f>B25*$B$32/100/$B$33</f>
        <v>0.86819284253578732</v>
      </c>
      <c r="C12" s="107">
        <f t="shared" si="0"/>
        <v>0.16880633946830259</v>
      </c>
      <c r="D12" s="108">
        <f t="shared" si="1"/>
        <v>124.13634502923976</v>
      </c>
      <c r="E12" s="102">
        <f>E25*$B$32/100/$B$33</f>
        <v>0.93099828220858905</v>
      </c>
      <c r="F12" s="107">
        <f t="shared" si="2"/>
        <v>0.19071198364008179</v>
      </c>
      <c r="G12" s="108">
        <f t="shared" si="3"/>
        <v>125.76192265193369</v>
      </c>
      <c r="H12" s="102">
        <f>H25*$B$32/100/$B$33</f>
        <v>1.0913368752556236</v>
      </c>
      <c r="I12" s="107">
        <f t="shared" si="4"/>
        <v>0.29788084253578717</v>
      </c>
      <c r="J12" s="108">
        <f t="shared" si="5"/>
        <v>137.54219896907213</v>
      </c>
      <c r="K12" s="102">
        <f>K25*$B$32/100/$B$33</f>
        <v>0.85895674846625769</v>
      </c>
      <c r="L12" s="107">
        <f t="shared" si="6"/>
        <v>0.11867044989775044</v>
      </c>
      <c r="M12" s="108">
        <f t="shared" si="7"/>
        <v>116.03034530386739</v>
      </c>
      <c r="N12" s="102">
        <f>N25*$B$32/100/$B$33</f>
        <v>0.37276875664621678</v>
      </c>
      <c r="O12" s="107">
        <f t="shared" si="8"/>
        <v>-1.5779300613496916E-2</v>
      </c>
      <c r="P12" s="108">
        <f t="shared" si="9"/>
        <v>95.938906315789467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1.0010566871165645</v>
      </c>
      <c r="F13" s="107">
        <f t="shared" si="2"/>
        <v>0.26077038854805723</v>
      </c>
      <c r="G13" s="108">
        <f t="shared" si="3"/>
        <v>135.22561325966851</v>
      </c>
      <c r="H13" s="102">
        <f>H26*$B$34/$B$33</f>
        <v>1.0606433946830265</v>
      </c>
      <c r="I13" s="107">
        <f t="shared" si="4"/>
        <v>0.26718736196319004</v>
      </c>
      <c r="J13" s="108">
        <f t="shared" si="5"/>
        <v>133.6738711340206</v>
      </c>
      <c r="K13" s="102">
        <f>K26*$B$34/$B$33</f>
        <v>0.97180503067484658</v>
      </c>
      <c r="L13" s="107">
        <f t="shared" si="6"/>
        <v>0.23151873210633933</v>
      </c>
      <c r="M13" s="108">
        <f t="shared" si="7"/>
        <v>131.27421546961324</v>
      </c>
      <c r="N13" s="102">
        <f>N26*$B$34/$B$33</f>
        <v>0.52002944785276073</v>
      </c>
      <c r="O13" s="107">
        <f t="shared" si="8"/>
        <v>0.13148139059304703</v>
      </c>
      <c r="P13" s="108">
        <f t="shared" si="9"/>
        <v>133.83915789473684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1.0238079754601226</v>
      </c>
      <c r="F14" s="107">
        <f t="shared" si="2"/>
        <v>0.28352167689161534</v>
      </c>
      <c r="G14" s="108">
        <f t="shared" si="3"/>
        <v>138.29892265193365</v>
      </c>
      <c r="H14" s="102">
        <f>H27*$B$34/$B$33</f>
        <v>1.1093961554192231</v>
      </c>
      <c r="I14" s="107">
        <f t="shared" si="4"/>
        <v>0.31594012269938665</v>
      </c>
      <c r="J14" s="108">
        <f t="shared" si="5"/>
        <v>139.81822680412373</v>
      </c>
      <c r="K14" s="102">
        <f>K27*$B$34/$B$33</f>
        <v>0.9696382413087935</v>
      </c>
      <c r="L14" s="107">
        <f t="shared" si="6"/>
        <v>0.22935194274028625</v>
      </c>
      <c r="M14" s="108">
        <f t="shared" si="7"/>
        <v>130.98151933701655</v>
      </c>
      <c r="N14" s="102">
        <f>N27*$B$34/$B$33</f>
        <v>0.43227447852760736</v>
      </c>
      <c r="O14" s="107">
        <f t="shared" si="8"/>
        <v>4.3726421267893667E-2</v>
      </c>
      <c r="P14" s="108">
        <f t="shared" si="9"/>
        <v>111.2538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0.93779926380368106</v>
      </c>
      <c r="F15" s="119">
        <f t="shared" si="2"/>
        <v>0.19751296523517381</v>
      </c>
      <c r="G15" s="120">
        <f t="shared" si="3"/>
        <v>126.68061878453038</v>
      </c>
      <c r="H15" s="118">
        <f>H28*$B$35/10/$B$33</f>
        <v>1.0093869938650306</v>
      </c>
      <c r="I15" s="119">
        <f t="shared" si="4"/>
        <v>0.21593096114519417</v>
      </c>
      <c r="J15" s="120">
        <f t="shared" si="5"/>
        <v>127.21397938144328</v>
      </c>
      <c r="K15" s="118">
        <f>K28*$B$35/10/$B$33</f>
        <v>0.97836564417177907</v>
      </c>
      <c r="L15" s="119">
        <f t="shared" si="6"/>
        <v>0.23807934560327182</v>
      </c>
      <c r="M15" s="120">
        <f t="shared" si="7"/>
        <v>132.16044198895025</v>
      </c>
      <c r="N15" s="118">
        <f>N28*$B$35/10/$B$33</f>
        <v>0.41043631901840488</v>
      </c>
      <c r="O15" s="119">
        <f t="shared" si="8"/>
        <v>2.1888261758691185E-2</v>
      </c>
      <c r="P15" s="120">
        <f t="shared" si="9"/>
        <v>105.63334736842106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6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67" t="s">
        <v>214</v>
      </c>
      <c r="X19" s="367" t="s">
        <v>214</v>
      </c>
    </row>
    <row r="20" spans="1:24" s="141" customFormat="1" ht="15.75" x14ac:dyDescent="0.25">
      <c r="A20" s="133" t="s">
        <v>185</v>
      </c>
      <c r="B20" s="134">
        <v>1.71</v>
      </c>
      <c r="C20" s="135" t="s">
        <v>172</v>
      </c>
      <c r="D20" s="136" t="s">
        <v>172</v>
      </c>
      <c r="E20" s="134">
        <v>1.81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1.81</v>
      </c>
      <c r="L20" s="135" t="s">
        <v>172</v>
      </c>
      <c r="M20" s="136" t="s">
        <v>172</v>
      </c>
      <c r="N20" s="143">
        <v>0.95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42.31</v>
      </c>
      <c r="C21" s="144" t="s">
        <v>172</v>
      </c>
      <c r="D21" s="145" t="s">
        <v>172</v>
      </c>
      <c r="E21" s="143">
        <v>46.51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46.83</v>
      </c>
      <c r="L21" s="144" t="s">
        <v>172</v>
      </c>
      <c r="M21" s="145" t="s">
        <v>172</v>
      </c>
      <c r="N21" s="143">
        <v>20.69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41.84</v>
      </c>
      <c r="C22" s="144" t="s">
        <v>172</v>
      </c>
      <c r="D22" s="145" t="s">
        <v>172</v>
      </c>
      <c r="E22" s="143">
        <v>45.05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46.16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42.84</v>
      </c>
      <c r="C23" s="144" t="s">
        <v>172</v>
      </c>
      <c r="D23" s="145" t="s">
        <v>172</v>
      </c>
      <c r="E23" s="143">
        <v>46.02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46.08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23.5</v>
      </c>
      <c r="C25" s="144" t="s">
        <v>172</v>
      </c>
      <c r="D25" s="145" t="s">
        <v>172</v>
      </c>
      <c r="E25" s="143">
        <v>25.2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23.25</v>
      </c>
      <c r="L25" s="144" t="s">
        <v>172</v>
      </c>
      <c r="M25" s="145" t="s">
        <v>172</v>
      </c>
      <c r="N25" s="143">
        <v>10.09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0.92400000000000004</v>
      </c>
      <c r="F26" s="144" t="s">
        <v>172</v>
      </c>
      <c r="G26" s="145" t="s">
        <v>172</v>
      </c>
      <c r="H26" s="153">
        <v>0.97899999999999998</v>
      </c>
      <c r="I26" s="144" t="s">
        <v>172</v>
      </c>
      <c r="J26" s="145" t="s">
        <v>172</v>
      </c>
      <c r="K26" s="153">
        <v>0.89700000000000002</v>
      </c>
      <c r="L26" s="144" t="s">
        <v>172</v>
      </c>
      <c r="M26" s="145" t="s">
        <v>172</v>
      </c>
      <c r="N26" s="153">
        <v>0.48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0.94499999999999995</v>
      </c>
      <c r="F27" s="144" t="s">
        <v>172</v>
      </c>
      <c r="G27" s="145" t="s">
        <v>172</v>
      </c>
      <c r="H27" s="153">
        <v>1.024</v>
      </c>
      <c r="I27" s="144" t="s">
        <v>172</v>
      </c>
      <c r="J27" s="145" t="s">
        <v>172</v>
      </c>
      <c r="K27" s="153">
        <v>0.89500000000000002</v>
      </c>
      <c r="L27" s="144" t="s">
        <v>172</v>
      </c>
      <c r="M27" s="145" t="s">
        <v>172</v>
      </c>
      <c r="N27" s="153">
        <v>0.39900000000000002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3.93</v>
      </c>
      <c r="F28" s="158" t="s">
        <v>172</v>
      </c>
      <c r="G28" s="159" t="s">
        <v>172</v>
      </c>
      <c r="H28" s="234">
        <v>4.2300000000000004</v>
      </c>
      <c r="I28" s="158" t="s">
        <v>172</v>
      </c>
      <c r="J28" s="159" t="s">
        <v>172</v>
      </c>
      <c r="K28" s="234">
        <v>4.0999999999999996</v>
      </c>
      <c r="L28" s="158" t="s">
        <v>172</v>
      </c>
      <c r="M28" s="159" t="s">
        <v>172</v>
      </c>
      <c r="N28" s="234">
        <v>1.72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6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9.0328999999999997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2.4449999999999998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2.6488999999999998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5.8343999999999996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3.3048999999999999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43950</v>
      </c>
      <c r="E2" s="493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0.69021518473406407</v>
      </c>
      <c r="C6" s="103" t="s">
        <v>172</v>
      </c>
      <c r="D6" s="104" t="s">
        <v>172</v>
      </c>
      <c r="E6" s="102">
        <f>E20/$B$33</f>
        <v>0.73081607795371495</v>
      </c>
      <c r="F6" s="103" t="s">
        <v>172</v>
      </c>
      <c r="G6" s="104" t="s">
        <v>172</v>
      </c>
      <c r="H6" s="102">
        <f>H20/$B$33</f>
        <v>0.78359723913926105</v>
      </c>
      <c r="I6" s="103" t="s">
        <v>172</v>
      </c>
      <c r="J6" s="104" t="s">
        <v>172</v>
      </c>
      <c r="K6" s="102">
        <f>K20/$B$33</f>
        <v>0.73081607795371495</v>
      </c>
      <c r="L6" s="103" t="s">
        <v>172</v>
      </c>
      <c r="M6" s="104" t="s">
        <v>172</v>
      </c>
      <c r="N6" s="102">
        <f>N20/$B$33</f>
        <v>0.38570848558668286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0.56762289890377582</v>
      </c>
      <c r="C7" s="107">
        <f t="shared" ref="C7:C12" si="0">B7-B$6</f>
        <v>-0.12259228583028825</v>
      </c>
      <c r="D7" s="108">
        <f t="shared" ref="D7:D12" si="1">B7/B$6*100</f>
        <v>82.238541176470591</v>
      </c>
      <c r="E7" s="102">
        <f>E21*$B$36/100/$B$33</f>
        <v>0.62384969549330083</v>
      </c>
      <c r="F7" s="107">
        <f t="shared" ref="F7:F15" si="2">E7-E$6</f>
        <v>-0.10696638246041412</v>
      </c>
      <c r="G7" s="108">
        <f t="shared" ref="G7:G15" si="3">E7/E$6*100</f>
        <v>85.363433333333333</v>
      </c>
      <c r="H7" s="102">
        <f>H21*$B$36/100/$B$33</f>
        <v>0.68931375152253349</v>
      </c>
      <c r="I7" s="107">
        <f t="shared" ref="I7:I15" si="4">H7-H$6</f>
        <v>-9.4283487616727557E-2</v>
      </c>
      <c r="J7" s="108">
        <f t="shared" ref="J7:J15" si="5">H7/H$6*100</f>
        <v>87.967863730569945</v>
      </c>
      <c r="K7" s="102">
        <f>K21*$B$36/100/$B$33</f>
        <v>0.63027561510353225</v>
      </c>
      <c r="L7" s="107">
        <f t="shared" ref="L7:L15" si="6">K7-K$6</f>
        <v>-0.1005404628501827</v>
      </c>
      <c r="M7" s="108">
        <f t="shared" ref="M7:M15" si="7">K7/K$6*100</f>
        <v>86.242713333333327</v>
      </c>
      <c r="N7" s="102">
        <f>N21*$B$36/100/$B$33</f>
        <v>0.27430644336175392</v>
      </c>
      <c r="O7" s="107">
        <f t="shared" ref="O7:O15" si="8">N7-N$6</f>
        <v>-0.11140204222492894</v>
      </c>
      <c r="P7" s="108">
        <f t="shared" ref="P7:P15" si="9">N7/N$6*100</f>
        <v>71.117554736842109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0.56561479902557854</v>
      </c>
      <c r="C8" s="107">
        <f t="shared" si="0"/>
        <v>-0.12460038570848553</v>
      </c>
      <c r="D8" s="108">
        <f t="shared" si="1"/>
        <v>81.947602941176484</v>
      </c>
      <c r="E8" s="102">
        <f>E22*$B$36/100/$B$33</f>
        <v>0.60979299634591955</v>
      </c>
      <c r="F8" s="107">
        <f t="shared" si="2"/>
        <v>-0.1210230816077954</v>
      </c>
      <c r="G8" s="108">
        <f t="shared" si="3"/>
        <v>83.440008333333324</v>
      </c>
      <c r="H8" s="102">
        <f>H22*$B$36/100/$B$33</f>
        <v>0.69346382460414124</v>
      </c>
      <c r="I8" s="107">
        <f t="shared" si="4"/>
        <v>-9.0133414535119805E-2</v>
      </c>
      <c r="J8" s="108">
        <f t="shared" si="5"/>
        <v>88.497481865284968</v>
      </c>
      <c r="K8" s="102">
        <f>K22*$B$36/100/$B$33</f>
        <v>0.61956574908647988</v>
      </c>
      <c r="L8" s="107">
        <f t="shared" si="6"/>
        <v>-0.11125032886723507</v>
      </c>
      <c r="M8" s="108">
        <f t="shared" si="7"/>
        <v>84.77724666666667</v>
      </c>
      <c r="N8" s="102">
        <f>N22*$B$36/100/$B$33</f>
        <v>0.31326358099878193</v>
      </c>
      <c r="O8" s="107">
        <f t="shared" si="8"/>
        <v>-7.2444904587900927E-2</v>
      </c>
      <c r="P8" s="108">
        <f t="shared" si="9"/>
        <v>81.217705263157896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0.57431656516443363</v>
      </c>
      <c r="C9" s="107">
        <f t="shared" si="0"/>
        <v>-0.11589861956963043</v>
      </c>
      <c r="D9" s="108">
        <f t="shared" si="1"/>
        <v>83.20833529411766</v>
      </c>
      <c r="E9" s="102">
        <f>E23*$B$36/100/$B$33</f>
        <v>0.61675440925700364</v>
      </c>
      <c r="F9" s="107">
        <f t="shared" si="2"/>
        <v>-0.1140616686967113</v>
      </c>
      <c r="G9" s="108">
        <f t="shared" si="3"/>
        <v>84.392561666666666</v>
      </c>
      <c r="H9" s="102">
        <f>H23*$B$36/100/$B$33</f>
        <v>0.68275395858708887</v>
      </c>
      <c r="I9" s="107">
        <f t="shared" si="4"/>
        <v>-0.10084328055217218</v>
      </c>
      <c r="J9" s="108">
        <f t="shared" si="5"/>
        <v>87.130725388601022</v>
      </c>
      <c r="K9" s="102">
        <f>K23*$B$36/100/$B$33</f>
        <v>0.61514792935444584</v>
      </c>
      <c r="L9" s="107">
        <f t="shared" si="6"/>
        <v>-0.1156681485992691</v>
      </c>
      <c r="M9" s="108">
        <f t="shared" si="7"/>
        <v>84.172741666666667</v>
      </c>
      <c r="N9" s="102">
        <f>N23*$B$36/100/$B$33</f>
        <v>0.31794914738124236</v>
      </c>
      <c r="O9" s="107">
        <f t="shared" si="8"/>
        <v>-6.77593382054405E-2</v>
      </c>
      <c r="P9" s="108">
        <f t="shared" si="9"/>
        <v>82.432500000000005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0.56226796589524974</v>
      </c>
      <c r="C10" s="107">
        <f t="shared" si="0"/>
        <v>-0.12794721883881433</v>
      </c>
      <c r="D10" s="108">
        <f t="shared" si="1"/>
        <v>81.462705882352964</v>
      </c>
      <c r="E10" s="102">
        <f>E24*$B$36/100/$B$33</f>
        <v>0.60256383678440917</v>
      </c>
      <c r="F10" s="107">
        <f t="shared" si="2"/>
        <v>-0.12825224116930578</v>
      </c>
      <c r="G10" s="108">
        <f t="shared" si="3"/>
        <v>82.450818333333316</v>
      </c>
      <c r="H10" s="102">
        <f>H24*$B$36/100/$B$33</f>
        <v>0.70270108404384901</v>
      </c>
      <c r="I10" s="107">
        <f t="shared" si="4"/>
        <v>-8.0896155095412037E-2</v>
      </c>
      <c r="J10" s="108">
        <f t="shared" si="5"/>
        <v>89.676309326424871</v>
      </c>
      <c r="K10" s="102">
        <f>K24*$B$36/100/$B$33</f>
        <v>0.64138710109622399</v>
      </c>
      <c r="L10" s="107">
        <f t="shared" si="6"/>
        <v>-8.942897685749096E-2</v>
      </c>
      <c r="M10" s="108">
        <f t="shared" si="7"/>
        <v>87.763134999999977</v>
      </c>
      <c r="N10" s="102">
        <f>N24*$B$36/100/$B$33</f>
        <v>0.29117448233861143</v>
      </c>
      <c r="O10" s="107">
        <f t="shared" si="8"/>
        <v>-9.453400324807143E-2</v>
      </c>
      <c r="P10" s="108">
        <f t="shared" si="9"/>
        <v>75.490815789473686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0.56745555724725949</v>
      </c>
      <c r="C11" s="236">
        <f t="shared" si="0"/>
        <v>-0.12275962748680458</v>
      </c>
      <c r="D11" s="237">
        <f t="shared" si="1"/>
        <v>82.214296323529425</v>
      </c>
      <c r="E11" s="235">
        <f>AVERAGE(E7:E10)</f>
        <v>0.6132402344701583</v>
      </c>
      <c r="F11" s="236">
        <f t="shared" si="2"/>
        <v>-0.11757584348355665</v>
      </c>
      <c r="G11" s="237">
        <f t="shared" si="3"/>
        <v>83.911705416666663</v>
      </c>
      <c r="H11" s="235">
        <f>AVERAGE(H7:H10)</f>
        <v>0.69205815468940313</v>
      </c>
      <c r="I11" s="236">
        <f t="shared" si="4"/>
        <v>-9.1539084449857921E-2</v>
      </c>
      <c r="J11" s="237">
        <f t="shared" si="5"/>
        <v>88.318095077720201</v>
      </c>
      <c r="K11" s="235">
        <f>AVERAGE(K7:K10)</f>
        <v>0.62659409866017057</v>
      </c>
      <c r="L11" s="236">
        <f t="shared" si="6"/>
        <v>-0.10422197929354438</v>
      </c>
      <c r="M11" s="237">
        <f t="shared" si="7"/>
        <v>85.738959166666675</v>
      </c>
      <c r="N11" s="235">
        <f>AVERAGE(N7:N10)</f>
        <v>0.29917341352009741</v>
      </c>
      <c r="O11" s="236">
        <f t="shared" si="8"/>
        <v>-8.653507206658545E-2</v>
      </c>
      <c r="P11" s="237">
        <f t="shared" si="9"/>
        <v>77.56464394736841</v>
      </c>
      <c r="Q11" s="109"/>
    </row>
    <row r="12" spans="1:19" s="96" customFormat="1" ht="15.75" x14ac:dyDescent="0.25">
      <c r="A12" s="110" t="s">
        <v>24</v>
      </c>
      <c r="B12" s="102">
        <f>B25*$B$32/100/$B$33</f>
        <v>0.86589342265529845</v>
      </c>
      <c r="C12" s="107">
        <f t="shared" si="0"/>
        <v>0.17567823792123438</v>
      </c>
      <c r="D12" s="108">
        <f t="shared" si="1"/>
        <v>125.45267647058826</v>
      </c>
      <c r="E12" s="102">
        <f>E25*$B$32/100/$B$33</f>
        <v>0.89168599269183924</v>
      </c>
      <c r="F12" s="107">
        <f t="shared" si="2"/>
        <v>0.16086991473812429</v>
      </c>
      <c r="G12" s="108">
        <f t="shared" si="3"/>
        <v>122.01236666666668</v>
      </c>
      <c r="H12" s="102">
        <f>H25*$B$32/100/$B$33</f>
        <v>1.0884464555420219</v>
      </c>
      <c r="I12" s="107">
        <f t="shared" si="4"/>
        <v>0.30484921640276086</v>
      </c>
      <c r="J12" s="108">
        <f t="shared" si="5"/>
        <v>138.90381450777204</v>
      </c>
      <c r="K12" s="102">
        <f>K25*$B$32/100/$B$33</f>
        <v>0.84747015834348349</v>
      </c>
      <c r="L12" s="107">
        <f t="shared" si="6"/>
        <v>0.11665408038976854</v>
      </c>
      <c r="M12" s="108">
        <f t="shared" si="7"/>
        <v>115.96216666666666</v>
      </c>
      <c r="N12" s="102">
        <f>N25*$B$32/100/$B$33</f>
        <v>0.53427466504263088</v>
      </c>
      <c r="O12" s="107">
        <f t="shared" si="8"/>
        <v>0.14856617945594802</v>
      </c>
      <c r="P12" s="108">
        <f t="shared" si="9"/>
        <v>138.51773684210528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1.0467632967925293</v>
      </c>
      <c r="F13" s="107">
        <f t="shared" si="2"/>
        <v>0.31594721883881438</v>
      </c>
      <c r="G13" s="108">
        <f t="shared" si="3"/>
        <v>143.2321111111111</v>
      </c>
      <c r="H13" s="102">
        <f>H26*$B$34/$B$33</f>
        <v>1.1112456354039788</v>
      </c>
      <c r="I13" s="107">
        <f t="shared" si="4"/>
        <v>0.32764839626471776</v>
      </c>
      <c r="J13" s="108">
        <f t="shared" si="5"/>
        <v>141.81336787564766</v>
      </c>
      <c r="K13" s="102">
        <f>K26*$B$34/$B$33</f>
        <v>0.98228095818107997</v>
      </c>
      <c r="L13" s="107">
        <f t="shared" si="6"/>
        <v>0.25146488022736502</v>
      </c>
      <c r="M13" s="108">
        <f t="shared" si="7"/>
        <v>134.40877777777777</v>
      </c>
      <c r="N13" s="102">
        <f>N26*$B$34/$B$33</f>
        <v>0.48361753958587084</v>
      </c>
      <c r="O13" s="107">
        <f t="shared" si="8"/>
        <v>9.7909053999187978E-2</v>
      </c>
      <c r="P13" s="108">
        <f t="shared" si="9"/>
        <v>125.38421052631578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0.97260860738936239</v>
      </c>
      <c r="F14" s="107">
        <f t="shared" si="2"/>
        <v>0.24179252943564744</v>
      </c>
      <c r="G14" s="108">
        <f t="shared" si="3"/>
        <v>133.08527777777778</v>
      </c>
      <c r="H14" s="102">
        <f>H27*$B$34/$B$33</f>
        <v>1.0575103532277708</v>
      </c>
      <c r="I14" s="107">
        <f t="shared" si="4"/>
        <v>0.27391311408850971</v>
      </c>
      <c r="J14" s="108">
        <f t="shared" si="5"/>
        <v>134.95585492227977</v>
      </c>
      <c r="K14" s="102">
        <f>K27*$B$34/$B$33</f>
        <v>0.90812626877791303</v>
      </c>
      <c r="L14" s="107">
        <f t="shared" si="6"/>
        <v>0.17731019082419808</v>
      </c>
      <c r="M14" s="108">
        <f t="shared" si="7"/>
        <v>124.26194444444442</v>
      </c>
      <c r="N14" s="102">
        <f>N27*$B$34/$B$33</f>
        <v>0.41806049533089723</v>
      </c>
      <c r="O14" s="107">
        <f t="shared" si="8"/>
        <v>3.2352009744214372E-2</v>
      </c>
      <c r="P14" s="108">
        <f t="shared" si="9"/>
        <v>108.38768421052632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0.91507450263905799</v>
      </c>
      <c r="F15" s="119">
        <f t="shared" si="2"/>
        <v>0.18425842468534304</v>
      </c>
      <c r="G15" s="120">
        <f t="shared" si="3"/>
        <v>125.21269444444445</v>
      </c>
      <c r="H15" s="118">
        <f>H28*$B$35/10/$B$33</f>
        <v>1.0125239951278928</v>
      </c>
      <c r="I15" s="119">
        <f t="shared" si="4"/>
        <v>0.22892675598863177</v>
      </c>
      <c r="J15" s="120">
        <f t="shared" si="5"/>
        <v>129.21484974093264</v>
      </c>
      <c r="K15" s="118">
        <f>K28*$B$35/10/$B$33</f>
        <v>0.95072675598863166</v>
      </c>
      <c r="L15" s="119">
        <f t="shared" si="6"/>
        <v>0.21991067803491671</v>
      </c>
      <c r="M15" s="120">
        <f t="shared" si="7"/>
        <v>130.0911111111111</v>
      </c>
      <c r="N15" s="118">
        <f>N28*$B$35/10/$B$33</f>
        <v>0.38504433617539585</v>
      </c>
      <c r="O15" s="119">
        <f t="shared" si="8"/>
        <v>-6.6414941128700722E-4</v>
      </c>
      <c r="P15" s="120">
        <f t="shared" si="9"/>
        <v>99.827810526315801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6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69" t="s">
        <v>214</v>
      </c>
      <c r="X19" s="369" t="s">
        <v>214</v>
      </c>
    </row>
    <row r="20" spans="1:24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1.93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0.95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46.6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47.08</v>
      </c>
      <c r="L21" s="144" t="s">
        <v>172</v>
      </c>
      <c r="M21" s="145" t="s">
        <v>172</v>
      </c>
      <c r="N21" s="143">
        <v>20.49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42.25</v>
      </c>
      <c r="C22" s="144" t="s">
        <v>172</v>
      </c>
      <c r="D22" s="145" t="s">
        <v>172</v>
      </c>
      <c r="E22" s="143">
        <v>45.55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</v>
      </c>
      <c r="C23" s="144" t="s">
        <v>172</v>
      </c>
      <c r="D23" s="145" t="s">
        <v>172</v>
      </c>
      <c r="E23" s="143">
        <v>46.07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45.95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14.5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0.97399999999999998</v>
      </c>
      <c r="F26" s="144" t="s">
        <v>172</v>
      </c>
      <c r="G26" s="145" t="s">
        <v>172</v>
      </c>
      <c r="H26" s="153">
        <v>1.034</v>
      </c>
      <c r="I26" s="144" t="s">
        <v>172</v>
      </c>
      <c r="J26" s="145" t="s">
        <v>172</v>
      </c>
      <c r="K26" s="153">
        <v>0.91400000000000003</v>
      </c>
      <c r="L26" s="144" t="s">
        <v>172</v>
      </c>
      <c r="M26" s="145" t="s">
        <v>172</v>
      </c>
      <c r="N26" s="153">
        <v>0.45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0.90500000000000003</v>
      </c>
      <c r="F27" s="144" t="s">
        <v>172</v>
      </c>
      <c r="G27" s="145" t="s">
        <v>172</v>
      </c>
      <c r="H27" s="153">
        <v>0.98399999999999999</v>
      </c>
      <c r="I27" s="144" t="s">
        <v>172</v>
      </c>
      <c r="J27" s="145" t="s">
        <v>172</v>
      </c>
      <c r="K27" s="153">
        <v>0.84499999999999997</v>
      </c>
      <c r="L27" s="144" t="s">
        <v>172</v>
      </c>
      <c r="M27" s="145" t="s">
        <v>172</v>
      </c>
      <c r="N27" s="153">
        <v>0.38900000000000001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3.85</v>
      </c>
      <c r="F28" s="158" t="s">
        <v>172</v>
      </c>
      <c r="G28" s="159" t="s">
        <v>172</v>
      </c>
      <c r="H28" s="234">
        <v>4.26</v>
      </c>
      <c r="I28" s="158" t="s">
        <v>172</v>
      </c>
      <c r="J28" s="159" t="s">
        <v>172</v>
      </c>
      <c r="K28" s="234">
        <v>4</v>
      </c>
      <c r="L28" s="158" t="s">
        <v>172</v>
      </c>
      <c r="M28" s="159" t="s">
        <v>172</v>
      </c>
      <c r="N28" s="234">
        <v>1.62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6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9.0753000000000004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2.4630000000000001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2.6469999999999998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8" customHeight="1" x14ac:dyDescent="0.25">
      <c r="A35" s="209" t="s">
        <v>206</v>
      </c>
      <c r="B35" s="337">
        <v>5.8540999999999999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3.2972999999999999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43955</v>
      </c>
      <c r="E2" s="493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0.6999958580126745</v>
      </c>
      <c r="C6" s="103" t="s">
        <v>172</v>
      </c>
      <c r="D6" s="104" t="s">
        <v>172</v>
      </c>
      <c r="E6" s="102">
        <f>E20/$B$33</f>
        <v>0.74141573126786242</v>
      </c>
      <c r="F6" s="103" t="s">
        <v>172</v>
      </c>
      <c r="G6" s="104" t="s">
        <v>172</v>
      </c>
      <c r="H6" s="102">
        <f>H20/$B$33</f>
        <v>0.79526156649960655</v>
      </c>
      <c r="I6" s="103" t="s">
        <v>172</v>
      </c>
      <c r="J6" s="104" t="s">
        <v>172</v>
      </c>
      <c r="K6" s="102">
        <f>K20/$B$33</f>
        <v>0.74141573126786242</v>
      </c>
      <c r="L6" s="103" t="s">
        <v>172</v>
      </c>
      <c r="M6" s="104" t="s">
        <v>172</v>
      </c>
      <c r="N6" s="102">
        <f>N20/$B$33</f>
        <v>0.38934680859876569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0.58284852752350569</v>
      </c>
      <c r="C7" s="107">
        <f t="shared" ref="C7:C12" si="0">B7-B$6</f>
        <v>-0.11714733048916881</v>
      </c>
      <c r="D7" s="108">
        <f t="shared" ref="D7:D12" si="1">B7/B$6*100</f>
        <v>83.264568047337264</v>
      </c>
      <c r="E7" s="102">
        <f>E21*$B$36/100/$B$33</f>
        <v>0.64058352317441913</v>
      </c>
      <c r="F7" s="107">
        <f t="shared" ref="F7:F15" si="2">E7-E$6</f>
        <v>-0.10083220809344329</v>
      </c>
      <c r="G7" s="108">
        <f t="shared" ref="G7:G15" si="3">E7/E$6*100</f>
        <v>86.400044692737424</v>
      </c>
      <c r="H7" s="102">
        <f>H21*$B$36/100/$B$33</f>
        <v>0.70780355382512539</v>
      </c>
      <c r="I7" s="107">
        <f t="shared" ref="I7:I15" si="4">H7-H$6</f>
        <v>-8.7458012674481167E-2</v>
      </c>
      <c r="J7" s="108">
        <f t="shared" ref="J7:J15" si="5">H7/H$6*100</f>
        <v>89.00261041666667</v>
      </c>
      <c r="K7" s="102">
        <f>K21*$B$36/100/$B$33</f>
        <v>0.64718180839166628</v>
      </c>
      <c r="L7" s="107">
        <f t="shared" ref="L7:L15" si="6">K7-K$6</f>
        <v>-9.4233922876196141E-2</v>
      </c>
      <c r="M7" s="108">
        <f t="shared" ref="M7:M15" si="7">K7/K$6*100</f>
        <v>87.290002234636859</v>
      </c>
      <c r="N7" s="102">
        <f>N21*$B$36/100/$B$33</f>
        <v>0.28166430021124134</v>
      </c>
      <c r="O7" s="107">
        <f t="shared" ref="O7:O15" si="8">N7-N$6</f>
        <v>-0.10768250838752436</v>
      </c>
      <c r="P7" s="108">
        <f t="shared" ref="P7:P15" si="9">N7/N$6*100</f>
        <v>72.342778723404251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0.58078656339311607</v>
      </c>
      <c r="C8" s="107">
        <f t="shared" si="0"/>
        <v>-0.11920929461955843</v>
      </c>
      <c r="D8" s="108">
        <f t="shared" si="1"/>
        <v>82.970000000000013</v>
      </c>
      <c r="E8" s="102">
        <f>E22*$B$36/100/$B$33</f>
        <v>0.62614977426169072</v>
      </c>
      <c r="F8" s="107">
        <f t="shared" si="2"/>
        <v>-0.1152659570061717</v>
      </c>
      <c r="G8" s="108">
        <f t="shared" si="3"/>
        <v>84.45326256983239</v>
      </c>
      <c r="H8" s="102">
        <f>H22*$B$36/100/$B$33</f>
        <v>0.71206494636126405</v>
      </c>
      <c r="I8" s="107">
        <f t="shared" si="4"/>
        <v>-8.3196620138342503E-2</v>
      </c>
      <c r="J8" s="108">
        <f t="shared" si="5"/>
        <v>89.53845833333331</v>
      </c>
      <c r="K8" s="102">
        <f>K22*$B$36/100/$B$33</f>
        <v>0.63618466636292093</v>
      </c>
      <c r="L8" s="107">
        <f t="shared" si="6"/>
        <v>-0.1052310649049415</v>
      </c>
      <c r="M8" s="108">
        <f t="shared" si="7"/>
        <v>85.806739664804454</v>
      </c>
      <c r="N8" s="102">
        <f>N22*$B$36/100/$B$33</f>
        <v>0.32166640434080274</v>
      </c>
      <c r="O8" s="107">
        <f t="shared" si="8"/>
        <v>-6.7680404257962956E-2</v>
      </c>
      <c r="P8" s="108">
        <f t="shared" si="9"/>
        <v>82.616936170212767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0.5897217412914717</v>
      </c>
      <c r="C9" s="107">
        <f t="shared" si="0"/>
        <v>-0.1102741167212028</v>
      </c>
      <c r="D9" s="108">
        <f t="shared" si="1"/>
        <v>84.246461538461546</v>
      </c>
      <c r="E9" s="102">
        <f>E23*$B$36/100/$B$33</f>
        <v>0.63329791658037538</v>
      </c>
      <c r="F9" s="107">
        <f t="shared" si="2"/>
        <v>-0.10811781468748705</v>
      </c>
      <c r="G9" s="108">
        <f t="shared" si="3"/>
        <v>85.417383240223472</v>
      </c>
      <c r="H9" s="102">
        <f>H23*$B$36/100/$B$33</f>
        <v>0.70106780433251881</v>
      </c>
      <c r="I9" s="107">
        <f t="shared" si="4"/>
        <v>-9.4193762167087747E-2</v>
      </c>
      <c r="J9" s="108">
        <f t="shared" si="5"/>
        <v>88.155625000000001</v>
      </c>
      <c r="K9" s="102">
        <f>K23*$B$36/100/$B$33</f>
        <v>0.63164834527606351</v>
      </c>
      <c r="L9" s="107">
        <f t="shared" si="6"/>
        <v>-0.10976738599179892</v>
      </c>
      <c r="M9" s="108">
        <f t="shared" si="7"/>
        <v>85.194893854748599</v>
      </c>
      <c r="N9" s="102">
        <f>N23*$B$36/100/$B$33</f>
        <v>0.32647765397837886</v>
      </c>
      <c r="O9" s="107">
        <f t="shared" si="8"/>
        <v>-6.2869154620386836E-2</v>
      </c>
      <c r="P9" s="108">
        <f t="shared" si="9"/>
        <v>83.852659574468092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0.57734995650913312</v>
      </c>
      <c r="C10" s="107">
        <f t="shared" si="0"/>
        <v>-0.12264590150354138</v>
      </c>
      <c r="D10" s="108">
        <f t="shared" si="1"/>
        <v>82.479053254437872</v>
      </c>
      <c r="E10" s="102">
        <f>E24*$B$36/100/$B$33</f>
        <v>0.61872670339228764</v>
      </c>
      <c r="F10" s="107">
        <f t="shared" si="2"/>
        <v>-0.12268902787557479</v>
      </c>
      <c r="G10" s="108">
        <f t="shared" si="3"/>
        <v>83.452060335195526</v>
      </c>
      <c r="H10" s="102">
        <f>H24*$B$36/100/$B$33</f>
        <v>0.72154998136105708</v>
      </c>
      <c r="I10" s="107">
        <f t="shared" si="4"/>
        <v>-7.3711585138549474E-2</v>
      </c>
      <c r="J10" s="108">
        <f t="shared" si="5"/>
        <v>90.731152083333328</v>
      </c>
      <c r="K10" s="102">
        <f>K24*$B$36/100/$B$33</f>
        <v>0.6585913432464896</v>
      </c>
      <c r="L10" s="107">
        <f t="shared" si="6"/>
        <v>-8.2824388021372819E-2</v>
      </c>
      <c r="M10" s="108">
        <f t="shared" si="7"/>
        <v>88.828887150837971</v>
      </c>
      <c r="N10" s="102">
        <f>N24*$B$36/100/$B$33</f>
        <v>0.2989847989065153</v>
      </c>
      <c r="O10" s="107">
        <f t="shared" si="8"/>
        <v>-9.0362009692250389E-2</v>
      </c>
      <c r="P10" s="108">
        <f t="shared" si="9"/>
        <v>76.791382978723391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0.5826766971793067</v>
      </c>
      <c r="C11" s="236">
        <f t="shared" si="0"/>
        <v>-0.1173191608333678</v>
      </c>
      <c r="D11" s="237">
        <f t="shared" si="1"/>
        <v>83.240020710059184</v>
      </c>
      <c r="E11" s="235">
        <f>AVERAGE(E7:E10)</f>
        <v>0.62968947935219322</v>
      </c>
      <c r="F11" s="236">
        <f t="shared" si="2"/>
        <v>-0.11172625191566921</v>
      </c>
      <c r="G11" s="237">
        <f t="shared" si="3"/>
        <v>84.930687709497192</v>
      </c>
      <c r="H11" s="235">
        <f>AVERAGE(H7:H10)</f>
        <v>0.71062157146999128</v>
      </c>
      <c r="I11" s="236">
        <f t="shared" si="4"/>
        <v>-8.4639995029615278E-2</v>
      </c>
      <c r="J11" s="237">
        <f t="shared" si="5"/>
        <v>89.35696145833333</v>
      </c>
      <c r="K11" s="235">
        <f>AVERAGE(K7:K10)</f>
        <v>0.64340154081928502</v>
      </c>
      <c r="L11" s="236">
        <f t="shared" si="6"/>
        <v>-9.8014190448577398E-2</v>
      </c>
      <c r="M11" s="237">
        <f t="shared" si="7"/>
        <v>86.780130726256971</v>
      </c>
      <c r="N11" s="235">
        <f>AVERAGE(N7:N10)</f>
        <v>0.30719828935923454</v>
      </c>
      <c r="O11" s="236">
        <f t="shared" si="8"/>
        <v>-8.2148519239531148E-2</v>
      </c>
      <c r="P11" s="237">
        <f t="shared" si="9"/>
        <v>78.900939361702129</v>
      </c>
      <c r="Q11" s="109"/>
    </row>
    <row r="12" spans="1:19" s="96" customFormat="1" ht="15.75" x14ac:dyDescent="0.25">
      <c r="A12" s="110" t="s">
        <v>24</v>
      </c>
      <c r="B12" s="102">
        <f>B25*$B$32/100/$B$33</f>
        <v>0.84431211945491458</v>
      </c>
      <c r="C12" s="107">
        <f t="shared" si="0"/>
        <v>0.14431626144224008</v>
      </c>
      <c r="D12" s="108">
        <f t="shared" si="1"/>
        <v>120.61673076923078</v>
      </c>
      <c r="E12" s="102">
        <f>E25*$B$32/100/$B$33</f>
        <v>0.87029095389968125</v>
      </c>
      <c r="F12" s="107">
        <f t="shared" si="2"/>
        <v>0.12887522263181883</v>
      </c>
      <c r="G12" s="108">
        <f t="shared" si="3"/>
        <v>117.38231564245811</v>
      </c>
      <c r="H12" s="102">
        <f>H25*$B$32/100/$B$33</f>
        <v>1.0963068135691505</v>
      </c>
      <c r="I12" s="107">
        <f t="shared" si="4"/>
        <v>0.30104524706954394</v>
      </c>
      <c r="J12" s="108">
        <f t="shared" si="5"/>
        <v>137.85487187499999</v>
      </c>
      <c r="K12" s="102">
        <f>K25*$B$32/100/$B$33</f>
        <v>0.82575580913722424</v>
      </c>
      <c r="L12" s="107">
        <f t="shared" si="6"/>
        <v>8.4340077869361818E-2</v>
      </c>
      <c r="M12" s="108">
        <f t="shared" si="7"/>
        <v>111.37554469273745</v>
      </c>
      <c r="N12" s="102">
        <f>N25*$B$32/100/$B$33</f>
        <v>0.52885484405417726</v>
      </c>
      <c r="O12" s="107">
        <f t="shared" si="8"/>
        <v>0.13950803545541157</v>
      </c>
      <c r="P12" s="108">
        <f t="shared" si="9"/>
        <v>135.83130319148938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1.0594463819740711</v>
      </c>
      <c r="F13" s="107">
        <f t="shared" si="2"/>
        <v>0.31803065070620873</v>
      </c>
      <c r="G13" s="108">
        <f t="shared" si="3"/>
        <v>142.89505027932958</v>
      </c>
      <c r="H13" s="102">
        <f>H26*$B$34/$B$33</f>
        <v>1.1247100194673405</v>
      </c>
      <c r="I13" s="107">
        <f t="shared" si="4"/>
        <v>0.32944845296773395</v>
      </c>
      <c r="J13" s="108">
        <f t="shared" si="5"/>
        <v>141.42642708333332</v>
      </c>
      <c r="K13" s="102">
        <f>K26*$B$34/$B$33</f>
        <v>0.99418274448080202</v>
      </c>
      <c r="L13" s="107">
        <f t="shared" si="6"/>
        <v>0.2527670132129396</v>
      </c>
      <c r="M13" s="108">
        <f t="shared" si="7"/>
        <v>134.09248044692737</v>
      </c>
      <c r="N13" s="102">
        <f>N26*$B$34/$B$33</f>
        <v>0.48947728119951955</v>
      </c>
      <c r="O13" s="107">
        <f t="shared" si="8"/>
        <v>0.10013047260075386</v>
      </c>
      <c r="P13" s="108">
        <f t="shared" si="9"/>
        <v>125.71755319148936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0.98439319885681154</v>
      </c>
      <c r="F14" s="107">
        <f t="shared" si="2"/>
        <v>0.24297746758894911</v>
      </c>
      <c r="G14" s="108">
        <f t="shared" si="3"/>
        <v>132.77209497206704</v>
      </c>
      <c r="H14" s="102">
        <f>H27*$B$34/$B$33</f>
        <v>1.0703236548896162</v>
      </c>
      <c r="I14" s="107">
        <f t="shared" si="4"/>
        <v>0.27506208839000967</v>
      </c>
      <c r="J14" s="108">
        <f t="shared" si="5"/>
        <v>134.587625</v>
      </c>
      <c r="K14" s="102">
        <f>K27*$B$34/$B$33</f>
        <v>0.91912956136354229</v>
      </c>
      <c r="L14" s="107">
        <f t="shared" si="6"/>
        <v>0.17771383009567987</v>
      </c>
      <c r="M14" s="108">
        <f t="shared" si="7"/>
        <v>123.9695251396648</v>
      </c>
      <c r="N14" s="102">
        <f>N27*$B$34/$B$33</f>
        <v>0.42312591641469582</v>
      </c>
      <c r="O14" s="107">
        <f t="shared" si="8"/>
        <v>3.3779107815930132E-2</v>
      </c>
      <c r="P14" s="108">
        <f t="shared" si="9"/>
        <v>108.67584042553193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0.92128587996520739</v>
      </c>
      <c r="F15" s="119">
        <f t="shared" si="2"/>
        <v>0.17987014869734497</v>
      </c>
      <c r="G15" s="120">
        <f t="shared" si="3"/>
        <v>124.26036312849162</v>
      </c>
      <c r="H15" s="118">
        <f>H28*$B$35/10/$B$33</f>
        <v>1.019396843805658</v>
      </c>
      <c r="I15" s="119">
        <f t="shared" si="4"/>
        <v>0.22413527730605143</v>
      </c>
      <c r="J15" s="120">
        <f t="shared" si="5"/>
        <v>128.18384374999999</v>
      </c>
      <c r="K15" s="118">
        <f>K28*$B$35/10/$B$33</f>
        <v>0.95718013502878696</v>
      </c>
      <c r="L15" s="119">
        <f t="shared" si="6"/>
        <v>0.21576440376092454</v>
      </c>
      <c r="M15" s="120">
        <f t="shared" si="7"/>
        <v>129.10167597765363</v>
      </c>
      <c r="N15" s="118">
        <f>N28*$B$35/10/$B$33</f>
        <v>0.38765795468665876</v>
      </c>
      <c r="O15" s="119">
        <f t="shared" si="8"/>
        <v>-1.6888539121069357E-3</v>
      </c>
      <c r="P15" s="120">
        <f t="shared" si="9"/>
        <v>99.566234042553219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6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69" t="s">
        <v>214</v>
      </c>
      <c r="X19" s="369" t="s">
        <v>214</v>
      </c>
    </row>
    <row r="20" spans="1:24" s="141" customFormat="1" ht="15.75" x14ac:dyDescent="0.25">
      <c r="A20" s="133" t="s">
        <v>185</v>
      </c>
      <c r="B20" s="134">
        <v>1.69</v>
      </c>
      <c r="C20" s="135" t="s">
        <v>172</v>
      </c>
      <c r="D20" s="136" t="s">
        <v>172</v>
      </c>
      <c r="E20" s="134">
        <v>1.79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1.79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</v>
      </c>
      <c r="C21" s="144" t="s">
        <v>172</v>
      </c>
      <c r="D21" s="145" t="s">
        <v>172</v>
      </c>
      <c r="E21" s="143">
        <v>46.6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47.08</v>
      </c>
      <c r="L21" s="144" t="s">
        <v>172</v>
      </c>
      <c r="M21" s="145" t="s">
        <v>172</v>
      </c>
      <c r="N21" s="143">
        <v>20.49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42.25</v>
      </c>
      <c r="C22" s="144" t="s">
        <v>172</v>
      </c>
      <c r="D22" s="145" t="s">
        <v>172</v>
      </c>
      <c r="E22" s="143">
        <v>45.55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</v>
      </c>
      <c r="C23" s="144" t="s">
        <v>172</v>
      </c>
      <c r="D23" s="145" t="s">
        <v>172</v>
      </c>
      <c r="E23" s="143">
        <v>46.07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45.95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22.75</v>
      </c>
      <c r="C25" s="144" t="s">
        <v>172</v>
      </c>
      <c r="D25" s="145" t="s">
        <v>172</v>
      </c>
      <c r="E25" s="143">
        <v>23.45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22.25</v>
      </c>
      <c r="L25" s="144" t="s">
        <v>172</v>
      </c>
      <c r="M25" s="145" t="s">
        <v>172</v>
      </c>
      <c r="N25" s="143">
        <v>14.25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0.97399999999999998</v>
      </c>
      <c r="F26" s="144" t="s">
        <v>172</v>
      </c>
      <c r="G26" s="145" t="s">
        <v>172</v>
      </c>
      <c r="H26" s="153">
        <v>1.034</v>
      </c>
      <c r="I26" s="144" t="s">
        <v>172</v>
      </c>
      <c r="J26" s="145" t="s">
        <v>172</v>
      </c>
      <c r="K26" s="153">
        <v>0.91400000000000003</v>
      </c>
      <c r="L26" s="144" t="s">
        <v>172</v>
      </c>
      <c r="M26" s="145" t="s">
        <v>172</v>
      </c>
      <c r="N26" s="153">
        <v>0.45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0.90500000000000003</v>
      </c>
      <c r="F27" s="144" t="s">
        <v>172</v>
      </c>
      <c r="G27" s="145" t="s">
        <v>172</v>
      </c>
      <c r="H27" s="153">
        <v>0.98399999999999999</v>
      </c>
      <c r="I27" s="144" t="s">
        <v>172</v>
      </c>
      <c r="J27" s="145" t="s">
        <v>172</v>
      </c>
      <c r="K27" s="153">
        <v>0.84499999999999997</v>
      </c>
      <c r="L27" s="144" t="s">
        <v>172</v>
      </c>
      <c r="M27" s="145" t="s">
        <v>172</v>
      </c>
      <c r="N27" s="153">
        <v>0.38900000000000001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3.85</v>
      </c>
      <c r="F28" s="158" t="s">
        <v>172</v>
      </c>
      <c r="G28" s="159" t="s">
        <v>172</v>
      </c>
      <c r="H28" s="234">
        <v>4.26</v>
      </c>
      <c r="I28" s="158" t="s">
        <v>172</v>
      </c>
      <c r="J28" s="159" t="s">
        <v>172</v>
      </c>
      <c r="K28" s="234">
        <v>4</v>
      </c>
      <c r="L28" s="158" t="s">
        <v>172</v>
      </c>
      <c r="M28" s="159" t="s">
        <v>172</v>
      </c>
      <c r="N28" s="234">
        <v>1.62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6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8.9601000000000006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2.4142999999999999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2.6261000000000001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5.7773000000000003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3.3188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43962</v>
      </c>
      <c r="E2" s="493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0.68810157689944706</v>
      </c>
      <c r="C6" s="103" t="s">
        <v>172</v>
      </c>
      <c r="D6" s="104" t="s">
        <v>172</v>
      </c>
      <c r="E6" s="102">
        <f>E20/$B$33</f>
        <v>0.72906000409584271</v>
      </c>
      <c r="F6" s="103" t="s">
        <v>172</v>
      </c>
      <c r="G6" s="104" t="s">
        <v>172</v>
      </c>
      <c r="H6" s="102">
        <f>H20/$B$33</f>
        <v>0.78640180217079658</v>
      </c>
      <c r="I6" s="103" t="s">
        <v>172</v>
      </c>
      <c r="J6" s="104" t="s">
        <v>172</v>
      </c>
      <c r="K6" s="102">
        <f>K20/$B$33</f>
        <v>0.72906000409584271</v>
      </c>
      <c r="L6" s="103" t="s">
        <v>172</v>
      </c>
      <c r="M6" s="104" t="s">
        <v>172</v>
      </c>
      <c r="N6" s="102">
        <f>N20/$B$33</f>
        <v>0.38500921564611917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0.57434735613352439</v>
      </c>
      <c r="C7" s="107">
        <f t="shared" ref="C7:C12" si="0">B7-B$6</f>
        <v>-0.11375422076592268</v>
      </c>
      <c r="D7" s="108">
        <f t="shared" ref="D7:D12" si="1">B7/B$6*100</f>
        <v>83.468397023809516</v>
      </c>
      <c r="E7" s="102">
        <f>E21*$B$36/100/$B$33</f>
        <v>0.6310646651648576</v>
      </c>
      <c r="F7" s="107">
        <f t="shared" ref="F7:F15" si="2">E7-E$6</f>
        <v>-9.799533893098511E-2</v>
      </c>
      <c r="G7" s="108">
        <f t="shared" ref="G7:G15" si="3">E7/E$6*100</f>
        <v>86.558673033707862</v>
      </c>
      <c r="H7" s="102">
        <f>H21*$B$36/100/$B$33</f>
        <v>0.69698669260700385</v>
      </c>
      <c r="I7" s="107">
        <f t="shared" ref="I7:I15" si="4">H7-H$6</f>
        <v>-8.9415109563792727E-2</v>
      </c>
      <c r="J7" s="108">
        <f t="shared" ref="J7:J15" si="5">H7/H$6*100</f>
        <v>88.629844270833331</v>
      </c>
      <c r="K7" s="102">
        <f>K21*$B$36/100/$B$33</f>
        <v>0.637426749948802</v>
      </c>
      <c r="L7" s="107">
        <f t="shared" ref="L7:L15" si="6">K7-K$6</f>
        <v>-9.163325414704071E-2</v>
      </c>
      <c r="M7" s="108">
        <f t="shared" ref="M7:M15" si="7">K7/K$6*100</f>
        <v>87.431315168539342</v>
      </c>
      <c r="N7" s="102">
        <f>N21*$B$36/100/$B$33</f>
        <v>0.27735982387876307</v>
      </c>
      <c r="O7" s="107">
        <f t="shared" ref="O7:O15" si="8">N7-N$6</f>
        <v>-0.10764939176735611</v>
      </c>
      <c r="P7" s="108">
        <f t="shared" ref="P7:P15" si="9">N7/N$6*100</f>
        <v>72.039788297872349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0.57204617653082124</v>
      </c>
      <c r="C8" s="107">
        <f t="shared" si="0"/>
        <v>-0.11605540036862583</v>
      </c>
      <c r="D8" s="108">
        <f t="shared" si="1"/>
        <v>83.133972619047626</v>
      </c>
      <c r="E8" s="102">
        <f>E22*$B$36/100/$B$33</f>
        <v>0.61617467950030724</v>
      </c>
      <c r="F8" s="107">
        <f t="shared" si="2"/>
        <v>-0.11288532459553546</v>
      </c>
      <c r="G8" s="108">
        <f t="shared" si="3"/>
        <v>84.516319101123599</v>
      </c>
      <c r="H8" s="102">
        <f>H22*$B$36/100/$B$33</f>
        <v>0.70118296129428626</v>
      </c>
      <c r="I8" s="107">
        <f t="shared" si="4"/>
        <v>-8.5218840876510327E-2</v>
      </c>
      <c r="J8" s="108">
        <f t="shared" si="5"/>
        <v>89.163447916666669</v>
      </c>
      <c r="K8" s="102">
        <f>K22*$B$36/100/$B$33</f>
        <v>0.62619157894736832</v>
      </c>
      <c r="L8" s="107">
        <f t="shared" si="6"/>
        <v>-0.10286842514847439</v>
      </c>
      <c r="M8" s="108">
        <f t="shared" si="7"/>
        <v>85.890266292134825</v>
      </c>
      <c r="N8" s="102">
        <f>N22*$B$36/100/$B$33</f>
        <v>0.31675060413680112</v>
      </c>
      <c r="O8" s="107">
        <f t="shared" si="8"/>
        <v>-6.8258611509318057E-2</v>
      </c>
      <c r="P8" s="108">
        <f t="shared" si="9"/>
        <v>82.270914893617018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0.58084480442351005</v>
      </c>
      <c r="C9" s="107">
        <f t="shared" si="0"/>
        <v>-0.10725677247593701</v>
      </c>
      <c r="D9" s="108">
        <f t="shared" si="1"/>
        <v>84.412654166666655</v>
      </c>
      <c r="E9" s="102">
        <f>E23*$B$36/100/$B$33</f>
        <v>0.62307821830841692</v>
      </c>
      <c r="F9" s="107">
        <f t="shared" si="2"/>
        <v>-0.10598178578742579</v>
      </c>
      <c r="G9" s="108">
        <f t="shared" si="3"/>
        <v>85.463228651685384</v>
      </c>
      <c r="H9" s="102">
        <f>H23*$B$36/100/$B$33</f>
        <v>0.69035388081097693</v>
      </c>
      <c r="I9" s="107">
        <f t="shared" si="4"/>
        <v>-9.6047921359819655E-2</v>
      </c>
      <c r="J9" s="108">
        <f t="shared" si="5"/>
        <v>87.786406250000013</v>
      </c>
      <c r="K9" s="102">
        <f>K23*$B$36/100/$B$33</f>
        <v>0.62185994675404455</v>
      </c>
      <c r="L9" s="107">
        <f t="shared" si="6"/>
        <v>-0.10720005734179816</v>
      </c>
      <c r="M9" s="108">
        <f t="shared" si="7"/>
        <v>85.296126966292121</v>
      </c>
      <c r="N9" s="102">
        <f>N23*$B$36/100/$B$33</f>
        <v>0.32148832684824907</v>
      </c>
      <c r="O9" s="107">
        <f t="shared" si="8"/>
        <v>-6.3520888797870101E-2</v>
      </c>
      <c r="P9" s="108">
        <f t="shared" si="9"/>
        <v>83.501462765957456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0.5685267253737456</v>
      </c>
      <c r="C10" s="107">
        <f t="shared" si="0"/>
        <v>-0.11957485152570146</v>
      </c>
      <c r="D10" s="108">
        <f t="shared" si="1"/>
        <v>82.622499999999988</v>
      </c>
      <c r="E10" s="102">
        <f>E24*$B$36/100/$B$33</f>
        <v>0.60927114069219745</v>
      </c>
      <c r="F10" s="107">
        <f t="shared" si="2"/>
        <v>-0.11978886340364525</v>
      </c>
      <c r="G10" s="108">
        <f t="shared" si="3"/>
        <v>83.569409550561801</v>
      </c>
      <c r="H10" s="102">
        <f>H24*$B$36/100/$B$33</f>
        <v>0.71052304321114068</v>
      </c>
      <c r="I10" s="107">
        <f t="shared" si="4"/>
        <v>-7.5878758959655901E-2</v>
      </c>
      <c r="J10" s="108">
        <f t="shared" si="5"/>
        <v>90.351146354166673</v>
      </c>
      <c r="K10" s="102">
        <f>K24*$B$36/100/$B$33</f>
        <v>0.64852655744419407</v>
      </c>
      <c r="L10" s="107">
        <f t="shared" si="6"/>
        <v>-8.0533446651648632E-2</v>
      </c>
      <c r="M10" s="108">
        <f t="shared" si="7"/>
        <v>88.953797191011233</v>
      </c>
      <c r="N10" s="102">
        <f>N24*$B$36/100/$B$33</f>
        <v>0.29441562563997542</v>
      </c>
      <c r="O10" s="107">
        <f t="shared" si="8"/>
        <v>-9.0593590006143754E-2</v>
      </c>
      <c r="P10" s="108">
        <f t="shared" si="9"/>
        <v>76.469760638297885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0.57394126561540038</v>
      </c>
      <c r="C11" s="236">
        <f t="shared" si="0"/>
        <v>-0.11416031128404669</v>
      </c>
      <c r="D11" s="237">
        <f t="shared" si="1"/>
        <v>83.409380952380957</v>
      </c>
      <c r="E11" s="235">
        <f>AVERAGE(E7:E10)</f>
        <v>0.61989717591644478</v>
      </c>
      <c r="F11" s="236">
        <f t="shared" si="2"/>
        <v>-0.10916282817939793</v>
      </c>
      <c r="G11" s="237">
        <f t="shared" si="3"/>
        <v>85.026907584269665</v>
      </c>
      <c r="H11" s="235">
        <f>AVERAGE(H7:H10)</f>
        <v>0.69976164448085199</v>
      </c>
      <c r="I11" s="236">
        <f t="shared" si="4"/>
        <v>-8.6640157689944597E-2</v>
      </c>
      <c r="J11" s="237">
        <f t="shared" si="5"/>
        <v>88.982711197916672</v>
      </c>
      <c r="K11" s="235">
        <f>AVERAGE(K7:K10)</f>
        <v>0.63350120827360223</v>
      </c>
      <c r="L11" s="236">
        <f t="shared" si="6"/>
        <v>-9.5558795822240472E-2</v>
      </c>
      <c r="M11" s="237">
        <f t="shared" si="7"/>
        <v>86.892876404494373</v>
      </c>
      <c r="N11" s="235">
        <f>AVERAGE(N7:N10)</f>
        <v>0.30250359512594721</v>
      </c>
      <c r="O11" s="236">
        <f t="shared" si="8"/>
        <v>-8.2505620520171963E-2</v>
      </c>
      <c r="P11" s="237">
        <f t="shared" si="9"/>
        <v>78.57048164893618</v>
      </c>
      <c r="Q11" s="109"/>
    </row>
    <row r="12" spans="1:19" s="96" customFormat="1" ht="15.75" x14ac:dyDescent="0.25">
      <c r="A12" s="110" t="s">
        <v>24</v>
      </c>
      <c r="B12" s="102">
        <f>B25*$B$32/100/$B$33</f>
        <v>0.83848556215441339</v>
      </c>
      <c r="C12" s="107">
        <f t="shared" si="0"/>
        <v>0.15038398525496632</v>
      </c>
      <c r="D12" s="108">
        <f t="shared" si="1"/>
        <v>121.85491071428574</v>
      </c>
      <c r="E12" s="102">
        <f>E25*$B$32/100/$B$33</f>
        <v>0.88320479213598191</v>
      </c>
      <c r="F12" s="107">
        <f t="shared" si="2"/>
        <v>0.1541447880401392</v>
      </c>
      <c r="G12" s="108">
        <f t="shared" si="3"/>
        <v>121.14294943820224</v>
      </c>
      <c r="H12" s="102">
        <f>H25*$B$32/100/$B$33</f>
        <v>1.1008383780462829</v>
      </c>
      <c r="I12" s="107">
        <f t="shared" si="4"/>
        <v>0.31443657587548635</v>
      </c>
      <c r="J12" s="108">
        <f t="shared" si="5"/>
        <v>139.98421354166666</v>
      </c>
      <c r="K12" s="102">
        <f>K25*$B$32/100/$B$33</f>
        <v>0.81985254966209287</v>
      </c>
      <c r="L12" s="107">
        <f t="shared" si="6"/>
        <v>9.079254556625016E-2</v>
      </c>
      <c r="M12" s="108">
        <f t="shared" si="7"/>
        <v>112.45337078651684</v>
      </c>
      <c r="N12" s="102">
        <f>N25*$B$32/100/$B$33</f>
        <v>0.35738117960270327</v>
      </c>
      <c r="O12" s="107">
        <f t="shared" si="8"/>
        <v>-2.7628036043415904E-2</v>
      </c>
      <c r="P12" s="108">
        <f t="shared" si="9"/>
        <v>92.824058510638309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1.0358647962318248</v>
      </c>
      <c r="F13" s="107">
        <f t="shared" si="2"/>
        <v>0.30680479213598211</v>
      </c>
      <c r="G13" s="108">
        <f t="shared" si="3"/>
        <v>142.08224157303374</v>
      </c>
      <c r="H13" s="102">
        <f>H26*$B$34/$B$33</f>
        <v>1.0845731722301863</v>
      </c>
      <c r="I13" s="107">
        <f t="shared" si="4"/>
        <v>0.29817137005938976</v>
      </c>
      <c r="J13" s="108">
        <f t="shared" si="5"/>
        <v>137.91590625000001</v>
      </c>
      <c r="K13" s="102">
        <f>K26*$B$34/$B$33</f>
        <v>0.96009621134548429</v>
      </c>
      <c r="L13" s="107">
        <f t="shared" si="6"/>
        <v>0.23103620724964158</v>
      </c>
      <c r="M13" s="108">
        <f t="shared" si="7"/>
        <v>131.68960112359551</v>
      </c>
      <c r="N13" s="102">
        <f>N26*$B$34/$B$33</f>
        <v>0.48708375998361669</v>
      </c>
      <c r="O13" s="107">
        <f t="shared" si="8"/>
        <v>0.10207454433749752</v>
      </c>
      <c r="P13" s="108">
        <f t="shared" si="9"/>
        <v>126.5122340425532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1.0098869956993652</v>
      </c>
      <c r="F14" s="107">
        <f t="shared" si="2"/>
        <v>0.28082699160352254</v>
      </c>
      <c r="G14" s="108">
        <f t="shared" si="3"/>
        <v>138.51905056179777</v>
      </c>
      <c r="H14" s="102">
        <f>H27*$B$34/$B$33</f>
        <v>1.0975620724964161</v>
      </c>
      <c r="I14" s="107">
        <f t="shared" si="4"/>
        <v>0.31116027032561955</v>
      </c>
      <c r="J14" s="108">
        <f t="shared" si="5"/>
        <v>139.56759375000001</v>
      </c>
      <c r="K14" s="102">
        <f>K27*$B$34/$B$33</f>
        <v>0.89082207659225887</v>
      </c>
      <c r="L14" s="107">
        <f t="shared" si="6"/>
        <v>0.16176207249641616</v>
      </c>
      <c r="M14" s="108">
        <f t="shared" si="7"/>
        <v>122.1877584269663</v>
      </c>
      <c r="N14" s="102">
        <f>N27*$B$34/$B$33</f>
        <v>0.41023276674175713</v>
      </c>
      <c r="O14" s="107">
        <f t="shared" si="8"/>
        <v>2.5223551095637953E-2</v>
      </c>
      <c r="P14" s="108">
        <f t="shared" si="9"/>
        <v>106.55141489361704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0.89667786197010046</v>
      </c>
      <c r="F15" s="119">
        <f t="shared" si="2"/>
        <v>0.16761785787425776</v>
      </c>
      <c r="G15" s="120">
        <f t="shared" si="3"/>
        <v>122.99095505617979</v>
      </c>
      <c r="H15" s="118">
        <f>H28*$B$35/10/$B$33</f>
        <v>0.96327462625435201</v>
      </c>
      <c r="I15" s="119">
        <f t="shared" si="4"/>
        <v>0.17687282408355542</v>
      </c>
      <c r="J15" s="120">
        <f t="shared" si="5"/>
        <v>122.49140625000004</v>
      </c>
      <c r="K15" s="118">
        <f>K28*$B$35/10/$B$33</f>
        <v>0.92759778824493144</v>
      </c>
      <c r="L15" s="119">
        <f t="shared" si="6"/>
        <v>0.19853778414908874</v>
      </c>
      <c r="M15" s="120">
        <f t="shared" si="7"/>
        <v>127.23202247191013</v>
      </c>
      <c r="N15" s="118">
        <f>N28*$B$35/10/$B$33</f>
        <v>0.38055293876715141</v>
      </c>
      <c r="O15" s="119">
        <f t="shared" si="8"/>
        <v>-4.4562768789677687E-3</v>
      </c>
      <c r="P15" s="120">
        <f t="shared" si="9"/>
        <v>98.842553191489372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7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73" t="s">
        <v>214</v>
      </c>
      <c r="X19" s="373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42.43</v>
      </c>
      <c r="C21" s="144" t="s">
        <v>172</v>
      </c>
      <c r="D21" s="145" t="s">
        <v>172</v>
      </c>
      <c r="E21" s="143">
        <v>46.62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47.09</v>
      </c>
      <c r="L21" s="144" t="s">
        <v>172</v>
      </c>
      <c r="M21" s="145" t="s">
        <v>172</v>
      </c>
      <c r="N21" s="143">
        <v>20.49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46.26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46.03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45.94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22.5</v>
      </c>
      <c r="C25" s="144" t="s">
        <v>172</v>
      </c>
      <c r="D25" s="145" t="s">
        <v>172</v>
      </c>
      <c r="E25" s="143">
        <v>23.7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22</v>
      </c>
      <c r="L25" s="144" t="s">
        <v>172</v>
      </c>
      <c r="M25" s="145" t="s">
        <v>172</v>
      </c>
      <c r="N25" s="143">
        <v>9.59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0.95699999999999996</v>
      </c>
      <c r="F26" s="144" t="s">
        <v>172</v>
      </c>
      <c r="G26" s="145" t="s">
        <v>172</v>
      </c>
      <c r="H26" s="153">
        <v>1.002</v>
      </c>
      <c r="I26" s="144" t="s">
        <v>172</v>
      </c>
      <c r="J26" s="145" t="s">
        <v>172</v>
      </c>
      <c r="K26" s="153">
        <v>0.88700000000000001</v>
      </c>
      <c r="L26" s="144" t="s">
        <v>172</v>
      </c>
      <c r="M26" s="145" t="s">
        <v>172</v>
      </c>
      <c r="N26" s="153">
        <v>0.45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0.93300000000000005</v>
      </c>
      <c r="F27" s="144" t="s">
        <v>172</v>
      </c>
      <c r="G27" s="145" t="s">
        <v>172</v>
      </c>
      <c r="H27" s="153">
        <v>1.014</v>
      </c>
      <c r="I27" s="144" t="s">
        <v>172</v>
      </c>
      <c r="J27" s="145" t="s">
        <v>172</v>
      </c>
      <c r="K27" s="153">
        <v>0.82299999999999995</v>
      </c>
      <c r="L27" s="144" t="s">
        <v>172</v>
      </c>
      <c r="M27" s="145" t="s">
        <v>172</v>
      </c>
      <c r="N27" s="153">
        <v>0.379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3.77</v>
      </c>
      <c r="F28" s="158" t="s">
        <v>172</v>
      </c>
      <c r="G28" s="159" t="s">
        <v>172</v>
      </c>
      <c r="H28" s="234">
        <v>4.05</v>
      </c>
      <c r="I28" s="158" t="s">
        <v>172</v>
      </c>
      <c r="J28" s="159" t="s">
        <v>172</v>
      </c>
      <c r="K28" s="234">
        <v>3.9</v>
      </c>
      <c r="L28" s="158" t="s">
        <v>172</v>
      </c>
      <c r="M28" s="159" t="s">
        <v>172</v>
      </c>
      <c r="N28" s="234">
        <v>1.6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7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9.0984999999999996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2.4415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2.6427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5.8070000000000004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3.3048999999999999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43969</v>
      </c>
      <c r="E2" s="493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0.68677949472651456</v>
      </c>
      <c r="C6" s="103" t="s">
        <v>172</v>
      </c>
      <c r="D6" s="104" t="s">
        <v>172</v>
      </c>
      <c r="E6" s="102">
        <f>E20/$B$33</f>
        <v>0.72765922655547377</v>
      </c>
      <c r="F6" s="103" t="s">
        <v>172</v>
      </c>
      <c r="G6" s="104" t="s">
        <v>172</v>
      </c>
      <c r="H6" s="102">
        <f>H20/$B$33</f>
        <v>0.78489085111601664</v>
      </c>
      <c r="I6" s="103" t="s">
        <v>172</v>
      </c>
      <c r="J6" s="104" t="s">
        <v>172</v>
      </c>
      <c r="K6" s="102">
        <f>K20/$B$33</f>
        <v>0.72765922655547377</v>
      </c>
      <c r="L6" s="103" t="s">
        <v>172</v>
      </c>
      <c r="M6" s="104" t="s">
        <v>172</v>
      </c>
      <c r="N6" s="102">
        <f>N20/$B$33</f>
        <v>0.38426947919221643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0.57554341427520217</v>
      </c>
      <c r="C7" s="107">
        <f t="shared" ref="C7:C12" si="0">B7-B$6</f>
        <v>-0.11123608045131239</v>
      </c>
      <c r="D7" s="108">
        <f t="shared" ref="D7:D12" si="1">B7/B$6*100</f>
        <v>83.803232142857127</v>
      </c>
      <c r="E7" s="102">
        <f>E21*$B$36/100/$B$33</f>
        <v>0.62934272749570752</v>
      </c>
      <c r="F7" s="107">
        <f t="shared" ref="F7:F15" si="2">E7-E$6</f>
        <v>-9.8316499059766249E-2</v>
      </c>
      <c r="G7" s="108">
        <f t="shared" ref="G7:G15" si="3">E7/E$6*100</f>
        <v>86.488661797752798</v>
      </c>
      <c r="H7" s="102">
        <f>H21*$B$36/100/$B$33</f>
        <v>0.70307782683345588</v>
      </c>
      <c r="I7" s="107">
        <f t="shared" ref="I7:I15" si="4">H7-H$6</f>
        <v>-8.1813024282560765E-2</v>
      </c>
      <c r="J7" s="108">
        <f t="shared" ref="J7:J15" si="5">H7/H$6*100</f>
        <v>89.576509374999986</v>
      </c>
      <c r="K7" s="102">
        <f>K21*$B$36/100/$B$33</f>
        <v>0.63139092469953406</v>
      </c>
      <c r="L7" s="107">
        <f t="shared" ref="L7:L15" si="6">K7-K$6</f>
        <v>-9.6268301855939709E-2</v>
      </c>
      <c r="M7" s="108">
        <f t="shared" ref="M7:M15" si="7">K7/K$6*100</f>
        <v>86.770139325842706</v>
      </c>
      <c r="N7" s="102">
        <f>N21*$B$36/100/$B$33</f>
        <v>0.27063512386558741</v>
      </c>
      <c r="O7" s="107">
        <f t="shared" ref="O7:O15" si="8">N7-N$6</f>
        <v>-0.11363435532662902</v>
      </c>
      <c r="P7" s="108">
        <f t="shared" ref="P7:P15" si="9">N7/N$6*100</f>
        <v>70.428472340425543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0.57704542555800831</v>
      </c>
      <c r="C8" s="107">
        <f t="shared" si="0"/>
        <v>-0.10973406916850625</v>
      </c>
      <c r="D8" s="108">
        <f t="shared" si="1"/>
        <v>84.021935714285718</v>
      </c>
      <c r="E8" s="102">
        <f>E22*$B$36/100/$B$33</f>
        <v>0.62155957812116747</v>
      </c>
      <c r="F8" s="107">
        <f t="shared" si="2"/>
        <v>-0.1060996484343063</v>
      </c>
      <c r="G8" s="108">
        <f t="shared" si="3"/>
        <v>85.419047191011231</v>
      </c>
      <c r="H8" s="102">
        <f>H22*$B$36/100/$B$33</f>
        <v>0.7073107677213637</v>
      </c>
      <c r="I8" s="107">
        <f t="shared" si="4"/>
        <v>-7.7580083394652943E-2</v>
      </c>
      <c r="J8" s="108">
        <f t="shared" si="5"/>
        <v>90.115812500000004</v>
      </c>
      <c r="K8" s="102">
        <f>K22*$B$36/100/$B$33</f>
        <v>0.63125437821927877</v>
      </c>
      <c r="L8" s="107">
        <f t="shared" si="6"/>
        <v>-9.6404848336195004E-2</v>
      </c>
      <c r="M8" s="108">
        <f t="shared" si="7"/>
        <v>86.75137415730336</v>
      </c>
      <c r="N8" s="102">
        <f>N22*$B$36/100/$B$33</f>
        <v>0.31951876379690941</v>
      </c>
      <c r="O8" s="107">
        <f t="shared" si="8"/>
        <v>-6.4750715395307024E-2</v>
      </c>
      <c r="P8" s="108">
        <f t="shared" si="9"/>
        <v>83.149659574468089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0.58592094677458906</v>
      </c>
      <c r="C9" s="107">
        <f t="shared" si="0"/>
        <v>-0.1008585479519255</v>
      </c>
      <c r="D9" s="108">
        <f t="shared" si="1"/>
        <v>85.314274999999981</v>
      </c>
      <c r="E9" s="102">
        <f>E23*$B$36/100/$B$33</f>
        <v>0.62852344861417708</v>
      </c>
      <c r="F9" s="107">
        <f t="shared" si="2"/>
        <v>-9.9135777941296688E-2</v>
      </c>
      <c r="G9" s="108">
        <f t="shared" si="3"/>
        <v>86.376070786516863</v>
      </c>
      <c r="H9" s="102">
        <f>H23*$B$36/100/$B$33</f>
        <v>0.69638704930095652</v>
      </c>
      <c r="I9" s="107">
        <f t="shared" si="4"/>
        <v>-8.8503801815060124E-2</v>
      </c>
      <c r="J9" s="108">
        <f t="shared" si="5"/>
        <v>88.724062500000002</v>
      </c>
      <c r="K9" s="102">
        <f>K23*$B$36/100/$B$33</f>
        <v>0.62729453029188109</v>
      </c>
      <c r="L9" s="107">
        <f t="shared" si="6"/>
        <v>-0.10036469626359268</v>
      </c>
      <c r="M9" s="108">
        <f t="shared" si="7"/>
        <v>86.207184269662889</v>
      </c>
      <c r="N9" s="102">
        <f>N23*$B$36/100/$B$33</f>
        <v>0.32429789060583758</v>
      </c>
      <c r="O9" s="107">
        <f t="shared" si="8"/>
        <v>-5.9971588586378854E-2</v>
      </c>
      <c r="P9" s="108">
        <f t="shared" si="9"/>
        <v>84.393351063829797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0.57349521707137596</v>
      </c>
      <c r="C10" s="107">
        <f t="shared" si="0"/>
        <v>-0.1132842776551386</v>
      </c>
      <c r="D10" s="108">
        <f t="shared" si="1"/>
        <v>83.504999999999995</v>
      </c>
      <c r="E10" s="102">
        <f>E24*$B$36/100/$B$33</f>
        <v>0.61459570762815796</v>
      </c>
      <c r="F10" s="107">
        <f t="shared" si="2"/>
        <v>-0.11306351892731581</v>
      </c>
      <c r="G10" s="108">
        <f t="shared" si="3"/>
        <v>84.462023595505613</v>
      </c>
      <c r="H10" s="102">
        <f>H24*$B$36/100/$B$33</f>
        <v>0.71673247485896496</v>
      </c>
      <c r="I10" s="107">
        <f t="shared" si="4"/>
        <v>-6.8158376257051678E-2</v>
      </c>
      <c r="J10" s="108">
        <f t="shared" si="5"/>
        <v>91.316196875000017</v>
      </c>
      <c r="K10" s="102">
        <f>K24*$B$36/100/$B$33</f>
        <v>0.65419418690213382</v>
      </c>
      <c r="L10" s="107">
        <f t="shared" si="6"/>
        <v>-7.3465039653339947E-2</v>
      </c>
      <c r="M10" s="108">
        <f t="shared" si="7"/>
        <v>89.903922471910107</v>
      </c>
      <c r="N10" s="102">
        <f>N24*$B$36/100/$B$33</f>
        <v>0.29698859455481968</v>
      </c>
      <c r="O10" s="107">
        <f t="shared" si="8"/>
        <v>-8.728088463739675E-2</v>
      </c>
      <c r="P10" s="108">
        <f t="shared" si="9"/>
        <v>77.286542553191495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0.57800125091979382</v>
      </c>
      <c r="C11" s="236">
        <f t="shared" si="0"/>
        <v>-0.10877824380672074</v>
      </c>
      <c r="D11" s="237">
        <f t="shared" si="1"/>
        <v>84.161110714285698</v>
      </c>
      <c r="E11" s="235">
        <f>AVERAGE(E7:E10)</f>
        <v>0.62350536546480251</v>
      </c>
      <c r="F11" s="236">
        <f t="shared" si="2"/>
        <v>-0.10415386109067126</v>
      </c>
      <c r="G11" s="237">
        <f t="shared" si="3"/>
        <v>85.68645084269663</v>
      </c>
      <c r="H11" s="235">
        <f>AVERAGE(H7:H10)</f>
        <v>0.70587702967868526</v>
      </c>
      <c r="I11" s="236">
        <f t="shared" si="4"/>
        <v>-7.9013821437331377E-2</v>
      </c>
      <c r="J11" s="237">
        <f t="shared" si="5"/>
        <v>89.933145312500002</v>
      </c>
      <c r="K11" s="235">
        <f>AVERAGE(K7:K10)</f>
        <v>0.63603350502820688</v>
      </c>
      <c r="L11" s="236">
        <f t="shared" si="6"/>
        <v>-9.162572152726689E-2</v>
      </c>
      <c r="M11" s="237">
        <f t="shared" si="7"/>
        <v>87.408155056179766</v>
      </c>
      <c r="N11" s="235">
        <f>AVERAGE(N7:N10)</f>
        <v>0.30286009320578849</v>
      </c>
      <c r="O11" s="236">
        <f t="shared" si="8"/>
        <v>-8.140938598642794E-2</v>
      </c>
      <c r="P11" s="237">
        <f t="shared" si="9"/>
        <v>78.81450638297872</v>
      </c>
      <c r="Q11" s="109"/>
    </row>
    <row r="12" spans="1:19" s="96" customFormat="1" ht="15.75" x14ac:dyDescent="0.25">
      <c r="A12" s="110" t="s">
        <v>24</v>
      </c>
      <c r="B12" s="102">
        <f>B25*$B$32/100/$B$33</f>
        <v>0.8447847682119205</v>
      </c>
      <c r="C12" s="107">
        <f t="shared" si="0"/>
        <v>0.15800527348540594</v>
      </c>
      <c r="D12" s="108">
        <f t="shared" si="1"/>
        <v>123.00669642857143</v>
      </c>
      <c r="E12" s="102">
        <f>E25*$B$32/100/$B$33</f>
        <v>0.88983995584988962</v>
      </c>
      <c r="F12" s="107">
        <f t="shared" si="2"/>
        <v>0.16218072929441585</v>
      </c>
      <c r="G12" s="108">
        <f t="shared" si="3"/>
        <v>122.28800561797752</v>
      </c>
      <c r="H12" s="102">
        <f>H25*$B$32/100/$B$33</f>
        <v>1.1091085356880057</v>
      </c>
      <c r="I12" s="107">
        <f t="shared" si="4"/>
        <v>0.32421768457198907</v>
      </c>
      <c r="J12" s="108">
        <f t="shared" si="5"/>
        <v>141.30735937499998</v>
      </c>
      <c r="K12" s="102">
        <f>K25*$B$32/100/$B$33</f>
        <v>0.82601177336276665</v>
      </c>
      <c r="L12" s="107">
        <f t="shared" si="6"/>
        <v>9.8352546807292884E-2</v>
      </c>
      <c r="M12" s="108">
        <f t="shared" si="7"/>
        <v>113.51629213483146</v>
      </c>
      <c r="N12" s="102">
        <f>N25*$B$32/100/$B$33</f>
        <v>0.38822553348050037</v>
      </c>
      <c r="O12" s="107">
        <f t="shared" si="8"/>
        <v>3.9560542882839389E-3</v>
      </c>
      <c r="P12" s="108">
        <f t="shared" si="9"/>
        <v>101.02950000000001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1.0204091243561442</v>
      </c>
      <c r="F13" s="107">
        <f t="shared" si="2"/>
        <v>0.2927498978006704</v>
      </c>
      <c r="G13" s="108">
        <f t="shared" si="3"/>
        <v>140.23173033707866</v>
      </c>
      <c r="H13" s="102">
        <f>H26*$B$34/$B$33</f>
        <v>1.0852656364974245</v>
      </c>
      <c r="I13" s="107">
        <f t="shared" si="4"/>
        <v>0.30037478538140783</v>
      </c>
      <c r="J13" s="108">
        <f t="shared" si="5"/>
        <v>138.26962499999999</v>
      </c>
      <c r="K13" s="102">
        <f>K26*$B$34/$B$33</f>
        <v>0.92312435614422361</v>
      </c>
      <c r="L13" s="107">
        <f t="shared" si="6"/>
        <v>0.19546512958874984</v>
      </c>
      <c r="M13" s="108">
        <f t="shared" si="7"/>
        <v>126.86217977528089</v>
      </c>
      <c r="N13" s="102">
        <f>N26*$B$34/$B$33</f>
        <v>0.44859087564385575</v>
      </c>
      <c r="O13" s="107">
        <f t="shared" si="8"/>
        <v>6.4321396451639312E-2</v>
      </c>
      <c r="P13" s="108">
        <f t="shared" si="9"/>
        <v>116.73861702127661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0.99014275202354662</v>
      </c>
      <c r="F14" s="107">
        <f t="shared" si="2"/>
        <v>0.26248352546807285</v>
      </c>
      <c r="G14" s="108">
        <f t="shared" si="3"/>
        <v>136.07231460674157</v>
      </c>
      <c r="H14" s="102">
        <f>H27*$B$34/$B$33</f>
        <v>1.1285033112582783</v>
      </c>
      <c r="I14" s="107">
        <f t="shared" si="4"/>
        <v>0.34361246014226166</v>
      </c>
      <c r="J14" s="108">
        <f t="shared" si="5"/>
        <v>143.77837500000004</v>
      </c>
      <c r="K14" s="102">
        <f>K27*$B$34/$B$33</f>
        <v>0.88204856512141283</v>
      </c>
      <c r="L14" s="107">
        <f t="shared" si="6"/>
        <v>0.15438933856593906</v>
      </c>
      <c r="M14" s="108">
        <f t="shared" si="7"/>
        <v>121.2172584269663</v>
      </c>
      <c r="N14" s="102">
        <f>N27*$B$34/$B$33</f>
        <v>0.40967696835908757</v>
      </c>
      <c r="O14" s="107">
        <f t="shared" si="8"/>
        <v>2.5407489166871133E-2</v>
      </c>
      <c r="P14" s="108">
        <f t="shared" si="9"/>
        <v>106.61189361702131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0.90354721609026245</v>
      </c>
      <c r="F15" s="119">
        <f t="shared" si="2"/>
        <v>0.17588798953478868</v>
      </c>
      <c r="G15" s="120">
        <f t="shared" si="3"/>
        <v>124.17175280898877</v>
      </c>
      <c r="H15" s="118">
        <f>H28*$B$35/10/$B$33</f>
        <v>0.96757812116752506</v>
      </c>
      <c r="I15" s="119">
        <f t="shared" si="4"/>
        <v>0.18268727005150842</v>
      </c>
      <c r="J15" s="120">
        <f t="shared" si="5"/>
        <v>123.27550000000001</v>
      </c>
      <c r="K15" s="118">
        <f>K28*$B$35/10/$B$33</f>
        <v>0.92014782111029347</v>
      </c>
      <c r="L15" s="119">
        <f t="shared" si="6"/>
        <v>0.1924885945548197</v>
      </c>
      <c r="M15" s="120">
        <f t="shared" si="7"/>
        <v>126.45312359550562</v>
      </c>
      <c r="N15" s="118">
        <f>N28*$B$35/10/$B$33</f>
        <v>0.37944240045785294</v>
      </c>
      <c r="O15" s="119">
        <f t="shared" si="8"/>
        <v>-4.8270787343634991E-3</v>
      </c>
      <c r="P15" s="120">
        <f t="shared" si="9"/>
        <v>98.743829787234034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7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75" t="s">
        <v>214</v>
      </c>
      <c r="X19" s="375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42.15</v>
      </c>
      <c r="C21" s="144" t="s">
        <v>172</v>
      </c>
      <c r="D21" s="145" t="s">
        <v>172</v>
      </c>
      <c r="E21" s="143">
        <v>46.09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46.24</v>
      </c>
      <c r="L21" s="144" t="s">
        <v>172</v>
      </c>
      <c r="M21" s="145" t="s">
        <v>172</v>
      </c>
      <c r="N21" s="143">
        <v>19.82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46.23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46.03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45.94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22.5</v>
      </c>
      <c r="C25" s="144" t="s">
        <v>172</v>
      </c>
      <c r="D25" s="145" t="s">
        <v>172</v>
      </c>
      <c r="E25" s="143">
        <v>23.7</v>
      </c>
      <c r="F25" s="144" t="s">
        <v>172</v>
      </c>
      <c r="G25" s="145" t="s">
        <v>172</v>
      </c>
      <c r="H25" s="143">
        <v>29.54</v>
      </c>
      <c r="I25" s="144" t="s">
        <v>172</v>
      </c>
      <c r="J25" s="145" t="s">
        <v>172</v>
      </c>
      <c r="K25" s="143">
        <v>22</v>
      </c>
      <c r="L25" s="144" t="s">
        <v>172</v>
      </c>
      <c r="M25" s="145" t="s">
        <v>172</v>
      </c>
      <c r="N25" s="143">
        <v>10.34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0.94399999999999995</v>
      </c>
      <c r="F26" s="144" t="s">
        <v>172</v>
      </c>
      <c r="G26" s="145" t="s">
        <v>172</v>
      </c>
      <c r="H26" s="153">
        <v>1.004</v>
      </c>
      <c r="I26" s="144" t="s">
        <v>172</v>
      </c>
      <c r="J26" s="145" t="s">
        <v>172</v>
      </c>
      <c r="K26" s="153">
        <v>0.85399999999999998</v>
      </c>
      <c r="L26" s="144" t="s">
        <v>172</v>
      </c>
      <c r="M26" s="145" t="s">
        <v>172</v>
      </c>
      <c r="N26" s="153">
        <v>0.41499999999999998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0.91600000000000004</v>
      </c>
      <c r="F27" s="144" t="s">
        <v>172</v>
      </c>
      <c r="G27" s="145" t="s">
        <v>172</v>
      </c>
      <c r="H27" s="153">
        <v>1.044</v>
      </c>
      <c r="I27" s="144" t="s">
        <v>172</v>
      </c>
      <c r="J27" s="145" t="s">
        <v>172</v>
      </c>
      <c r="K27" s="153">
        <v>0.81599999999999995</v>
      </c>
      <c r="L27" s="144" t="s">
        <v>172</v>
      </c>
      <c r="M27" s="145" t="s">
        <v>172</v>
      </c>
      <c r="N27" s="153">
        <v>0.379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3.81</v>
      </c>
      <c r="F28" s="158" t="s">
        <v>172</v>
      </c>
      <c r="G28" s="159" t="s">
        <v>172</v>
      </c>
      <c r="H28" s="234">
        <v>4.08</v>
      </c>
      <c r="I28" s="158" t="s">
        <v>172</v>
      </c>
      <c r="J28" s="159" t="s">
        <v>172</v>
      </c>
      <c r="K28" s="234">
        <v>3.88</v>
      </c>
      <c r="L28" s="158" t="s">
        <v>172</v>
      </c>
      <c r="M28" s="159" t="s">
        <v>172</v>
      </c>
      <c r="N28" s="234">
        <v>1.6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7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9.1844999999999999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2.4462000000000002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2.6442000000000001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5.8011999999999997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3.3401999999999998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43976</v>
      </c>
      <c r="E2" s="493"/>
      <c r="F2" s="377"/>
      <c r="G2" s="377"/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0.70040857166680559</v>
      </c>
      <c r="C6" s="103" t="s">
        <v>172</v>
      </c>
      <c r="D6" s="104" t="s">
        <v>172</v>
      </c>
      <c r="E6" s="102">
        <f>E20/$B$33</f>
        <v>0.74209955807554406</v>
      </c>
      <c r="F6" s="103" t="s">
        <v>172</v>
      </c>
      <c r="G6" s="104" t="s">
        <v>172</v>
      </c>
      <c r="H6" s="102">
        <f>H20/$B$33</f>
        <v>0.80046693904777777</v>
      </c>
      <c r="I6" s="103" t="s">
        <v>172</v>
      </c>
      <c r="J6" s="104" t="s">
        <v>172</v>
      </c>
      <c r="K6" s="102">
        <f>K20/$B$33</f>
        <v>0.74209955807554406</v>
      </c>
      <c r="L6" s="103" t="s">
        <v>172</v>
      </c>
      <c r="M6" s="104" t="s">
        <v>172</v>
      </c>
      <c r="N6" s="102">
        <f>N20/$B$33</f>
        <v>0.39189527224214121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0.58526140248478276</v>
      </c>
      <c r="C7" s="107">
        <f t="shared" ref="C7:C12" si="0">B7-B$6</f>
        <v>-0.11514716918202283</v>
      </c>
      <c r="D7" s="108">
        <f t="shared" ref="D7:D12" si="1">B7/B$6*100</f>
        <v>83.56</v>
      </c>
      <c r="E7" s="102">
        <f>E21*$B$36/100/$B$33</f>
        <v>0.643787542733261</v>
      </c>
      <c r="F7" s="107">
        <f t="shared" ref="F7:F15" si="2">E7-E$6</f>
        <v>-9.8312015342283066E-2</v>
      </c>
      <c r="G7" s="108">
        <f t="shared" ref="G7:G15" si="3">E7/E$6*100</f>
        <v>86.752179775280894</v>
      </c>
      <c r="H7" s="102">
        <f>H21*$B$36/100/$B$33</f>
        <v>0.71750260985574921</v>
      </c>
      <c r="I7" s="107">
        <f t="shared" ref="I7:I15" si="4">H7-H$6</f>
        <v>-8.2964329192028563E-2</v>
      </c>
      <c r="J7" s="108">
        <f t="shared" ref="J7:J15" si="5">H7/H$6*100</f>
        <v>89.635508333333348</v>
      </c>
      <c r="K7" s="102">
        <f>K21*$B$36/100/$B$33</f>
        <v>0.63389383807220889</v>
      </c>
      <c r="L7" s="107">
        <f t="shared" ref="L7:L15" si="6">K7-K$6</f>
        <v>-0.10820572000333517</v>
      </c>
      <c r="M7" s="108">
        <f t="shared" ref="M7:M15" si="7">K7/K$6*100</f>
        <v>85.418975280898891</v>
      </c>
      <c r="N7" s="102">
        <f>N21*$B$36/100/$B$33</f>
        <v>0.27340068373217713</v>
      </c>
      <c r="O7" s="107">
        <f t="shared" ref="O7:O15" si="8">N7-N$6</f>
        <v>-0.11849458850996408</v>
      </c>
      <c r="P7" s="108">
        <f t="shared" ref="P7:P15" si="9">N7/N$6*100</f>
        <v>69.76371063829788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0.58888444926206951</v>
      </c>
      <c r="C8" s="107">
        <f t="shared" si="0"/>
        <v>-0.11152412240473608</v>
      </c>
      <c r="D8" s="108">
        <f t="shared" si="1"/>
        <v>84.077276190476198</v>
      </c>
      <c r="E8" s="102">
        <f>E22*$B$36/100/$B$33</f>
        <v>0.63431188193112642</v>
      </c>
      <c r="F8" s="107">
        <f t="shared" si="2"/>
        <v>-0.10778767614441764</v>
      </c>
      <c r="G8" s="108">
        <f t="shared" si="3"/>
        <v>85.475307865168531</v>
      </c>
      <c r="H8" s="102">
        <f>H22*$B$36/100/$B$33</f>
        <v>0.72182239639789869</v>
      </c>
      <c r="I8" s="107">
        <f t="shared" si="4"/>
        <v>-7.8644542649879079E-2</v>
      </c>
      <c r="J8" s="108">
        <f t="shared" si="5"/>
        <v>90.175166666666669</v>
      </c>
      <c r="K8" s="102">
        <f>K22*$B$36/100/$B$33</f>
        <v>0.6443449345451514</v>
      </c>
      <c r="L8" s="107">
        <f t="shared" si="6"/>
        <v>-9.7754623530392659E-2</v>
      </c>
      <c r="M8" s="108">
        <f t="shared" si="7"/>
        <v>86.827289887640461</v>
      </c>
      <c r="N8" s="102">
        <f>N22*$B$36/100/$B$33</f>
        <v>0.32607420995580755</v>
      </c>
      <c r="O8" s="107">
        <f t="shared" si="8"/>
        <v>-6.5821062286333665E-2</v>
      </c>
      <c r="P8" s="108">
        <f t="shared" si="9"/>
        <v>83.204425531914907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0.59794206620528645</v>
      </c>
      <c r="C9" s="107">
        <f t="shared" si="0"/>
        <v>-0.10246650546151914</v>
      </c>
      <c r="D9" s="108">
        <f t="shared" si="1"/>
        <v>85.370466666666672</v>
      </c>
      <c r="E9" s="102">
        <f>E23*$B$36/100/$B$33</f>
        <v>0.64141862753272738</v>
      </c>
      <c r="F9" s="107">
        <f t="shared" si="2"/>
        <v>-0.10068093054281668</v>
      </c>
      <c r="G9" s="108">
        <f t="shared" si="3"/>
        <v>86.43296179775281</v>
      </c>
      <c r="H9" s="102">
        <f>H23*$B$36/100/$B$33</f>
        <v>0.71067456016009334</v>
      </c>
      <c r="I9" s="107">
        <f t="shared" si="4"/>
        <v>-8.9792378887684432E-2</v>
      </c>
      <c r="J9" s="108">
        <f t="shared" si="5"/>
        <v>88.782500000000013</v>
      </c>
      <c r="K9" s="102">
        <f>K23*$B$36/100/$B$33</f>
        <v>0.64016449595597424</v>
      </c>
      <c r="L9" s="107">
        <f t="shared" si="6"/>
        <v>-0.10193506211956982</v>
      </c>
      <c r="M9" s="108">
        <f t="shared" si="7"/>
        <v>86.263964044943805</v>
      </c>
      <c r="N9" s="102">
        <f>N23*$B$36/100/$B$33</f>
        <v>0.33095138830984744</v>
      </c>
      <c r="O9" s="107">
        <f t="shared" si="8"/>
        <v>-6.0943883932293774E-2</v>
      </c>
      <c r="P9" s="108">
        <f t="shared" si="9"/>
        <v>84.448936170212789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0.58526140248478276</v>
      </c>
      <c r="C10" s="107">
        <f t="shared" si="0"/>
        <v>-0.11514716918202283</v>
      </c>
      <c r="D10" s="108">
        <f t="shared" si="1"/>
        <v>83.56</v>
      </c>
      <c r="E10" s="102">
        <f>E24*$B$36/100/$B$33</f>
        <v>0.62720513632952546</v>
      </c>
      <c r="F10" s="107">
        <f t="shared" si="2"/>
        <v>-0.1148944217460186</v>
      </c>
      <c r="G10" s="108">
        <f t="shared" si="3"/>
        <v>84.517653932584253</v>
      </c>
      <c r="H10" s="102">
        <f>H24*$B$36/100/$B$33</f>
        <v>0.73143740515300593</v>
      </c>
      <c r="I10" s="107">
        <f t="shared" si="4"/>
        <v>-6.9029533894771844E-2</v>
      </c>
      <c r="J10" s="108">
        <f t="shared" si="5"/>
        <v>91.37634166666669</v>
      </c>
      <c r="K10" s="102">
        <f>K24*$B$36/100/$B$33</f>
        <v>0.66747669473859739</v>
      </c>
      <c r="L10" s="107">
        <f t="shared" si="6"/>
        <v>-7.4622863336946677E-2</v>
      </c>
      <c r="M10" s="108">
        <f t="shared" si="7"/>
        <v>89.944359550561785</v>
      </c>
      <c r="N10" s="102">
        <f>N24*$B$36/100/$B$33</f>
        <v>0.30308179771533389</v>
      </c>
      <c r="O10" s="107">
        <f t="shared" si="8"/>
        <v>-8.8813474526807323E-2</v>
      </c>
      <c r="P10" s="108">
        <f t="shared" si="9"/>
        <v>77.337446808510634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0.5893373301092304</v>
      </c>
      <c r="C11" s="236">
        <f t="shared" si="0"/>
        <v>-0.1110712415575752</v>
      </c>
      <c r="D11" s="237">
        <f t="shared" si="1"/>
        <v>84.141935714285722</v>
      </c>
      <c r="E11" s="235">
        <f>AVERAGE(E7:E10)</f>
        <v>0.63668079713166004</v>
      </c>
      <c r="F11" s="236">
        <f t="shared" si="2"/>
        <v>-0.10541876094388403</v>
      </c>
      <c r="G11" s="237">
        <f t="shared" si="3"/>
        <v>85.794525842696615</v>
      </c>
      <c r="H11" s="235">
        <f>AVERAGE(H7:H10)</f>
        <v>0.72035924289168685</v>
      </c>
      <c r="I11" s="236">
        <f t="shared" si="4"/>
        <v>-8.0107696156090924E-2</v>
      </c>
      <c r="J11" s="237">
        <f t="shared" si="5"/>
        <v>89.99237916666668</v>
      </c>
      <c r="K11" s="235">
        <f>AVERAGE(K7:K10)</f>
        <v>0.64646999082798295</v>
      </c>
      <c r="L11" s="236">
        <f t="shared" si="6"/>
        <v>-9.5629567247561109E-2</v>
      </c>
      <c r="M11" s="237">
        <f t="shared" si="7"/>
        <v>87.113647191011239</v>
      </c>
      <c r="N11" s="235">
        <f>AVERAGE(N7:N10)</f>
        <v>0.30837701992829153</v>
      </c>
      <c r="O11" s="236">
        <f t="shared" si="8"/>
        <v>-8.3518252313849684E-2</v>
      </c>
      <c r="P11" s="237">
        <f t="shared" si="9"/>
        <v>78.688629787234049</v>
      </c>
      <c r="Q11" s="109"/>
    </row>
    <row r="12" spans="1:19" s="96" customFormat="1" ht="15.75" x14ac:dyDescent="0.25">
      <c r="A12" s="110" t="s">
        <v>24</v>
      </c>
      <c r="B12" s="102">
        <f>B25*$B$32/100/$B$33</f>
        <v>0.8311886100225131</v>
      </c>
      <c r="C12" s="107">
        <f t="shared" si="0"/>
        <v>0.13078003835570751</v>
      </c>
      <c r="D12" s="108">
        <f t="shared" si="1"/>
        <v>118.6719642857143</v>
      </c>
      <c r="E12" s="102">
        <f>E25*$B$32/100/$B$33</f>
        <v>0.89469515550737921</v>
      </c>
      <c r="F12" s="107">
        <f t="shared" si="2"/>
        <v>0.15259559743183515</v>
      </c>
      <c r="G12" s="108">
        <f t="shared" si="3"/>
        <v>120.56268539325841</v>
      </c>
      <c r="H12" s="102">
        <f>H25*$B$32/100/$B$33</f>
        <v>1.0194668389894104</v>
      </c>
      <c r="I12" s="107">
        <f t="shared" si="4"/>
        <v>0.2189998999416326</v>
      </c>
      <c r="J12" s="108">
        <f t="shared" si="5"/>
        <v>127.35901874999999</v>
      </c>
      <c r="K12" s="102">
        <f>K25*$B$32/100/$B$33</f>
        <v>0.80877453514550135</v>
      </c>
      <c r="L12" s="107">
        <f t="shared" si="6"/>
        <v>6.6674977069957286E-2</v>
      </c>
      <c r="M12" s="108">
        <f t="shared" si="7"/>
        <v>108.98464044943819</v>
      </c>
      <c r="N12" s="102">
        <f>N25*$B$32/100/$B$33</f>
        <v>0.37730359376302847</v>
      </c>
      <c r="O12" s="107">
        <f t="shared" si="8"/>
        <v>-1.4591678479112746E-2</v>
      </c>
      <c r="P12" s="108">
        <f t="shared" si="9"/>
        <v>96.276638297872353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1.0769517218377387</v>
      </c>
      <c r="F13" s="107">
        <f t="shared" si="2"/>
        <v>0.33485216376219462</v>
      </c>
      <c r="G13" s="108">
        <f t="shared" si="3"/>
        <v>145.12226966292135</v>
      </c>
      <c r="H13" s="102">
        <f>H26*$B$34/$B$33</f>
        <v>1.1260528641707663</v>
      </c>
      <c r="I13" s="107">
        <f t="shared" si="4"/>
        <v>0.32558592512298856</v>
      </c>
      <c r="J13" s="108">
        <f t="shared" si="5"/>
        <v>140.67450000000002</v>
      </c>
      <c r="K13" s="102">
        <f>K26*$B$34/$B$33</f>
        <v>0.98966080213457841</v>
      </c>
      <c r="L13" s="107">
        <f t="shared" si="6"/>
        <v>0.24756124405903435</v>
      </c>
      <c r="M13" s="108">
        <f t="shared" si="7"/>
        <v>133.35957303370785</v>
      </c>
      <c r="N13" s="102">
        <f>N26*$B$34/$B$33</f>
        <v>0.48555574084882852</v>
      </c>
      <c r="O13" s="107">
        <f t="shared" si="8"/>
        <v>9.3660468606687308E-2</v>
      </c>
      <c r="P13" s="108">
        <f t="shared" si="9"/>
        <v>123.89936170212768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1.0202126240306846</v>
      </c>
      <c r="F14" s="107">
        <f t="shared" si="2"/>
        <v>0.27811306595514051</v>
      </c>
      <c r="G14" s="108">
        <f t="shared" si="3"/>
        <v>137.47651685393259</v>
      </c>
      <c r="H14" s="102">
        <f>H27*$B$34/$B$33</f>
        <v>1.1064124072375554</v>
      </c>
      <c r="I14" s="107">
        <f t="shared" si="4"/>
        <v>0.30594546818977764</v>
      </c>
      <c r="J14" s="108">
        <f t="shared" si="5"/>
        <v>138.22087500000004</v>
      </c>
      <c r="K14" s="102">
        <f>K27*$B$34/$B$33</f>
        <v>0.91109897440173437</v>
      </c>
      <c r="L14" s="107">
        <f t="shared" si="6"/>
        <v>0.16899941632619031</v>
      </c>
      <c r="M14" s="108">
        <f t="shared" si="7"/>
        <v>122.77314606741574</v>
      </c>
      <c r="N14" s="102">
        <f>N27*$B$34/$B$33</f>
        <v>0.46918869340448599</v>
      </c>
      <c r="O14" s="107">
        <f t="shared" si="8"/>
        <v>7.7293421162344778E-2</v>
      </c>
      <c r="P14" s="108">
        <f t="shared" si="9"/>
        <v>119.72297872340427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0.9541410822980072</v>
      </c>
      <c r="F15" s="119">
        <f t="shared" si="2"/>
        <v>0.21204152422246314</v>
      </c>
      <c r="G15" s="120">
        <f t="shared" si="3"/>
        <v>128.57319101123596</v>
      </c>
      <c r="H15" s="118">
        <f>H28*$B$35/10/$B$33</f>
        <v>1.0167867089135327</v>
      </c>
      <c r="I15" s="119">
        <f t="shared" si="4"/>
        <v>0.21631976986575496</v>
      </c>
      <c r="J15" s="120">
        <f t="shared" si="5"/>
        <v>127.02419791666667</v>
      </c>
      <c r="K15" s="118">
        <f>K28*$B$35/10/$B$33</f>
        <v>0.96136942383056778</v>
      </c>
      <c r="L15" s="119">
        <f t="shared" si="6"/>
        <v>0.21926986575502372</v>
      </c>
      <c r="M15" s="120">
        <f t="shared" si="7"/>
        <v>129.54723033707864</v>
      </c>
      <c r="N15" s="118">
        <f>N28*$B$35/10/$B$33</f>
        <v>0.39755878429083635</v>
      </c>
      <c r="O15" s="119">
        <f t="shared" si="8"/>
        <v>5.6635120486951407E-3</v>
      </c>
      <c r="P15" s="120">
        <f t="shared" si="9"/>
        <v>101.44515957446811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7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79" t="s">
        <v>214</v>
      </c>
      <c r="X19" s="379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</v>
      </c>
      <c r="C21" s="144" t="s">
        <v>172</v>
      </c>
      <c r="D21" s="145" t="s">
        <v>172</v>
      </c>
      <c r="E21" s="143">
        <v>46.2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45.49</v>
      </c>
      <c r="L21" s="144" t="s">
        <v>172</v>
      </c>
      <c r="M21" s="145" t="s">
        <v>172</v>
      </c>
      <c r="N21" s="143">
        <v>19.62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46.03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45.94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23.95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21.65</v>
      </c>
      <c r="L25" s="144" t="s">
        <v>172</v>
      </c>
      <c r="M25" s="145" t="s">
        <v>172</v>
      </c>
      <c r="N25" s="143">
        <v>10.1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0.98699999999999999</v>
      </c>
      <c r="F26" s="144" t="s">
        <v>172</v>
      </c>
      <c r="G26" s="145" t="s">
        <v>172</v>
      </c>
      <c r="H26" s="153">
        <v>1.032</v>
      </c>
      <c r="I26" s="144" t="s">
        <v>172</v>
      </c>
      <c r="J26" s="145" t="s">
        <v>172</v>
      </c>
      <c r="K26" s="153">
        <v>0.90700000000000003</v>
      </c>
      <c r="L26" s="144" t="s">
        <v>172</v>
      </c>
      <c r="M26" s="145" t="s">
        <v>172</v>
      </c>
      <c r="N26" s="153">
        <v>0.44500000000000001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0.93500000000000005</v>
      </c>
      <c r="F27" s="144" t="s">
        <v>172</v>
      </c>
      <c r="G27" s="145" t="s">
        <v>172</v>
      </c>
      <c r="H27" s="153">
        <v>1.014</v>
      </c>
      <c r="I27" s="144" t="s">
        <v>172</v>
      </c>
      <c r="J27" s="145" t="s">
        <v>172</v>
      </c>
      <c r="K27" s="153">
        <v>0.83499999999999996</v>
      </c>
      <c r="L27" s="144" t="s">
        <v>172</v>
      </c>
      <c r="M27" s="145" t="s">
        <v>172</v>
      </c>
      <c r="N27" s="153">
        <v>0.43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3.96</v>
      </c>
      <c r="F28" s="158" t="s">
        <v>172</v>
      </c>
      <c r="G28" s="159" t="s">
        <v>172</v>
      </c>
      <c r="H28" s="234">
        <v>4.22</v>
      </c>
      <c r="I28" s="158" t="s">
        <v>172</v>
      </c>
      <c r="J28" s="159" t="s">
        <v>172</v>
      </c>
      <c r="K28" s="234">
        <v>3.99</v>
      </c>
      <c r="L28" s="158" t="s">
        <v>172</v>
      </c>
      <c r="M28" s="159" t="s">
        <v>172</v>
      </c>
      <c r="N28" s="234">
        <v>1.65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7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8.9603999999999999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2.3986000000000001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2.6172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5.7793000000000001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3.3424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43983</v>
      </c>
      <c r="E2" s="493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0.69709543568464727</v>
      </c>
      <c r="C6" s="103" t="s">
        <v>172</v>
      </c>
      <c r="D6" s="104" t="s">
        <v>172</v>
      </c>
      <c r="E6" s="102">
        <f>E20/$B$33</f>
        <v>0.73858921161825719</v>
      </c>
      <c r="F6" s="103" t="s">
        <v>172</v>
      </c>
      <c r="G6" s="104" t="s">
        <v>172</v>
      </c>
      <c r="H6" s="102">
        <f>H20/$B$33</f>
        <v>0.79668049792531115</v>
      </c>
      <c r="I6" s="103" t="s">
        <v>172</v>
      </c>
      <c r="J6" s="104" t="s">
        <v>172</v>
      </c>
      <c r="K6" s="102">
        <f>K20/$B$33</f>
        <v>0.73858921161825719</v>
      </c>
      <c r="L6" s="103" t="s">
        <v>172</v>
      </c>
      <c r="M6" s="104" t="s">
        <v>172</v>
      </c>
      <c r="N6" s="102">
        <f>N20/$B$33</f>
        <v>0.39004149377593356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0.60127800829875522</v>
      </c>
      <c r="C7" s="107">
        <f t="shared" ref="C7:C12" si="0">B7-B$6</f>
        <v>-9.5817427385892051E-2</v>
      </c>
      <c r="D7" s="108">
        <f t="shared" ref="D7:D12" si="1">B7/B$6*100</f>
        <v>86.254761904761907</v>
      </c>
      <c r="E7" s="102">
        <f>E21*$B$36/100/$B$33</f>
        <v>0.66055694605809123</v>
      </c>
      <c r="F7" s="107">
        <f t="shared" ref="F7:F15" si="2">E7-E$6</f>
        <v>-7.8032265560165959E-2</v>
      </c>
      <c r="G7" s="108">
        <f t="shared" ref="G7:G15" si="3">E7/E$6*100</f>
        <v>89.434957303370794</v>
      </c>
      <c r="H7" s="102">
        <f>H21*$B$36/100/$B$33</f>
        <v>0.72846599170124482</v>
      </c>
      <c r="I7" s="107">
        <f t="shared" ref="I7:I15" si="4">H7-H$6</f>
        <v>-6.8214506224066329E-2</v>
      </c>
      <c r="J7" s="108">
        <f t="shared" ref="J7:J15" si="5">H7/H$6*100</f>
        <v>91.437658333333331</v>
      </c>
      <c r="K7" s="102">
        <f>K21*$B$36/100/$B$33</f>
        <v>0.66692341908713693</v>
      </c>
      <c r="L7" s="107">
        <f t="shared" ref="L7:L15" si="6">K7-K$6</f>
        <v>-7.1665792531120265E-2</v>
      </c>
      <c r="M7" s="108">
        <f t="shared" ref="M7:M15" si="7">K7/K$6*100</f>
        <v>90.296934831460689</v>
      </c>
      <c r="N7" s="102">
        <f>N21*$B$36/100/$B$33</f>
        <v>0.27856856431535265</v>
      </c>
      <c r="O7" s="107">
        <f t="shared" ref="O7:O15" si="8">N7-N$6</f>
        <v>-0.11147292946058091</v>
      </c>
      <c r="P7" s="108">
        <f t="shared" ref="P7:P15" si="9">N7/N$6*100</f>
        <v>71.420238297872345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0.59788255601659757</v>
      </c>
      <c r="C8" s="107">
        <f t="shared" si="0"/>
        <v>-9.9212879668049703E-2</v>
      </c>
      <c r="D8" s="108">
        <f t="shared" si="1"/>
        <v>85.767676190476209</v>
      </c>
      <c r="E8" s="102">
        <f>E22*$B$36/100/$B$33</f>
        <v>0.64400411618257269</v>
      </c>
      <c r="F8" s="107">
        <f t="shared" si="2"/>
        <v>-9.4585095435684496E-2</v>
      </c>
      <c r="G8" s="108">
        <f t="shared" si="3"/>
        <v>87.193815730337093</v>
      </c>
      <c r="H8" s="102">
        <f>H22*$B$36/100/$B$33</f>
        <v>0.73285178423236508</v>
      </c>
      <c r="I8" s="107">
        <f t="shared" si="4"/>
        <v>-6.3828713692946071E-2</v>
      </c>
      <c r="J8" s="108">
        <f t="shared" si="5"/>
        <v>91.988166666666658</v>
      </c>
      <c r="K8" s="102">
        <f>K22*$B$36/100/$B$33</f>
        <v>0.65419047302904565</v>
      </c>
      <c r="L8" s="107">
        <f t="shared" si="6"/>
        <v>-8.4398738589211542E-2</v>
      </c>
      <c r="M8" s="108">
        <f t="shared" si="7"/>
        <v>88.572979775280913</v>
      </c>
      <c r="N8" s="102">
        <f>N22*$B$36/100/$B$33</f>
        <v>0.33105659751037342</v>
      </c>
      <c r="O8" s="107">
        <f t="shared" si="8"/>
        <v>-5.8984896265560138E-2</v>
      </c>
      <c r="P8" s="108">
        <f t="shared" si="9"/>
        <v>84.877276595744689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0.6070785726141078</v>
      </c>
      <c r="C9" s="107">
        <f t="shared" si="0"/>
        <v>-9.0016863070539466E-2</v>
      </c>
      <c r="D9" s="108">
        <f t="shared" si="1"/>
        <v>87.086866666666666</v>
      </c>
      <c r="E9" s="102">
        <f>E23*$B$36/100/$B$33</f>
        <v>0.65121945228215772</v>
      </c>
      <c r="F9" s="107">
        <f t="shared" si="2"/>
        <v>-8.7369759336099473E-2</v>
      </c>
      <c r="G9" s="108">
        <f t="shared" si="3"/>
        <v>88.170723595505635</v>
      </c>
      <c r="H9" s="102">
        <f>H23*$B$36/100/$B$33</f>
        <v>0.72153360995850613</v>
      </c>
      <c r="I9" s="107">
        <f t="shared" si="4"/>
        <v>-7.514688796680502E-2</v>
      </c>
      <c r="J9" s="108">
        <f t="shared" si="5"/>
        <v>90.567499999999995</v>
      </c>
      <c r="K9" s="102">
        <f>K23*$B$36/100/$B$33</f>
        <v>0.64952172614107884</v>
      </c>
      <c r="L9" s="107">
        <f t="shared" si="6"/>
        <v>-8.9067485477178354E-2</v>
      </c>
      <c r="M9" s="108">
        <f t="shared" si="7"/>
        <v>87.940862921348312</v>
      </c>
      <c r="N9" s="102">
        <f>N23*$B$36/100/$B$33</f>
        <v>0.33600829875518673</v>
      </c>
      <c r="O9" s="107">
        <f t="shared" si="8"/>
        <v>-5.4033195020746827E-2</v>
      </c>
      <c r="P9" s="108">
        <f t="shared" si="9"/>
        <v>86.146808510638309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0.59420414937759336</v>
      </c>
      <c r="C10" s="107">
        <f t="shared" si="0"/>
        <v>-0.10289128630705391</v>
      </c>
      <c r="D10" s="108">
        <f t="shared" si="1"/>
        <v>85.240000000000009</v>
      </c>
      <c r="E10" s="102">
        <f>E24*$B$36/100/$B$33</f>
        <v>0.63678878008298745</v>
      </c>
      <c r="F10" s="107">
        <f t="shared" si="2"/>
        <v>-0.10180043153526974</v>
      </c>
      <c r="G10" s="108">
        <f t="shared" si="3"/>
        <v>86.216907865168537</v>
      </c>
      <c r="H10" s="102">
        <f>H24*$B$36/100/$B$33</f>
        <v>0.74261370954356842</v>
      </c>
      <c r="I10" s="107">
        <f t="shared" si="4"/>
        <v>-5.4066788381742725E-2</v>
      </c>
      <c r="J10" s="108">
        <f t="shared" si="5"/>
        <v>93.21349166666667</v>
      </c>
      <c r="K10" s="102">
        <f>K24*$B$36/100/$B$33</f>
        <v>0.67866602489626549</v>
      </c>
      <c r="L10" s="107">
        <f t="shared" si="6"/>
        <v>-5.9923186721991706E-2</v>
      </c>
      <c r="M10" s="108">
        <f t="shared" si="7"/>
        <v>91.886804494382019</v>
      </c>
      <c r="N10" s="102">
        <f>N24*$B$36/100/$B$33</f>
        <v>0.30771286307053941</v>
      </c>
      <c r="O10" s="107">
        <f t="shared" si="8"/>
        <v>-8.2328630705394146E-2</v>
      </c>
      <c r="P10" s="108">
        <f t="shared" si="9"/>
        <v>78.892340425531927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0.60011082157676343</v>
      </c>
      <c r="C11" s="236">
        <f t="shared" si="0"/>
        <v>-9.6984614107883838E-2</v>
      </c>
      <c r="D11" s="237">
        <f t="shared" si="1"/>
        <v>86.08732619047619</v>
      </c>
      <c r="E11" s="235">
        <f>AVERAGE(E7:E10)</f>
        <v>0.6481423236514523</v>
      </c>
      <c r="F11" s="236">
        <f t="shared" si="2"/>
        <v>-9.044688796680489E-2</v>
      </c>
      <c r="G11" s="237">
        <f t="shared" si="3"/>
        <v>87.754101123595518</v>
      </c>
      <c r="H11" s="235">
        <f>AVERAGE(H7:H10)</f>
        <v>0.73136627385892106</v>
      </c>
      <c r="I11" s="236">
        <f t="shared" si="4"/>
        <v>-6.5314224066390092E-2</v>
      </c>
      <c r="J11" s="237">
        <f t="shared" si="5"/>
        <v>91.801704166666667</v>
      </c>
      <c r="K11" s="235">
        <f>AVERAGE(K7:K10)</f>
        <v>0.66232541078838181</v>
      </c>
      <c r="L11" s="236">
        <f t="shared" si="6"/>
        <v>-7.6263800829875383E-2</v>
      </c>
      <c r="M11" s="237">
        <f t="shared" si="7"/>
        <v>89.674395505617994</v>
      </c>
      <c r="N11" s="235">
        <f>AVERAGE(N7:N10)</f>
        <v>0.31333658091286304</v>
      </c>
      <c r="O11" s="236">
        <f t="shared" si="8"/>
        <v>-7.6704912863070518E-2</v>
      </c>
      <c r="P11" s="237">
        <f t="shared" si="9"/>
        <v>80.334165957446814</v>
      </c>
      <c r="Q11" s="109"/>
    </row>
    <row r="12" spans="1:19" s="96" customFormat="1" ht="15.75" x14ac:dyDescent="0.25">
      <c r="A12" s="110" t="s">
        <v>24</v>
      </c>
      <c r="B12" s="102">
        <f>B25*$B$32/100/$B$33</f>
        <v>0.82821701244813273</v>
      </c>
      <c r="C12" s="107">
        <f t="shared" si="0"/>
        <v>0.13112157676348546</v>
      </c>
      <c r="D12" s="108">
        <f t="shared" si="1"/>
        <v>118.80970238095239</v>
      </c>
      <c r="E12" s="102">
        <f>E25*$B$32/100/$B$33</f>
        <v>0.89149651452282164</v>
      </c>
      <c r="F12" s="107">
        <f t="shared" si="2"/>
        <v>0.15290730290456445</v>
      </c>
      <c r="G12" s="108">
        <f t="shared" si="3"/>
        <v>120.70261797752811</v>
      </c>
      <c r="H12" s="102">
        <f>H25*$B$32/100/$B$33</f>
        <v>1.0158221244813277</v>
      </c>
      <c r="I12" s="107">
        <f t="shared" si="4"/>
        <v>0.21914162655601654</v>
      </c>
      <c r="J12" s="108">
        <f t="shared" si="5"/>
        <v>127.50683958333333</v>
      </c>
      <c r="K12" s="102">
        <f>K25*$B$32/100/$B$33</f>
        <v>0.80029958506224075</v>
      </c>
      <c r="L12" s="107">
        <f t="shared" si="6"/>
        <v>6.1710373443983557E-2</v>
      </c>
      <c r="M12" s="108">
        <f t="shared" si="7"/>
        <v>108.35516853932587</v>
      </c>
      <c r="N12" s="102">
        <f>N25*$B$32/100/$B$33</f>
        <v>0.37744361825726142</v>
      </c>
      <c r="O12" s="107">
        <f t="shared" si="8"/>
        <v>-1.2597875518672141E-2</v>
      </c>
      <c r="P12" s="108">
        <f t="shared" si="9"/>
        <v>96.770119148936189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1.1819671369294606</v>
      </c>
      <c r="F13" s="107">
        <f t="shared" si="2"/>
        <v>0.44337792531120346</v>
      </c>
      <c r="G13" s="108">
        <f t="shared" si="3"/>
        <v>160.03038202247194</v>
      </c>
      <c r="H13" s="102">
        <f>H26*$B$34/$B$33</f>
        <v>1.25417377593361</v>
      </c>
      <c r="I13" s="107">
        <f t="shared" si="4"/>
        <v>0.45749327800829886</v>
      </c>
      <c r="J13" s="108">
        <f t="shared" si="5"/>
        <v>157.42493750000003</v>
      </c>
      <c r="K13" s="102">
        <f>K26*$B$34/$B$33</f>
        <v>1.0708800000000001</v>
      </c>
      <c r="L13" s="107">
        <f t="shared" si="6"/>
        <v>0.33229078838174286</v>
      </c>
      <c r="M13" s="108">
        <f t="shared" si="7"/>
        <v>144.9899325842697</v>
      </c>
      <c r="N13" s="102">
        <f>N26*$B$34/$B$33</f>
        <v>0.49433775933609958</v>
      </c>
      <c r="O13" s="107">
        <f t="shared" si="8"/>
        <v>0.10429626556016602</v>
      </c>
      <c r="P13" s="108">
        <f t="shared" si="9"/>
        <v>126.73978723404258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1.0319995020746888</v>
      </c>
      <c r="F14" s="107">
        <f t="shared" si="2"/>
        <v>0.29341029045643163</v>
      </c>
      <c r="G14" s="108">
        <f t="shared" si="3"/>
        <v>139.72577528089889</v>
      </c>
      <c r="H14" s="102">
        <f>H27*$B$34/$B$33</f>
        <v>1.1264235684647301</v>
      </c>
      <c r="I14" s="107">
        <f t="shared" si="4"/>
        <v>0.32974307053941898</v>
      </c>
      <c r="J14" s="108">
        <f t="shared" si="5"/>
        <v>141.389625</v>
      </c>
      <c r="K14" s="102">
        <f>K27*$B$34/$B$33</f>
        <v>0.92535585062240644</v>
      </c>
      <c r="L14" s="107">
        <f t="shared" si="6"/>
        <v>0.18676663900414925</v>
      </c>
      <c r="M14" s="108">
        <f t="shared" si="7"/>
        <v>125.28694382022469</v>
      </c>
      <c r="N14" s="102">
        <f>N27*$B$34/$B$33</f>
        <v>0.48767253112033193</v>
      </c>
      <c r="O14" s="107">
        <f t="shared" si="8"/>
        <v>9.7631037344398375E-2</v>
      </c>
      <c r="P14" s="108">
        <f t="shared" si="9"/>
        <v>125.03093617021277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1.0116260580912864</v>
      </c>
      <c r="F15" s="119">
        <f t="shared" si="2"/>
        <v>0.27303684647302917</v>
      </c>
      <c r="G15" s="120">
        <f t="shared" si="3"/>
        <v>136.96734831460674</v>
      </c>
      <c r="H15" s="118">
        <f>H28*$B$35/10/$B$33</f>
        <v>1.0717226556016597</v>
      </c>
      <c r="I15" s="119">
        <f t="shared" si="4"/>
        <v>0.27504215767634854</v>
      </c>
      <c r="J15" s="120">
        <f t="shared" si="5"/>
        <v>134.52352083333335</v>
      </c>
      <c r="K15" s="118">
        <f>K28*$B$35/10/$B$33</f>
        <v>1.0241461825726139</v>
      </c>
      <c r="L15" s="119">
        <f t="shared" si="6"/>
        <v>0.28555697095435673</v>
      </c>
      <c r="M15" s="120">
        <f t="shared" si="7"/>
        <v>138.66248876404492</v>
      </c>
      <c r="N15" s="118">
        <f>N28*$B$35/10/$B$33</f>
        <v>0.4331963070539418</v>
      </c>
      <c r="O15" s="119">
        <f t="shared" si="8"/>
        <v>4.3154813278008242E-2</v>
      </c>
      <c r="P15" s="120">
        <f t="shared" si="9"/>
        <v>111.06415957446806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8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81" t="s">
        <v>214</v>
      </c>
      <c r="X19" s="381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42.5</v>
      </c>
      <c r="C21" s="144" t="s">
        <v>172</v>
      </c>
      <c r="D21" s="145" t="s">
        <v>172</v>
      </c>
      <c r="E21" s="143">
        <v>46.69</v>
      </c>
      <c r="F21" s="144" t="s">
        <v>172</v>
      </c>
      <c r="G21" s="145" t="s">
        <v>172</v>
      </c>
      <c r="H21" s="143">
        <v>51.49</v>
      </c>
      <c r="I21" s="144" t="s">
        <v>172</v>
      </c>
      <c r="J21" s="145" t="s">
        <v>172</v>
      </c>
      <c r="K21" s="143">
        <v>47.14</v>
      </c>
      <c r="L21" s="144" t="s">
        <v>172</v>
      </c>
      <c r="M21" s="145" t="s">
        <v>172</v>
      </c>
      <c r="N21" s="143">
        <v>19.690000000000001</v>
      </c>
      <c r="O21" s="144" t="s">
        <v>172</v>
      </c>
      <c r="P21" s="145" t="s">
        <v>172</v>
      </c>
      <c r="Q21" s="147" t="s">
        <v>219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42.91</v>
      </c>
      <c r="C23" s="144" t="s">
        <v>172</v>
      </c>
      <c r="D23" s="145" t="s">
        <v>172</v>
      </c>
      <c r="E23" s="143">
        <v>46.03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45.91</v>
      </c>
      <c r="L23" s="144" t="s">
        <v>172</v>
      </c>
      <c r="M23" s="145" t="s">
        <v>172</v>
      </c>
      <c r="N23" s="143">
        <v>23.75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47.97</v>
      </c>
      <c r="L24" s="144" t="s">
        <v>172</v>
      </c>
      <c r="M24" s="145" t="s">
        <v>172</v>
      </c>
      <c r="N24" s="143">
        <v>21.75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23.95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10.14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1.0640000000000001</v>
      </c>
      <c r="F26" s="144" t="s">
        <v>172</v>
      </c>
      <c r="G26" s="145" t="s">
        <v>172</v>
      </c>
      <c r="H26" s="153">
        <v>1.129</v>
      </c>
      <c r="I26" s="144" t="s">
        <v>172</v>
      </c>
      <c r="J26" s="145" t="s">
        <v>172</v>
      </c>
      <c r="K26" s="153">
        <v>0.96399999999999997</v>
      </c>
      <c r="L26" s="144" t="s">
        <v>172</v>
      </c>
      <c r="M26" s="145" t="s">
        <v>172</v>
      </c>
      <c r="N26" s="153">
        <v>0.44500000000000001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0.92900000000000005</v>
      </c>
      <c r="F27" s="144" t="s">
        <v>172</v>
      </c>
      <c r="G27" s="145" t="s">
        <v>172</v>
      </c>
      <c r="H27" s="153">
        <v>1.014</v>
      </c>
      <c r="I27" s="144" t="s">
        <v>172</v>
      </c>
      <c r="J27" s="145" t="s">
        <v>172</v>
      </c>
      <c r="K27" s="153">
        <v>0.83299999999999996</v>
      </c>
      <c r="L27" s="144" t="s">
        <v>172</v>
      </c>
      <c r="M27" s="145" t="s">
        <v>172</v>
      </c>
      <c r="N27" s="153">
        <v>0.439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4.04</v>
      </c>
      <c r="F28" s="158" t="s">
        <v>172</v>
      </c>
      <c r="G28" s="159" t="s">
        <v>172</v>
      </c>
      <c r="H28" s="234">
        <v>4.28</v>
      </c>
      <c r="I28" s="158" t="s">
        <v>172</v>
      </c>
      <c r="J28" s="159" t="s">
        <v>172</v>
      </c>
      <c r="K28" s="234">
        <v>4.09</v>
      </c>
      <c r="L28" s="158" t="s">
        <v>172</v>
      </c>
      <c r="M28" s="159" t="s">
        <v>172</v>
      </c>
      <c r="N28" s="234">
        <v>1.73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8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8.9708000000000006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2.6772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6.0347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3.4096000000000002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zoomScale="85" zoomScaleNormal="85" workbookViewId="0">
      <selection activeCell="F42" sqref="F4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43990</v>
      </c>
      <c r="E2" s="493"/>
      <c r="F2" s="383"/>
      <c r="G2" s="383"/>
      <c r="H2" s="383"/>
      <c r="I2" s="383"/>
      <c r="J2" s="383"/>
      <c r="K2" s="383"/>
      <c r="L2" s="383"/>
      <c r="M2" s="383"/>
      <c r="N2" s="383"/>
      <c r="O2" s="383"/>
      <c r="P2" s="383"/>
      <c r="Q2" s="383"/>
      <c r="R2" s="383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0.70558588828223434</v>
      </c>
      <c r="C6" s="103" t="s">
        <v>172</v>
      </c>
      <c r="D6" s="104" t="s">
        <v>172</v>
      </c>
      <c r="E6" s="102">
        <f>E20/$B$33</f>
        <v>0.74758504829903405</v>
      </c>
      <c r="F6" s="103" t="s">
        <v>172</v>
      </c>
      <c r="G6" s="104" t="s">
        <v>172</v>
      </c>
      <c r="H6" s="102">
        <f>H20/$B$33</f>
        <v>0.8063838723225536</v>
      </c>
      <c r="I6" s="103" t="s">
        <v>172</v>
      </c>
      <c r="J6" s="104" t="s">
        <v>172</v>
      </c>
      <c r="K6" s="102">
        <f>K20/$B$33</f>
        <v>0.74758504829903405</v>
      </c>
      <c r="L6" s="103" t="s">
        <v>172</v>
      </c>
      <c r="M6" s="104" t="s">
        <v>172</v>
      </c>
      <c r="N6" s="102">
        <f>N20/$B$33</f>
        <v>0.39479210415791688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0.6185647837043261</v>
      </c>
      <c r="C7" s="107">
        <f t="shared" ref="C7:C12" si="0">B7-B$6</f>
        <v>-8.7021104577908237E-2</v>
      </c>
      <c r="D7" s="108">
        <f t="shared" ref="D7:D12" si="1">B7/B$6*100</f>
        <v>87.666830357142885</v>
      </c>
      <c r="E7" s="102">
        <f>E21*$B$36/100/$B$33</f>
        <v>0.67947410751784987</v>
      </c>
      <c r="F7" s="107">
        <f t="shared" ref="F7:F15" si="2">E7-E$6</f>
        <v>-6.8110940781184182E-2</v>
      </c>
      <c r="G7" s="108">
        <f t="shared" ref="G7:G15" si="3">E7/E$6*100</f>
        <v>90.889205056179804</v>
      </c>
      <c r="H7" s="102">
        <f>H21*$B$36/100/$B$33</f>
        <v>0.73936341873162537</v>
      </c>
      <c r="I7" s="107">
        <f t="shared" ref="I7:I15" si="4">H7-H$6</f>
        <v>-6.7020453590928231E-2</v>
      </c>
      <c r="J7" s="108">
        <f t="shared" ref="J7:J15" si="5">H7/H$6*100</f>
        <v>91.688765624999988</v>
      </c>
      <c r="K7" s="102">
        <f>K21*$B$36/100/$B$33</f>
        <v>0.68559418311633769</v>
      </c>
      <c r="L7" s="107">
        <f t="shared" ref="L7:L15" si="6">K7-K$6</f>
        <v>-6.1990865182696364E-2</v>
      </c>
      <c r="M7" s="108">
        <f t="shared" ref="M7:M15" si="7">K7/K$6*100</f>
        <v>91.707851123595503</v>
      </c>
      <c r="N7" s="102">
        <f>N21*$B$36/100/$B$33</f>
        <v>0.32917263754724913</v>
      </c>
      <c r="O7" s="107">
        <f t="shared" ref="O7:O15" si="8">N7-N$6</f>
        <v>-6.5619466610667754E-2</v>
      </c>
      <c r="P7" s="108">
        <f t="shared" ref="P7:P15" si="9">N7/N$6*100</f>
        <v>83.378728723404265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0.61579617807643849</v>
      </c>
      <c r="C8" s="107">
        <f t="shared" si="0"/>
        <v>-8.9789710205795847E-2</v>
      </c>
      <c r="D8" s="108">
        <f t="shared" si="1"/>
        <v>87.274446428571423</v>
      </c>
      <c r="E8" s="102">
        <f>E22*$B$36/100/$B$33</f>
        <v>0.66329962200755999</v>
      </c>
      <c r="F8" s="107">
        <f t="shared" si="2"/>
        <v>-8.4285426291474064E-2</v>
      </c>
      <c r="G8" s="108">
        <f t="shared" si="3"/>
        <v>88.725640449438217</v>
      </c>
      <c r="H8" s="102">
        <f>H22*$B$36/100/$B$33</f>
        <v>0.75480932381352384</v>
      </c>
      <c r="I8" s="107">
        <f t="shared" si="4"/>
        <v>-5.1574548509029761E-2</v>
      </c>
      <c r="J8" s="108">
        <f t="shared" si="5"/>
        <v>93.604218750000015</v>
      </c>
      <c r="K8" s="102">
        <f>K22*$B$36/100/$B$33</f>
        <v>0.67379118017639661</v>
      </c>
      <c r="L8" s="107">
        <f t="shared" si="6"/>
        <v>-7.379386812263744E-2</v>
      </c>
      <c r="M8" s="108">
        <f t="shared" si="7"/>
        <v>90.129033707865176</v>
      </c>
      <c r="N8" s="102">
        <f>N22*$B$36/100/$B$33</f>
        <v>0.33514699706005885</v>
      </c>
      <c r="O8" s="107">
        <f t="shared" si="8"/>
        <v>-5.964510709785803E-2</v>
      </c>
      <c r="P8" s="108">
        <f t="shared" si="9"/>
        <v>84.892021276595756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0.62541343973120544</v>
      </c>
      <c r="C9" s="107">
        <f t="shared" si="0"/>
        <v>-8.0172448551028896E-2</v>
      </c>
      <c r="D9" s="108">
        <f t="shared" si="1"/>
        <v>88.637464285714302</v>
      </c>
      <c r="E9" s="102">
        <f>E23*$B$36/100/$B$33</f>
        <v>0.67087685846283085</v>
      </c>
      <c r="F9" s="107">
        <f t="shared" si="2"/>
        <v>-7.67081898362032E-2</v>
      </c>
      <c r="G9" s="108">
        <f t="shared" si="3"/>
        <v>89.739202247191017</v>
      </c>
      <c r="H9" s="102">
        <f>H23*$B$36/100/$B$33</f>
        <v>0.74315203695926091</v>
      </c>
      <c r="I9" s="107">
        <f t="shared" si="4"/>
        <v>-6.3231835363292688E-2</v>
      </c>
      <c r="J9" s="108">
        <f t="shared" si="5"/>
        <v>92.158593750000009</v>
      </c>
      <c r="K9" s="102">
        <f>K23*$B$36/100/$B$33</f>
        <v>0.66956541369172629</v>
      </c>
      <c r="L9" s="107">
        <f t="shared" si="6"/>
        <v>-7.8019634607307764E-2</v>
      </c>
      <c r="M9" s="108">
        <f t="shared" si="7"/>
        <v>89.563778089887663</v>
      </c>
      <c r="N9" s="102">
        <f>N23*$B$36/100/$B$33</f>
        <v>0.33077551448971027</v>
      </c>
      <c r="O9" s="107">
        <f t="shared" si="8"/>
        <v>-6.4016589668206614E-2</v>
      </c>
      <c r="P9" s="108">
        <f t="shared" si="9"/>
        <v>83.784734042553197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0.61200755984880306</v>
      </c>
      <c r="C10" s="107">
        <f t="shared" si="0"/>
        <v>-9.3578328433431279E-2</v>
      </c>
      <c r="D10" s="108">
        <f t="shared" si="1"/>
        <v>86.737500000000011</v>
      </c>
      <c r="E10" s="102">
        <f>E24*$B$36/100/$B$33</f>
        <v>0.65586810163796727</v>
      </c>
      <c r="F10" s="107">
        <f t="shared" si="2"/>
        <v>-9.1716946661066778E-2</v>
      </c>
      <c r="G10" s="108">
        <f t="shared" si="3"/>
        <v>87.731570224719107</v>
      </c>
      <c r="H10" s="102">
        <f>H24*$B$36/100/$B$33</f>
        <v>0.75626648467030655</v>
      </c>
      <c r="I10" s="107">
        <f t="shared" si="4"/>
        <v>-5.0117387652247047E-2</v>
      </c>
      <c r="J10" s="108">
        <f t="shared" si="5"/>
        <v>93.784921874999995</v>
      </c>
      <c r="K10" s="102">
        <f>K24*$B$36/100/$B$33</f>
        <v>0.69812576648467028</v>
      </c>
      <c r="L10" s="107">
        <f t="shared" si="6"/>
        <v>-4.9459281814363765E-2</v>
      </c>
      <c r="M10" s="108">
        <f t="shared" si="7"/>
        <v>93.384126404494367</v>
      </c>
      <c r="N10" s="102">
        <f>N24*$B$36/100/$B$33</f>
        <v>0.30236087778244441</v>
      </c>
      <c r="O10" s="107">
        <f t="shared" si="8"/>
        <v>-9.2431226375472464E-2</v>
      </c>
      <c r="P10" s="108">
        <f t="shared" si="9"/>
        <v>76.587367021276606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0.6179454903401933</v>
      </c>
      <c r="C11" s="236">
        <f t="shared" si="0"/>
        <v>-8.7640397942041037E-2</v>
      </c>
      <c r="D11" s="237">
        <f t="shared" si="1"/>
        <v>87.579060267857159</v>
      </c>
      <c r="E11" s="235">
        <f>AVERAGE(E7:E10)</f>
        <v>0.66737967240655194</v>
      </c>
      <c r="F11" s="236">
        <f t="shared" si="2"/>
        <v>-8.0205375892482111E-2</v>
      </c>
      <c r="G11" s="237">
        <f t="shared" si="3"/>
        <v>89.271404494382026</v>
      </c>
      <c r="H11" s="235">
        <f>AVERAGE(H7:H10)</f>
        <v>0.74839781604367916</v>
      </c>
      <c r="I11" s="236">
        <f t="shared" si="4"/>
        <v>-5.7986056278874432E-2</v>
      </c>
      <c r="J11" s="237">
        <f t="shared" si="5"/>
        <v>92.809125000000009</v>
      </c>
      <c r="K11" s="235">
        <f>AVERAGE(K7:K10)</f>
        <v>0.68176913586728261</v>
      </c>
      <c r="L11" s="236">
        <f t="shared" si="6"/>
        <v>-6.5815912431751444E-2</v>
      </c>
      <c r="M11" s="237">
        <f t="shared" si="7"/>
        <v>91.196197331460667</v>
      </c>
      <c r="N11" s="235">
        <f>AVERAGE(N7:N10)</f>
        <v>0.32436400671986565</v>
      </c>
      <c r="O11" s="236">
        <f t="shared" si="8"/>
        <v>-7.0428097438051229E-2</v>
      </c>
      <c r="P11" s="237">
        <f t="shared" si="9"/>
        <v>82.160712765957456</v>
      </c>
      <c r="Q11" s="109"/>
    </row>
    <row r="12" spans="1:19" s="96" customFormat="1" ht="15.75" x14ac:dyDescent="0.25">
      <c r="A12" s="110" t="s">
        <v>24</v>
      </c>
      <c r="B12" s="102">
        <f>B25*$B$32/100/$B$33</f>
        <v>0.83654766904661915</v>
      </c>
      <c r="C12" s="107">
        <f t="shared" si="0"/>
        <v>0.13096178076438481</v>
      </c>
      <c r="D12" s="108">
        <f t="shared" si="1"/>
        <v>118.56071428571431</v>
      </c>
      <c r="E12" s="102">
        <f>E25*$B$32/100/$B$33</f>
        <v>0.90986308273834526</v>
      </c>
      <c r="F12" s="107">
        <f t="shared" si="2"/>
        <v>0.16227803443931121</v>
      </c>
      <c r="G12" s="108">
        <f t="shared" si="3"/>
        <v>121.70696629213482</v>
      </c>
      <c r="H12" s="102">
        <f>H25*$B$32/100/$B$33</f>
        <v>1.0260398152036958</v>
      </c>
      <c r="I12" s="107">
        <f t="shared" si="4"/>
        <v>0.21965594288114221</v>
      </c>
      <c r="J12" s="108">
        <f t="shared" si="5"/>
        <v>127.23962499999996</v>
      </c>
      <c r="K12" s="102">
        <f>K25*$B$32/100/$B$33</f>
        <v>0.80834943301133988</v>
      </c>
      <c r="L12" s="107">
        <f t="shared" si="6"/>
        <v>6.076438471230583E-2</v>
      </c>
      <c r="M12" s="108">
        <f t="shared" si="7"/>
        <v>108.12808988764047</v>
      </c>
      <c r="N12" s="102">
        <f>N25*$B$32/100/$B$33</f>
        <v>0.38499991600168004</v>
      </c>
      <c r="O12" s="107">
        <f t="shared" si="8"/>
        <v>-9.7921881562368362E-3</v>
      </c>
      <c r="P12" s="108">
        <f t="shared" si="9"/>
        <v>97.519659574468093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1.2305061738765226</v>
      </c>
      <c r="F13" s="107">
        <f t="shared" si="2"/>
        <v>0.48292112557748856</v>
      </c>
      <c r="G13" s="108">
        <f t="shared" si="3"/>
        <v>164.59748314606745</v>
      </c>
      <c r="H13" s="102">
        <f>H26*$B$34/$B$33</f>
        <v>1.3042911381772366</v>
      </c>
      <c r="I13" s="107">
        <f t="shared" si="4"/>
        <v>0.49790726585468303</v>
      </c>
      <c r="J13" s="108">
        <f t="shared" si="5"/>
        <v>161.7456875</v>
      </c>
      <c r="K13" s="102">
        <f>K26*$B$34/$B$33</f>
        <v>1.1056393112137757</v>
      </c>
      <c r="L13" s="107">
        <f t="shared" si="6"/>
        <v>0.35805426291474163</v>
      </c>
      <c r="M13" s="108">
        <f t="shared" si="7"/>
        <v>147.89478651685391</v>
      </c>
      <c r="N13" s="102">
        <f>N26*$B$34/$B$33</f>
        <v>0.50514321713565724</v>
      </c>
      <c r="O13" s="107">
        <f t="shared" si="8"/>
        <v>0.11035111297774036</v>
      </c>
      <c r="P13" s="108">
        <f t="shared" si="9"/>
        <v>127.95170212765956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1.0795307853842924</v>
      </c>
      <c r="F14" s="107">
        <f t="shared" si="2"/>
        <v>0.33194573708525832</v>
      </c>
      <c r="G14" s="108">
        <f t="shared" si="3"/>
        <v>144.40240449438201</v>
      </c>
      <c r="H14" s="102">
        <f>H27*$B$34/$B$33</f>
        <v>1.1782891222175558</v>
      </c>
      <c r="I14" s="107">
        <f t="shared" si="4"/>
        <v>0.37190524989500218</v>
      </c>
      <c r="J14" s="108">
        <f t="shared" si="5"/>
        <v>146.120125</v>
      </c>
      <c r="K14" s="102">
        <f>K27*$B$34/$B$33</f>
        <v>0.98644821503569935</v>
      </c>
      <c r="L14" s="107">
        <f t="shared" si="6"/>
        <v>0.2388631667366653</v>
      </c>
      <c r="M14" s="108">
        <f t="shared" si="7"/>
        <v>131.95130337078652</v>
      </c>
      <c r="N14" s="102">
        <f>N27*$B$34/$B$33</f>
        <v>0.54373842923141535</v>
      </c>
      <c r="O14" s="107">
        <f t="shared" si="8"/>
        <v>0.14894632507349848</v>
      </c>
      <c r="P14" s="108">
        <f t="shared" si="9"/>
        <v>137.72778723404252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1.0392433431331374</v>
      </c>
      <c r="F15" s="119">
        <f t="shared" si="2"/>
        <v>0.29165829483410333</v>
      </c>
      <c r="G15" s="120">
        <f t="shared" si="3"/>
        <v>139.01339325842696</v>
      </c>
      <c r="H15" s="118">
        <f>H28*$B$35/10/$B$33</f>
        <v>1.0927338093238135</v>
      </c>
      <c r="I15" s="119">
        <f t="shared" si="4"/>
        <v>0.28634993700125988</v>
      </c>
      <c r="J15" s="120">
        <f t="shared" si="5"/>
        <v>135.51037499999998</v>
      </c>
      <c r="K15" s="118">
        <f>K28*$B$35/10/$B$33</f>
        <v>1.0468848383032341</v>
      </c>
      <c r="L15" s="119">
        <f t="shared" si="6"/>
        <v>0.29929979000420004</v>
      </c>
      <c r="M15" s="120">
        <f t="shared" si="7"/>
        <v>140.03555056179778</v>
      </c>
      <c r="N15" s="118">
        <f>N28*$B$35/10/$B$33</f>
        <v>0.45848971020579599</v>
      </c>
      <c r="O15" s="119">
        <f t="shared" si="8"/>
        <v>6.3697606047879107E-2</v>
      </c>
      <c r="P15" s="120">
        <f t="shared" si="9"/>
        <v>116.13446808510639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8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85" t="s">
        <v>214</v>
      </c>
      <c r="X19" s="385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42.45</v>
      </c>
      <c r="C21" s="144" t="s">
        <v>172</v>
      </c>
      <c r="D21" s="145" t="s">
        <v>172</v>
      </c>
      <c r="E21" s="143">
        <v>46.63</v>
      </c>
      <c r="F21" s="144" t="s">
        <v>172</v>
      </c>
      <c r="G21" s="145" t="s">
        <v>172</v>
      </c>
      <c r="H21" s="143">
        <v>50.74</v>
      </c>
      <c r="I21" s="144" t="s">
        <v>172</v>
      </c>
      <c r="J21" s="145" t="s">
        <v>172</v>
      </c>
      <c r="K21" s="143">
        <v>47.05</v>
      </c>
      <c r="L21" s="144" t="s">
        <v>172</v>
      </c>
      <c r="M21" s="145" t="s">
        <v>172</v>
      </c>
      <c r="N21" s="143">
        <v>22.59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42.26</v>
      </c>
      <c r="C22" s="144" t="s">
        <v>172</v>
      </c>
      <c r="D22" s="145" t="s">
        <v>172</v>
      </c>
      <c r="E22" s="143">
        <v>45.52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42.92</v>
      </c>
      <c r="C23" s="144" t="s">
        <v>172</v>
      </c>
      <c r="D23" s="145" t="s">
        <v>172</v>
      </c>
      <c r="E23" s="143">
        <v>46.04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45.95</v>
      </c>
      <c r="L23" s="144" t="s">
        <v>172</v>
      </c>
      <c r="M23" s="145" t="s">
        <v>172</v>
      </c>
      <c r="N23" s="143">
        <v>22.7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</v>
      </c>
      <c r="C24" s="144" t="s">
        <v>172</v>
      </c>
      <c r="D24" s="145" t="s">
        <v>172</v>
      </c>
      <c r="E24" s="143">
        <v>45.01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20.75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10.24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1.0840000000000001</v>
      </c>
      <c r="F26" s="144" t="s">
        <v>172</v>
      </c>
      <c r="G26" s="145" t="s">
        <v>172</v>
      </c>
      <c r="H26" s="153">
        <v>1.149</v>
      </c>
      <c r="I26" s="144" t="s">
        <v>172</v>
      </c>
      <c r="J26" s="145" t="s">
        <v>172</v>
      </c>
      <c r="K26" s="153">
        <v>0.97399999999999998</v>
      </c>
      <c r="L26" s="144" t="s">
        <v>172</v>
      </c>
      <c r="M26" s="145" t="s">
        <v>172</v>
      </c>
      <c r="N26" s="153">
        <v>0.44500000000000001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0.95099999999999996</v>
      </c>
      <c r="F27" s="144" t="s">
        <v>172</v>
      </c>
      <c r="G27" s="145" t="s">
        <v>172</v>
      </c>
      <c r="H27" s="153">
        <v>1.038</v>
      </c>
      <c r="I27" s="144" t="s">
        <v>172</v>
      </c>
      <c r="J27" s="145" t="s">
        <v>172</v>
      </c>
      <c r="K27" s="153">
        <v>0.86899999999999999</v>
      </c>
      <c r="L27" s="144" t="s">
        <v>172</v>
      </c>
      <c r="M27" s="145" t="s">
        <v>172</v>
      </c>
      <c r="N27" s="153">
        <v>0.47899999999999998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4.08</v>
      </c>
      <c r="F28" s="158" t="s">
        <v>172</v>
      </c>
      <c r="G28" s="159" t="s">
        <v>172</v>
      </c>
      <c r="H28" s="234">
        <v>4.29</v>
      </c>
      <c r="I28" s="158" t="s">
        <v>172</v>
      </c>
      <c r="J28" s="159" t="s">
        <v>172</v>
      </c>
      <c r="K28" s="234">
        <v>4.1100000000000003</v>
      </c>
      <c r="L28" s="158" t="s">
        <v>172</v>
      </c>
      <c r="M28" s="159" t="s">
        <v>172</v>
      </c>
      <c r="N28" s="234">
        <v>1.8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8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8.952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2.3809999999999998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2.7027999999999999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6.0648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3.4695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K6" sqref="K6:K1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43997</v>
      </c>
      <c r="E2" s="493"/>
      <c r="F2" s="388"/>
      <c r="G2" s="388"/>
      <c r="H2" s="388"/>
      <c r="I2" s="388"/>
      <c r="J2" s="388"/>
      <c r="K2" s="388"/>
      <c r="L2" s="388"/>
      <c r="M2" s="388"/>
      <c r="N2" s="388"/>
      <c r="O2" s="388"/>
      <c r="P2" s="388"/>
      <c r="Q2" s="388"/>
      <c r="R2" s="388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0.70644632269458818</v>
      </c>
      <c r="C6" s="103" t="s">
        <v>172</v>
      </c>
      <c r="D6" s="104" t="s">
        <v>172</v>
      </c>
      <c r="E6" s="102">
        <f>E20/$B$33</f>
        <v>0.74849669904545646</v>
      </c>
      <c r="F6" s="103" t="s">
        <v>172</v>
      </c>
      <c r="G6" s="104" t="s">
        <v>172</v>
      </c>
      <c r="H6" s="102">
        <f>H20/$B$33</f>
        <v>0.80736722593667209</v>
      </c>
      <c r="I6" s="103" t="s">
        <v>172</v>
      </c>
      <c r="J6" s="104" t="s">
        <v>172</v>
      </c>
      <c r="K6" s="102">
        <f>K20/$B$33</f>
        <v>0.74849669904545646</v>
      </c>
      <c r="L6" s="103" t="s">
        <v>172</v>
      </c>
      <c r="M6" s="104" t="s">
        <v>172</v>
      </c>
      <c r="N6" s="102">
        <f>N20/$B$33</f>
        <v>0.39527353769816237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0.60867896640174934</v>
      </c>
      <c r="C7" s="107">
        <f t="shared" ref="C7:C12" si="0">B7-B$6</f>
        <v>-9.7767356292838836E-2</v>
      </c>
      <c r="D7" s="108">
        <f t="shared" ref="D7:D12" si="1">B7/B$6*100</f>
        <v>86.160681547619049</v>
      </c>
      <c r="E7" s="102">
        <f>E21*$B$36/100/$B$33</f>
        <v>0.67108183003237887</v>
      </c>
      <c r="F7" s="107">
        <f t="shared" ref="F7:F15" si="2">E7-E$6</f>
        <v>-7.7414869013077592E-2</v>
      </c>
      <c r="G7" s="108">
        <f t="shared" ref="G7:G15" si="3">E7/E$6*100</f>
        <v>89.657286516853944</v>
      </c>
      <c r="H7" s="102">
        <f>H21*$B$36/100/$B$33</f>
        <v>0.74940818300323797</v>
      </c>
      <c r="I7" s="107">
        <f t="shared" ref="I7:I15" si="4">H7-H$6</f>
        <v>-5.7959042933434124E-2</v>
      </c>
      <c r="J7" s="108">
        <f t="shared" ref="J7:J15" si="5">H7/H$6*100</f>
        <v>92.821229166666683</v>
      </c>
      <c r="K7" s="102">
        <f>K21*$B$36/100/$B$33</f>
        <v>0.67524202094108743</v>
      </c>
      <c r="L7" s="107">
        <f t="shared" ref="L7:L15" si="6">K7-K$6</f>
        <v>-7.3254678104369031E-2</v>
      </c>
      <c r="M7" s="108">
        <f t="shared" ref="M7:M15" si="7">K7/K$6*100</f>
        <v>90.213092696629218</v>
      </c>
      <c r="N7" s="102">
        <f>N21*$B$36/100/$B$33</f>
        <v>0.33797964761784616</v>
      </c>
      <c r="O7" s="107">
        <f t="shared" ref="O7:O15" si="8">N7-N$6</f>
        <v>-5.7293890080316212E-2</v>
      </c>
      <c r="P7" s="108">
        <f t="shared" ref="P7:P15" si="9">N7/N$6*100</f>
        <v>85.50525531914893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0.60580986922332958</v>
      </c>
      <c r="C8" s="107">
        <f t="shared" si="0"/>
        <v>-0.1006364534712586</v>
      </c>
      <c r="D8" s="108">
        <f t="shared" si="1"/>
        <v>85.754550595238086</v>
      </c>
      <c r="E8" s="102">
        <f>E22*$B$36/100/$B$33</f>
        <v>0.65616252470459613</v>
      </c>
      <c r="F8" s="107">
        <f t="shared" si="2"/>
        <v>-9.2334174340860331E-2</v>
      </c>
      <c r="G8" s="108">
        <f t="shared" si="3"/>
        <v>87.664050561797751</v>
      </c>
      <c r="H8" s="102">
        <f>H22*$B$36/100/$B$33</f>
        <v>0.737357974853875</v>
      </c>
      <c r="I8" s="107">
        <f t="shared" si="4"/>
        <v>-7.0009251082797097E-2</v>
      </c>
      <c r="J8" s="108">
        <f t="shared" si="5"/>
        <v>91.328697916666684</v>
      </c>
      <c r="K8" s="102">
        <f>K22*$B$36/100/$B$33</f>
        <v>0.66290490307388261</v>
      </c>
      <c r="L8" s="107">
        <f t="shared" si="6"/>
        <v>-8.5591795971573847E-2</v>
      </c>
      <c r="M8" s="108">
        <f t="shared" si="7"/>
        <v>88.564839887640474</v>
      </c>
      <c r="N8" s="102">
        <f>N22*$B$36/100/$B$33</f>
        <v>0.32994617551827093</v>
      </c>
      <c r="O8" s="107">
        <f t="shared" si="8"/>
        <v>-6.5327362179891435E-2</v>
      </c>
      <c r="P8" s="108">
        <f t="shared" si="9"/>
        <v>83.472872340425553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0.61499098019427267</v>
      </c>
      <c r="C9" s="107">
        <f t="shared" si="0"/>
        <v>-9.1455342500315506E-2</v>
      </c>
      <c r="D9" s="108">
        <f t="shared" si="1"/>
        <v>87.054169642857133</v>
      </c>
      <c r="E9" s="102">
        <f>E23*$B$36/100/$B$33</f>
        <v>0.66132689962575164</v>
      </c>
      <c r="F9" s="107">
        <f t="shared" si="2"/>
        <v>-8.7169799419704819E-2</v>
      </c>
      <c r="G9" s="108">
        <f t="shared" si="3"/>
        <v>88.354016853932578</v>
      </c>
      <c r="H9" s="102">
        <f>H23*$B$36/100/$B$33</f>
        <v>0.73161978049703547</v>
      </c>
      <c r="I9" s="107">
        <f t="shared" si="4"/>
        <v>-7.5747445439636629E-2</v>
      </c>
      <c r="J9" s="108">
        <f t="shared" si="5"/>
        <v>90.617968750000017</v>
      </c>
      <c r="K9" s="102">
        <f>K23*$B$36/100/$B$33</f>
        <v>0.65917507674193687</v>
      </c>
      <c r="L9" s="107">
        <f t="shared" si="6"/>
        <v>-8.9321622303519588E-2</v>
      </c>
      <c r="M9" s="108">
        <f t="shared" si="7"/>
        <v>88.066530898876408</v>
      </c>
      <c r="N9" s="102">
        <f>N23*$B$36/100/$B$33</f>
        <v>0.33568436987511041</v>
      </c>
      <c r="O9" s="107">
        <f t="shared" si="8"/>
        <v>-5.9589167823051958E-2</v>
      </c>
      <c r="P9" s="108">
        <f t="shared" si="9"/>
        <v>84.924574468085126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0.60451877549304078</v>
      </c>
      <c r="C10" s="107">
        <f t="shared" si="0"/>
        <v>-0.1019275472015474</v>
      </c>
      <c r="D10" s="108">
        <f t="shared" si="1"/>
        <v>85.57179166666667</v>
      </c>
      <c r="E10" s="102">
        <f>E24*$B$36/100/$B$33</f>
        <v>0.64769868802825792</v>
      </c>
      <c r="F10" s="107">
        <f t="shared" si="2"/>
        <v>-0.10079801101719854</v>
      </c>
      <c r="G10" s="108">
        <f t="shared" si="3"/>
        <v>86.533272471910124</v>
      </c>
      <c r="H10" s="102">
        <f>H24*$B$36/100/$B$33</f>
        <v>0.7445307177999243</v>
      </c>
      <c r="I10" s="107">
        <f t="shared" si="4"/>
        <v>-6.2836508136747793E-2</v>
      </c>
      <c r="J10" s="108">
        <f t="shared" si="5"/>
        <v>92.217109375000007</v>
      </c>
      <c r="K10" s="102">
        <f>K24*$B$36/100/$B$33</f>
        <v>0.68729222909045029</v>
      </c>
      <c r="L10" s="107">
        <f t="shared" si="6"/>
        <v>-6.1204469955006169E-2</v>
      </c>
      <c r="M10" s="108">
        <f t="shared" si="7"/>
        <v>91.823014044943804</v>
      </c>
      <c r="N10" s="102">
        <f>N24*$B$36/100/$B$33</f>
        <v>0.29766883226104879</v>
      </c>
      <c r="O10" s="107">
        <f t="shared" si="8"/>
        <v>-9.7604705437113581E-2</v>
      </c>
      <c r="P10" s="108">
        <f t="shared" si="9"/>
        <v>75.307047872340448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0.60849964782809818</v>
      </c>
      <c r="C11" s="236">
        <f t="shared" si="0"/>
        <v>-9.7946674866490002E-2</v>
      </c>
      <c r="D11" s="237">
        <f t="shared" si="1"/>
        <v>86.135298363095245</v>
      </c>
      <c r="E11" s="235">
        <f>AVERAGE(E7:E10)</f>
        <v>0.65906748559774619</v>
      </c>
      <c r="F11" s="236">
        <f t="shared" si="2"/>
        <v>-8.9429213447710265E-2</v>
      </c>
      <c r="G11" s="237">
        <f t="shared" si="3"/>
        <v>88.052156601123613</v>
      </c>
      <c r="H11" s="235">
        <f>AVERAGE(H7:H10)</f>
        <v>0.7407291640385183</v>
      </c>
      <c r="I11" s="236">
        <f t="shared" si="4"/>
        <v>-6.66380618981538E-2</v>
      </c>
      <c r="J11" s="237">
        <f t="shared" si="5"/>
        <v>91.746251302083365</v>
      </c>
      <c r="K11" s="235">
        <f>AVERAGE(K7:K10)</f>
        <v>0.67115355746183925</v>
      </c>
      <c r="L11" s="236">
        <f t="shared" si="6"/>
        <v>-7.7343141583617214E-2</v>
      </c>
      <c r="M11" s="237">
        <f t="shared" si="7"/>
        <v>89.666869382022469</v>
      </c>
      <c r="N11" s="235">
        <f>AVERAGE(N7:N10)</f>
        <v>0.32531975631806909</v>
      </c>
      <c r="O11" s="236">
        <f t="shared" si="8"/>
        <v>-6.9953781380093283E-2</v>
      </c>
      <c r="P11" s="237">
        <f t="shared" si="9"/>
        <v>82.302437500000011</v>
      </c>
      <c r="Q11" s="109"/>
    </row>
    <row r="12" spans="1:19" s="96" customFormat="1" ht="15.75" x14ac:dyDescent="0.25">
      <c r="A12" s="110" t="s">
        <v>24</v>
      </c>
      <c r="B12" s="102">
        <f>B25*$B$32/100/$B$33</f>
        <v>0.83208506791135783</v>
      </c>
      <c r="C12" s="107">
        <f t="shared" si="0"/>
        <v>0.12563874521676965</v>
      </c>
      <c r="D12" s="108">
        <f t="shared" si="1"/>
        <v>117.78461309523809</v>
      </c>
      <c r="E12" s="102">
        <f>E25*$B$32/100/$B$33</f>
        <v>0.90500937723392605</v>
      </c>
      <c r="F12" s="107">
        <f t="shared" si="2"/>
        <v>0.15651267818846959</v>
      </c>
      <c r="G12" s="108">
        <f t="shared" si="3"/>
        <v>120.91026966292134</v>
      </c>
      <c r="H12" s="102">
        <f>H25*$B$32/100/$B$33</f>
        <v>1.0205663596989194</v>
      </c>
      <c r="I12" s="107">
        <f t="shared" si="4"/>
        <v>0.21319913376224731</v>
      </c>
      <c r="J12" s="108">
        <f t="shared" si="5"/>
        <v>126.40671145833335</v>
      </c>
      <c r="K12" s="102">
        <f>K25*$B$32/100/$B$33</f>
        <v>0.80403725663344683</v>
      </c>
      <c r="L12" s="107">
        <f t="shared" si="6"/>
        <v>5.5540557587990369E-2</v>
      </c>
      <c r="M12" s="108">
        <f t="shared" si="7"/>
        <v>107.42028089887641</v>
      </c>
      <c r="N12" s="102">
        <f>N25*$B$32/100/$B$33</f>
        <v>0.38855567890332621</v>
      </c>
      <c r="O12" s="107">
        <f t="shared" si="8"/>
        <v>-6.7178587948361623E-3</v>
      </c>
      <c r="P12" s="108">
        <f t="shared" si="9"/>
        <v>98.300453191489382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1.2064938396198646</v>
      </c>
      <c r="F13" s="107">
        <f t="shared" si="2"/>
        <v>0.4579971405744081</v>
      </c>
      <c r="G13" s="108">
        <f t="shared" si="3"/>
        <v>161.18893258426965</v>
      </c>
      <c r="H13" s="102">
        <f>H26*$B$34/$B$33</f>
        <v>1.2573768975232329</v>
      </c>
      <c r="I13" s="107">
        <f t="shared" si="4"/>
        <v>0.4500096715865608</v>
      </c>
      <c r="J13" s="108">
        <f t="shared" si="5"/>
        <v>155.73791666666668</v>
      </c>
      <c r="K13" s="102">
        <f>K26*$B$34/$B$33</f>
        <v>1.1047277238131281</v>
      </c>
      <c r="L13" s="107">
        <f t="shared" si="6"/>
        <v>0.35623102476767166</v>
      </c>
      <c r="M13" s="108">
        <f t="shared" si="7"/>
        <v>147.59286516853933</v>
      </c>
      <c r="N13" s="102">
        <f>N26*$B$34/$B$33</f>
        <v>0.53709894453555362</v>
      </c>
      <c r="O13" s="107">
        <f t="shared" si="8"/>
        <v>0.14182540683739125</v>
      </c>
      <c r="P13" s="108">
        <f t="shared" si="9"/>
        <v>135.8803191489362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1.0922896429923048</v>
      </c>
      <c r="F14" s="107">
        <f t="shared" si="2"/>
        <v>0.34379294394684834</v>
      </c>
      <c r="G14" s="108">
        <f t="shared" si="3"/>
        <v>145.93112359550562</v>
      </c>
      <c r="H14" s="102">
        <f>H27*$B$34/$B$33</f>
        <v>1.2087553088600143</v>
      </c>
      <c r="I14" s="107">
        <f t="shared" si="4"/>
        <v>0.40138808292334216</v>
      </c>
      <c r="J14" s="108">
        <f t="shared" si="5"/>
        <v>149.71567708333333</v>
      </c>
      <c r="K14" s="102">
        <f>K27*$B$34/$B$33</f>
        <v>1.000700138766242</v>
      </c>
      <c r="L14" s="107">
        <f t="shared" si="6"/>
        <v>0.25220343972078552</v>
      </c>
      <c r="M14" s="108">
        <f t="shared" si="7"/>
        <v>133.69466292134831</v>
      </c>
      <c r="N14" s="102">
        <f>N27*$B$34/$B$33</f>
        <v>0.54162188301585301</v>
      </c>
      <c r="O14" s="107">
        <f t="shared" si="8"/>
        <v>0.14634834531769064</v>
      </c>
      <c r="P14" s="108">
        <f t="shared" si="9"/>
        <v>137.02457446808512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1.0488060216138932</v>
      </c>
      <c r="F15" s="119">
        <f t="shared" si="2"/>
        <v>0.30030932256843679</v>
      </c>
      <c r="G15" s="120">
        <f t="shared" si="3"/>
        <v>140.12166292134827</v>
      </c>
      <c r="H15" s="118">
        <f>H28*$B$35/10/$B$33</f>
        <v>1.114992809385644</v>
      </c>
      <c r="I15" s="119">
        <f t="shared" si="4"/>
        <v>0.30762558344897195</v>
      </c>
      <c r="J15" s="120">
        <f t="shared" si="5"/>
        <v>138.10231250000001</v>
      </c>
      <c r="K15" s="118">
        <f>K28*$B$35/10/$B$33</f>
        <v>1.0564429586644801</v>
      </c>
      <c r="L15" s="119">
        <f t="shared" si="6"/>
        <v>0.30794625961902367</v>
      </c>
      <c r="M15" s="120">
        <f t="shared" si="7"/>
        <v>141.14196629213484</v>
      </c>
      <c r="N15" s="118">
        <f>N28*$B$35/10/$B$33</f>
        <v>0.47603574281989824</v>
      </c>
      <c r="O15" s="119">
        <f t="shared" si="8"/>
        <v>8.0762205121735875E-2</v>
      </c>
      <c r="P15" s="120">
        <f t="shared" si="9"/>
        <v>120.43197872340427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8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87" t="s">
        <v>214</v>
      </c>
      <c r="X19" s="38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42.43</v>
      </c>
      <c r="C21" s="144" t="s">
        <v>172</v>
      </c>
      <c r="D21" s="145" t="s">
        <v>172</v>
      </c>
      <c r="E21" s="143">
        <v>46.78</v>
      </c>
      <c r="F21" s="144" t="s">
        <v>172</v>
      </c>
      <c r="G21" s="145" t="s">
        <v>172</v>
      </c>
      <c r="H21" s="143">
        <v>52.24</v>
      </c>
      <c r="I21" s="144" t="s">
        <v>172</v>
      </c>
      <c r="J21" s="145" t="s">
        <v>172</v>
      </c>
      <c r="K21" s="143">
        <v>47.07</v>
      </c>
      <c r="L21" s="144" t="s">
        <v>172</v>
      </c>
      <c r="M21" s="145" t="s">
        <v>172</v>
      </c>
      <c r="N21" s="143">
        <v>23.56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42.23</v>
      </c>
      <c r="C22" s="144" t="s">
        <v>172</v>
      </c>
      <c r="D22" s="145" t="s">
        <v>172</v>
      </c>
      <c r="E22" s="143">
        <v>45.74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46.21</v>
      </c>
      <c r="L22" s="144" t="s">
        <v>172</v>
      </c>
      <c r="M22" s="145" t="s">
        <v>172</v>
      </c>
      <c r="N22" s="143">
        <v>23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42.87</v>
      </c>
      <c r="C23" s="144" t="s">
        <v>172</v>
      </c>
      <c r="D23" s="145" t="s">
        <v>172</v>
      </c>
      <c r="E23" s="143">
        <v>46.1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45.95</v>
      </c>
      <c r="L23" s="144" t="s">
        <v>172</v>
      </c>
      <c r="M23" s="145" t="s">
        <v>172</v>
      </c>
      <c r="N23" s="143">
        <v>23.4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42.14</v>
      </c>
      <c r="C24" s="144" t="s">
        <v>172</v>
      </c>
      <c r="D24" s="145" t="s">
        <v>172</v>
      </c>
      <c r="E24" s="143">
        <v>45.15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20.75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10.39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1.0669999999999999</v>
      </c>
      <c r="F26" s="144" t="s">
        <v>172</v>
      </c>
      <c r="G26" s="145" t="s">
        <v>172</v>
      </c>
      <c r="H26" s="153">
        <v>1.1120000000000001</v>
      </c>
      <c r="I26" s="144" t="s">
        <v>172</v>
      </c>
      <c r="J26" s="145" t="s">
        <v>172</v>
      </c>
      <c r="K26" s="153">
        <v>0.97699999999999998</v>
      </c>
      <c r="L26" s="144" t="s">
        <v>172</v>
      </c>
      <c r="M26" s="145" t="s">
        <v>172</v>
      </c>
      <c r="N26" s="153">
        <v>0.47499999999999998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0.96599999999999997</v>
      </c>
      <c r="F27" s="144" t="s">
        <v>172</v>
      </c>
      <c r="G27" s="145" t="s">
        <v>172</v>
      </c>
      <c r="H27" s="153">
        <v>1.069</v>
      </c>
      <c r="I27" s="144" t="s">
        <v>172</v>
      </c>
      <c r="J27" s="145" t="s">
        <v>172</v>
      </c>
      <c r="K27" s="153">
        <v>0.88500000000000001</v>
      </c>
      <c r="L27" s="144" t="s">
        <v>172</v>
      </c>
      <c r="M27" s="145" t="s">
        <v>172</v>
      </c>
      <c r="N27" s="153">
        <v>0.47899999999999998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4.12</v>
      </c>
      <c r="F28" s="158" t="s">
        <v>172</v>
      </c>
      <c r="G28" s="159" t="s">
        <v>172</v>
      </c>
      <c r="H28" s="234">
        <v>4.38</v>
      </c>
      <c r="I28" s="158" t="s">
        <v>172</v>
      </c>
      <c r="J28" s="159" t="s">
        <v>172</v>
      </c>
      <c r="K28" s="234">
        <v>4.1500000000000004</v>
      </c>
      <c r="L28" s="158" t="s">
        <v>172</v>
      </c>
      <c r="M28" s="159" t="s">
        <v>172</v>
      </c>
      <c r="N28" s="234">
        <v>1.87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8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8.8933999999999997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2.3780999999999999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2.6890000000000001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6.0537999999999998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3.4115000000000002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44004</v>
      </c>
      <c r="E2" s="493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0.70715999494885706</v>
      </c>
      <c r="C6" s="103" t="s">
        <v>172</v>
      </c>
      <c r="D6" s="104" t="s">
        <v>172</v>
      </c>
      <c r="E6" s="102">
        <f>E20/$B$33</f>
        <v>0.74925285179105106</v>
      </c>
      <c r="F6" s="103" t="s">
        <v>172</v>
      </c>
      <c r="G6" s="104" t="s">
        <v>172</v>
      </c>
      <c r="H6" s="102">
        <f>H20/$B$33</f>
        <v>0.80818285137012236</v>
      </c>
      <c r="I6" s="103" t="s">
        <v>172</v>
      </c>
      <c r="J6" s="104" t="s">
        <v>172</v>
      </c>
      <c r="K6" s="102">
        <f>K20/$B$33</f>
        <v>0.74925285179105106</v>
      </c>
      <c r="L6" s="103" t="s">
        <v>172</v>
      </c>
      <c r="M6" s="104" t="s">
        <v>172</v>
      </c>
      <c r="N6" s="102">
        <f>N20/$B$33</f>
        <v>0.39567285431662241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0.61208801616365693</v>
      </c>
      <c r="C7" s="107">
        <f t="shared" ref="C7:C12" si="0">B7-B$6</f>
        <v>-9.5071978785200129E-2</v>
      </c>
      <c r="D7" s="108">
        <f t="shared" ref="D7:D12" si="1">B7/B$6*100</f>
        <v>86.555803571428569</v>
      </c>
      <c r="E7" s="102">
        <f>E21*$B$36/100/$B$33</f>
        <v>0.67574516984467736</v>
      </c>
      <c r="F7" s="107">
        <f t="shared" ref="F7:F15" si="2">E7-E$6</f>
        <v>-7.3507681946373693E-2</v>
      </c>
      <c r="G7" s="108">
        <f t="shared" ref="G7:G15" si="3">E7/E$6*100</f>
        <v>90.18920224719102</v>
      </c>
      <c r="H7" s="102">
        <f>H21*$B$36/100/$B$33</f>
        <v>0.75855707791387805</v>
      </c>
      <c r="I7" s="107">
        <f t="shared" ref="I7:I15" si="4">H7-H$6</f>
        <v>-4.9625773456244304E-2</v>
      </c>
      <c r="J7" s="108">
        <f t="shared" ref="J7:J15" si="5">H7/H$6*100</f>
        <v>93.859585937500029</v>
      </c>
      <c r="K7" s="102">
        <f>K21*$B$36/100/$B$33</f>
        <v>0.67876960474807435</v>
      </c>
      <c r="L7" s="107">
        <f t="shared" ref="L7:L15" si="6">K7-K$6</f>
        <v>-7.0483247042976704E-2</v>
      </c>
      <c r="M7" s="108">
        <f t="shared" ref="M7:M15" si="7">K7/K$6*100</f>
        <v>90.59286235955058</v>
      </c>
      <c r="N7" s="102">
        <f>N21*$B$36/100/$B$33</f>
        <v>0.34276928905164794</v>
      </c>
      <c r="O7" s="107">
        <f t="shared" ref="O7:O15" si="8">N7-N$6</f>
        <v>-5.2903565264974473E-2</v>
      </c>
      <c r="P7" s="108">
        <f t="shared" ref="P7:P15" si="9">N7/N$6*100</f>
        <v>86.629468085106396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0.6112238919055436</v>
      </c>
      <c r="C8" s="107">
        <f t="shared" si="0"/>
        <v>-9.5936103043313459E-2</v>
      </c>
      <c r="D8" s="108">
        <f t="shared" si="1"/>
        <v>86.433607142857156</v>
      </c>
      <c r="E8" s="102">
        <f>E22*$B$36/100/$B$33</f>
        <v>0.66220722313423397</v>
      </c>
      <c r="F8" s="107">
        <f t="shared" si="2"/>
        <v>-8.7045628656817087E-2</v>
      </c>
      <c r="G8" s="108">
        <f t="shared" si="3"/>
        <v>88.382342696629195</v>
      </c>
      <c r="H8" s="102">
        <f>H22*$B$36/100/$B$33</f>
        <v>0.7402664477838109</v>
      </c>
      <c r="I8" s="107">
        <f t="shared" si="4"/>
        <v>-6.7916403586311458E-2</v>
      </c>
      <c r="J8" s="108">
        <f t="shared" si="5"/>
        <v>91.596406250000001</v>
      </c>
      <c r="K8" s="102">
        <f>K22*$B$36/100/$B$33</f>
        <v>0.66566372016668773</v>
      </c>
      <c r="L8" s="107">
        <f t="shared" si="6"/>
        <v>-8.3589131624363322E-2</v>
      </c>
      <c r="M8" s="108">
        <f t="shared" si="7"/>
        <v>88.843668539325847</v>
      </c>
      <c r="N8" s="102">
        <f>N22*$B$36/100/$B$33</f>
        <v>0.33916877130950873</v>
      </c>
      <c r="O8" s="107">
        <f t="shared" si="8"/>
        <v>-5.6504083007113681E-2</v>
      </c>
      <c r="P8" s="108">
        <f t="shared" si="9"/>
        <v>85.719494680851057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0.62144936229321879</v>
      </c>
      <c r="C9" s="107">
        <f t="shared" si="0"/>
        <v>-8.5710632655638275E-2</v>
      </c>
      <c r="D9" s="108">
        <f t="shared" si="1"/>
        <v>87.879598214285721</v>
      </c>
      <c r="E9" s="102">
        <f>E23*$B$36/100/$B$33</f>
        <v>0.66695990655385784</v>
      </c>
      <c r="F9" s="107">
        <f t="shared" si="2"/>
        <v>-8.2292945237193216E-2</v>
      </c>
      <c r="G9" s="108">
        <f t="shared" si="3"/>
        <v>89.016665730337081</v>
      </c>
      <c r="H9" s="102">
        <f>H23*$B$36/100/$B$33</f>
        <v>0.73450561939638837</v>
      </c>
      <c r="I9" s="107">
        <f t="shared" si="4"/>
        <v>-7.3677231973733992E-2</v>
      </c>
      <c r="J9" s="108">
        <f t="shared" si="5"/>
        <v>90.883593750000003</v>
      </c>
      <c r="K9" s="102">
        <f>K23*$B$36/100/$B$33</f>
        <v>0.66220722313423397</v>
      </c>
      <c r="L9" s="107">
        <f t="shared" si="6"/>
        <v>-8.7045628656817087E-2</v>
      </c>
      <c r="M9" s="108">
        <f t="shared" si="7"/>
        <v>88.382342696629195</v>
      </c>
      <c r="N9" s="102">
        <f>N23*$B$36/100/$B$33</f>
        <v>0.35990775350423027</v>
      </c>
      <c r="O9" s="107">
        <f t="shared" si="8"/>
        <v>-3.5765100812392148E-2</v>
      </c>
      <c r="P9" s="108">
        <f t="shared" si="9"/>
        <v>90.960941489361701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0.60719131203434773</v>
      </c>
      <c r="C10" s="107">
        <f t="shared" si="0"/>
        <v>-9.9968682914509333E-2</v>
      </c>
      <c r="D10" s="108">
        <f t="shared" si="1"/>
        <v>85.863357142857154</v>
      </c>
      <c r="E10" s="102">
        <f>E24*$B$36/100/$B$33</f>
        <v>0.65054154564970323</v>
      </c>
      <c r="F10" s="107">
        <f t="shared" si="2"/>
        <v>-9.8711306141347821E-2</v>
      </c>
      <c r="G10" s="108">
        <f t="shared" si="3"/>
        <v>86.825367977528089</v>
      </c>
      <c r="H10" s="102">
        <f>H24*$B$36/100/$B$33</f>
        <v>0.74746748326808932</v>
      </c>
      <c r="I10" s="107">
        <f t="shared" si="4"/>
        <v>-6.071536810203304E-2</v>
      </c>
      <c r="J10" s="108">
        <f t="shared" si="5"/>
        <v>92.48742187500001</v>
      </c>
      <c r="K10" s="102">
        <f>K24*$B$36/100/$B$33</f>
        <v>0.69000322010354831</v>
      </c>
      <c r="L10" s="107">
        <f t="shared" si="6"/>
        <v>-5.9249631687502746E-2</v>
      </c>
      <c r="M10" s="108">
        <f t="shared" si="7"/>
        <v>92.092171348314594</v>
      </c>
      <c r="N10" s="102">
        <f>N24*$B$36/100/$B$33</f>
        <v>0.29884297259755022</v>
      </c>
      <c r="O10" s="107">
        <f t="shared" si="8"/>
        <v>-9.6829881719072197E-2</v>
      </c>
      <c r="P10" s="108">
        <f t="shared" si="9"/>
        <v>75.527792553191503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0.61298814559919168</v>
      </c>
      <c r="C11" s="236">
        <f t="shared" si="0"/>
        <v>-9.4171849349665382E-2</v>
      </c>
      <c r="D11" s="237">
        <f t="shared" si="1"/>
        <v>86.683091517857136</v>
      </c>
      <c r="E11" s="235">
        <f>AVERAGE(E7:E10)</f>
        <v>0.66386346129561813</v>
      </c>
      <c r="F11" s="236">
        <f t="shared" si="2"/>
        <v>-8.5389390495432926E-2</v>
      </c>
      <c r="G11" s="237">
        <f t="shared" si="3"/>
        <v>88.603394662921346</v>
      </c>
      <c r="H11" s="235">
        <f>AVERAGE(H7:H10)</f>
        <v>0.74519915709054174</v>
      </c>
      <c r="I11" s="236">
        <f t="shared" si="4"/>
        <v>-6.2983694279580615E-2</v>
      </c>
      <c r="J11" s="237">
        <f t="shared" si="5"/>
        <v>92.206751953125021</v>
      </c>
      <c r="K11" s="235">
        <f>AVERAGE(K7:K10)</f>
        <v>0.67416094203813615</v>
      </c>
      <c r="L11" s="236">
        <f t="shared" si="6"/>
        <v>-7.5091909752914909E-2</v>
      </c>
      <c r="M11" s="237">
        <f t="shared" si="7"/>
        <v>89.977761235955057</v>
      </c>
      <c r="N11" s="235">
        <f>AVERAGE(N7:N10)</f>
        <v>0.33517219661573427</v>
      </c>
      <c r="O11" s="236">
        <f t="shared" si="8"/>
        <v>-6.0500657700888139E-2</v>
      </c>
      <c r="P11" s="237">
        <f t="shared" si="9"/>
        <v>84.709424202127664</v>
      </c>
      <c r="Q11" s="109"/>
    </row>
    <row r="12" spans="1:19" s="96" customFormat="1" ht="15.75" x14ac:dyDescent="0.25">
      <c r="A12" s="110" t="s">
        <v>24</v>
      </c>
      <c r="B12" s="102">
        <f>B25*$B$32/100/$B$33</f>
        <v>0.83281327608704803</v>
      </c>
      <c r="C12" s="107">
        <f t="shared" si="0"/>
        <v>0.12565328113819096</v>
      </c>
      <c r="D12" s="108">
        <f t="shared" si="1"/>
        <v>117.76872023809526</v>
      </c>
      <c r="E12" s="102">
        <f>E25*$B$32/100/$B$33</f>
        <v>0.90580140590141844</v>
      </c>
      <c r="F12" s="107">
        <f t="shared" si="2"/>
        <v>0.15654855411036739</v>
      </c>
      <c r="G12" s="108">
        <f t="shared" si="3"/>
        <v>120.89395505617976</v>
      </c>
      <c r="H12" s="102">
        <f>H25*$B$32/100/$B$33</f>
        <v>1.0214595192995748</v>
      </c>
      <c r="I12" s="107">
        <f t="shared" si="4"/>
        <v>0.21327666792945243</v>
      </c>
      <c r="J12" s="108">
        <f t="shared" si="5"/>
        <v>126.38965520833334</v>
      </c>
      <c r="K12" s="102">
        <f>K25*$B$32/100/$B$33</f>
        <v>0.80474091846613638</v>
      </c>
      <c r="L12" s="107">
        <f t="shared" si="6"/>
        <v>5.5488066675085324E-2</v>
      </c>
      <c r="M12" s="108">
        <f t="shared" si="7"/>
        <v>107.40578651685395</v>
      </c>
      <c r="N12" s="102">
        <f>N25*$B$32/100/$B$33</f>
        <v>0.39263870859115213</v>
      </c>
      <c r="O12" s="107">
        <f t="shared" si="8"/>
        <v>-3.0341457254702831E-3</v>
      </c>
      <c r="P12" s="108">
        <f t="shared" si="9"/>
        <v>99.233168085106399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1.2532103380056403</v>
      </c>
      <c r="F13" s="107">
        <f t="shared" si="2"/>
        <v>0.50395748621458925</v>
      </c>
      <c r="G13" s="108">
        <f t="shared" si="3"/>
        <v>167.26133707865168</v>
      </c>
      <c r="H13" s="102">
        <f>H26*$B$34/$B$33</f>
        <v>1.3036977732878727</v>
      </c>
      <c r="I13" s="107">
        <f t="shared" si="4"/>
        <v>0.49551492191775037</v>
      </c>
      <c r="J13" s="108">
        <f t="shared" si="5"/>
        <v>161.31222916666667</v>
      </c>
      <c r="K13" s="102">
        <f>K26*$B$34/$B$33</f>
        <v>1.152235467441175</v>
      </c>
      <c r="L13" s="107">
        <f t="shared" si="6"/>
        <v>0.40298261565012394</v>
      </c>
      <c r="M13" s="108">
        <f t="shared" si="7"/>
        <v>153.78459550561794</v>
      </c>
      <c r="N13" s="102">
        <f>N26*$B$34/$B$33</f>
        <v>0.54414235804184019</v>
      </c>
      <c r="O13" s="107">
        <f t="shared" si="8"/>
        <v>0.14846950372521778</v>
      </c>
      <c r="P13" s="108">
        <f t="shared" si="9"/>
        <v>137.52329787234041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1.1499915814286314</v>
      </c>
      <c r="F14" s="107">
        <f t="shared" si="2"/>
        <v>0.40073872963758039</v>
      </c>
      <c r="G14" s="108">
        <f t="shared" si="3"/>
        <v>153.48511235955056</v>
      </c>
      <c r="H14" s="102">
        <f>H27*$B$34/$B$33</f>
        <v>1.2386250789241067</v>
      </c>
      <c r="I14" s="107">
        <f t="shared" si="4"/>
        <v>0.43044222755398431</v>
      </c>
      <c r="J14" s="108">
        <f t="shared" si="5"/>
        <v>153.26050000000004</v>
      </c>
      <c r="K14" s="102">
        <f>K27*$B$34/$B$33</f>
        <v>1.0153584206760111</v>
      </c>
      <c r="L14" s="107">
        <f t="shared" si="6"/>
        <v>0.26610556888496006</v>
      </c>
      <c r="M14" s="108">
        <f t="shared" si="7"/>
        <v>135.5161235955056</v>
      </c>
      <c r="N14" s="102">
        <f>N27*$B$34/$B$33</f>
        <v>0.53853264301048098</v>
      </c>
      <c r="O14" s="107">
        <f t="shared" si="8"/>
        <v>0.14285978869385857</v>
      </c>
      <c r="P14" s="108">
        <f t="shared" si="9"/>
        <v>136.10553191489362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1.04163076145978</v>
      </c>
      <c r="F15" s="119">
        <f t="shared" si="2"/>
        <v>0.2923779096687289</v>
      </c>
      <c r="G15" s="120">
        <f t="shared" si="3"/>
        <v>139.02259550561794</v>
      </c>
      <c r="H15" s="118">
        <f>H28*$B$35/10/$B$33</f>
        <v>1.102015153428463</v>
      </c>
      <c r="I15" s="119">
        <f t="shared" si="4"/>
        <v>0.29383230205834066</v>
      </c>
      <c r="J15" s="120">
        <f t="shared" si="5"/>
        <v>136.35715625</v>
      </c>
      <c r="K15" s="118">
        <f>K28*$B$35/10/$B$33</f>
        <v>1.0466627941238371</v>
      </c>
      <c r="L15" s="119">
        <f t="shared" si="6"/>
        <v>0.29740994233278606</v>
      </c>
      <c r="M15" s="120">
        <f t="shared" si="7"/>
        <v>139.69420224719101</v>
      </c>
      <c r="N15" s="118">
        <f>N28*$B$35/10/$B$33</f>
        <v>0.49062318474554856</v>
      </c>
      <c r="O15" s="119">
        <f t="shared" si="8"/>
        <v>9.4950330428926144E-2</v>
      </c>
      <c r="P15" s="120">
        <f t="shared" si="9"/>
        <v>123.99718085106382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1" t="s">
        <v>214</v>
      </c>
      <c r="X19" s="391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42.5</v>
      </c>
      <c r="C21" s="144" t="s">
        <v>172</v>
      </c>
      <c r="D21" s="145" t="s">
        <v>172</v>
      </c>
      <c r="E21" s="143">
        <v>46.92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47.13</v>
      </c>
      <c r="L21" s="144" t="s">
        <v>172</v>
      </c>
      <c r="M21" s="145" t="s">
        <v>172</v>
      </c>
      <c r="N21" s="143">
        <v>23.8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42.44</v>
      </c>
      <c r="C22" s="144" t="s">
        <v>172</v>
      </c>
      <c r="D22" s="145" t="s">
        <v>172</v>
      </c>
      <c r="E22" s="143">
        <v>45.98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46.22</v>
      </c>
      <c r="L22" s="144" t="s">
        <v>172</v>
      </c>
      <c r="M22" s="145" t="s">
        <v>172</v>
      </c>
      <c r="N22" s="143">
        <v>23.55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43.15</v>
      </c>
      <c r="C23" s="144" t="s">
        <v>172</v>
      </c>
      <c r="D23" s="145" t="s">
        <v>172</v>
      </c>
      <c r="E23" s="143">
        <v>46.31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45.98</v>
      </c>
      <c r="L23" s="144" t="s">
        <v>172</v>
      </c>
      <c r="M23" s="145" t="s">
        <v>172</v>
      </c>
      <c r="N23" s="143">
        <v>24.99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42.16</v>
      </c>
      <c r="C24" s="144" t="s">
        <v>172</v>
      </c>
      <c r="D24" s="145" t="s">
        <v>172</v>
      </c>
      <c r="E24" s="143">
        <v>45.17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20.75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10.49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1.117</v>
      </c>
      <c r="F26" s="144" t="s">
        <v>172</v>
      </c>
      <c r="G26" s="145" t="s">
        <v>172</v>
      </c>
      <c r="H26" s="153">
        <v>1.1619999999999999</v>
      </c>
      <c r="I26" s="144" t="s">
        <v>172</v>
      </c>
      <c r="J26" s="145" t="s">
        <v>172</v>
      </c>
      <c r="K26" s="153">
        <v>1.0269999999999999</v>
      </c>
      <c r="L26" s="144" t="s">
        <v>172</v>
      </c>
      <c r="M26" s="145" t="s">
        <v>172</v>
      </c>
      <c r="N26" s="153">
        <v>0.48499999999999999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1.0249999999999999</v>
      </c>
      <c r="F27" s="144" t="s">
        <v>172</v>
      </c>
      <c r="G27" s="145" t="s">
        <v>172</v>
      </c>
      <c r="H27" s="153">
        <v>1.1040000000000001</v>
      </c>
      <c r="I27" s="144" t="s">
        <v>172</v>
      </c>
      <c r="J27" s="145" t="s">
        <v>172</v>
      </c>
      <c r="K27" s="153">
        <v>0.90500000000000003</v>
      </c>
      <c r="L27" s="144" t="s">
        <v>172</v>
      </c>
      <c r="M27" s="145" t="s">
        <v>172</v>
      </c>
      <c r="N27" s="153">
        <v>0.48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4.1399999999999997</v>
      </c>
      <c r="F28" s="158" t="s">
        <v>172</v>
      </c>
      <c r="G28" s="159" t="s">
        <v>172</v>
      </c>
      <c r="H28" s="234">
        <v>4.38</v>
      </c>
      <c r="I28" s="158" t="s">
        <v>172</v>
      </c>
      <c r="J28" s="159" t="s">
        <v>172</v>
      </c>
      <c r="K28" s="234">
        <v>4.16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8.8922000000000008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2.3757000000000001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2.6654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5.9772999999999996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3.4215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H30" sqref="H3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44011</v>
      </c>
      <c r="E2" s="493"/>
      <c r="F2" s="389"/>
      <c r="G2" s="389"/>
      <c r="H2" s="389"/>
      <c r="I2" s="389"/>
      <c r="J2" s="389"/>
      <c r="K2" s="389"/>
      <c r="L2" s="389"/>
      <c r="M2" s="389"/>
      <c r="N2" s="389"/>
      <c r="O2" s="389"/>
      <c r="P2" s="389"/>
      <c r="Q2" s="389"/>
      <c r="R2" s="38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0.70472754729644693</v>
      </c>
      <c r="C6" s="103" t="s">
        <v>172</v>
      </c>
      <c r="D6" s="104" t="s">
        <v>172</v>
      </c>
      <c r="E6" s="102">
        <f>E20/$B$33</f>
        <v>0.74667561558790219</v>
      </c>
      <c r="F6" s="103" t="s">
        <v>172</v>
      </c>
      <c r="G6" s="104" t="s">
        <v>172</v>
      </c>
      <c r="H6" s="102">
        <f>H20/$B$33</f>
        <v>0.80540291119593932</v>
      </c>
      <c r="I6" s="103" t="s">
        <v>172</v>
      </c>
      <c r="J6" s="104" t="s">
        <v>172</v>
      </c>
      <c r="K6" s="102">
        <f>K20/$B$33</f>
        <v>0.74667561558790219</v>
      </c>
      <c r="L6" s="103" t="s">
        <v>172</v>
      </c>
      <c r="M6" s="104" t="s">
        <v>172</v>
      </c>
      <c r="N6" s="102">
        <f>N20/$B$33</f>
        <v>0.39431184193967861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0.61437997399219757</v>
      </c>
      <c r="C7" s="107">
        <f t="shared" ref="C7:C12" si="0">B7-B$6</f>
        <v>-9.0347573304249362E-2</v>
      </c>
      <c r="D7" s="108">
        <f t="shared" ref="D7:D12" si="1">B7/B$6*100</f>
        <v>87.179786904761897</v>
      </c>
      <c r="E7" s="102">
        <f>E21*$B$36/100/$B$33</f>
        <v>0.67745265321531933</v>
      </c>
      <c r="F7" s="107">
        <f t="shared" ref="F7:F15" si="2">E7-E$6</f>
        <v>-6.9222962372582852E-2</v>
      </c>
      <c r="G7" s="108">
        <f t="shared" ref="G7:G15" si="3">E7/E$6*100</f>
        <v>90.729178651685388</v>
      </c>
      <c r="H7" s="102">
        <f>H21*$B$36/100/$B$33</f>
        <v>0.76193532446830825</v>
      </c>
      <c r="I7" s="107">
        <f t="shared" ref="I7:I15" si="4">H7-H$6</f>
        <v>-4.3467586727631069E-2</v>
      </c>
      <c r="J7" s="108">
        <f t="shared" ref="J7:J15" si="5">H7/H$6*100</f>
        <v>94.603001041666673</v>
      </c>
      <c r="K7" s="102">
        <f>K21*$B$36/100/$B$33</f>
        <v>0.68121386803137718</v>
      </c>
      <c r="L7" s="107">
        <f t="shared" ref="L7:L15" si="6">K7-K$6</f>
        <v>-6.5461747556525007E-2</v>
      </c>
      <c r="M7" s="108">
        <f t="shared" ref="M7:M15" si="7">K7/K$6*100</f>
        <v>91.232906741573032</v>
      </c>
      <c r="N7" s="102">
        <f>N21*$B$36/100/$B$33</f>
        <v>0.34935899156843819</v>
      </c>
      <c r="O7" s="107">
        <f t="shared" ref="O7:O15" si="8">N7-N$6</f>
        <v>-4.4952850371240416E-2</v>
      </c>
      <c r="P7" s="108">
        <f t="shared" ref="P7:P15" si="9">N7/N$6*100</f>
        <v>88.599670212765957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0.61539260875036694</v>
      </c>
      <c r="C8" s="107">
        <f t="shared" si="0"/>
        <v>-8.9334938546079989E-2</v>
      </c>
      <c r="D8" s="108">
        <f t="shared" si="1"/>
        <v>87.323478571428566</v>
      </c>
      <c r="E8" s="102">
        <f>E22*$B$36/100/$B$33</f>
        <v>0.66819427828348499</v>
      </c>
      <c r="F8" s="107">
        <f t="shared" si="2"/>
        <v>-7.8481337304417198E-2</v>
      </c>
      <c r="G8" s="108">
        <f t="shared" si="3"/>
        <v>89.489232584269658</v>
      </c>
      <c r="H8" s="102">
        <f>H22*$B$36/100/$B$33</f>
        <v>0.74356323671294922</v>
      </c>
      <c r="I8" s="107">
        <f t="shared" si="4"/>
        <v>-6.1839674482990103E-2</v>
      </c>
      <c r="J8" s="108">
        <f t="shared" si="5"/>
        <v>92.321895833333329</v>
      </c>
      <c r="K8" s="102">
        <f>K22*$B$36/100/$B$33</f>
        <v>0.66862826460841462</v>
      </c>
      <c r="L8" s="107">
        <f t="shared" si="6"/>
        <v>-7.8047350979487562E-2</v>
      </c>
      <c r="M8" s="108">
        <f t="shared" si="7"/>
        <v>89.547355056179754</v>
      </c>
      <c r="N8" s="102">
        <f>N22*$B$36/100/$B$33</f>
        <v>0.34588710096900033</v>
      </c>
      <c r="O8" s="107">
        <f t="shared" si="8"/>
        <v>-4.8424740970678282E-2</v>
      </c>
      <c r="P8" s="108">
        <f t="shared" si="9"/>
        <v>87.719176595744685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0.62392767314065189</v>
      </c>
      <c r="C9" s="107">
        <f t="shared" si="0"/>
        <v>-8.0799874155795037E-2</v>
      </c>
      <c r="D9" s="108">
        <f t="shared" si="1"/>
        <v>88.534594047619066</v>
      </c>
      <c r="E9" s="102">
        <f>E23*$B$36/100/$B$33</f>
        <v>0.68034589538151757</v>
      </c>
      <c r="F9" s="107">
        <f t="shared" si="2"/>
        <v>-6.6329720206384613E-2</v>
      </c>
      <c r="G9" s="108">
        <f t="shared" si="3"/>
        <v>91.116661797752798</v>
      </c>
      <c r="H9" s="102">
        <f>H23*$B$36/100/$B$33</f>
        <v>0.73777675238055285</v>
      </c>
      <c r="I9" s="107">
        <f t="shared" si="4"/>
        <v>-6.7626158815386472E-2</v>
      </c>
      <c r="J9" s="108">
        <f t="shared" si="5"/>
        <v>91.603437500000013</v>
      </c>
      <c r="K9" s="102">
        <f>K23*$B$36/100/$B$33</f>
        <v>0.66486704979235711</v>
      </c>
      <c r="L9" s="107">
        <f t="shared" si="6"/>
        <v>-8.1808565795545074E-2</v>
      </c>
      <c r="M9" s="108">
        <f t="shared" si="7"/>
        <v>89.043626966292138</v>
      </c>
      <c r="N9" s="102">
        <f>N23*$B$36/100/$B$33</f>
        <v>0.38320992491295769</v>
      </c>
      <c r="O9" s="107">
        <f t="shared" si="8"/>
        <v>-1.110191702672092E-2</v>
      </c>
      <c r="P9" s="108">
        <f t="shared" si="9"/>
        <v>97.184482978723409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0.60917213809304072</v>
      </c>
      <c r="C10" s="107">
        <f t="shared" si="0"/>
        <v>-9.5555409203406216E-2</v>
      </c>
      <c r="D10" s="108">
        <f t="shared" si="1"/>
        <v>86.440801190476179</v>
      </c>
      <c r="E10" s="102">
        <f>E24*$B$36/100/$B$33</f>
        <v>0.66342042870925788</v>
      </c>
      <c r="F10" s="107">
        <f t="shared" si="2"/>
        <v>-8.3255186878644305E-2</v>
      </c>
      <c r="G10" s="108">
        <f t="shared" si="3"/>
        <v>88.849885393258418</v>
      </c>
      <c r="H10" s="102">
        <f>H24*$B$36/100/$B$33</f>
        <v>0.75079634212844493</v>
      </c>
      <c r="I10" s="107">
        <f t="shared" si="4"/>
        <v>-5.4606569067494393E-2</v>
      </c>
      <c r="J10" s="108">
        <f t="shared" si="5"/>
        <v>93.219968750000007</v>
      </c>
      <c r="K10" s="102">
        <f>K24*$B$36/100/$B$33</f>
        <v>0.6930761609127899</v>
      </c>
      <c r="L10" s="107">
        <f t="shared" si="6"/>
        <v>-5.359945467511229E-2</v>
      </c>
      <c r="M10" s="108">
        <f t="shared" si="7"/>
        <v>92.821587640449437</v>
      </c>
      <c r="N10" s="102">
        <f>N24*$B$36/100/$B$33</f>
        <v>0.30017387474306806</v>
      </c>
      <c r="O10" s="107">
        <f t="shared" si="8"/>
        <v>-9.413796719661055E-2</v>
      </c>
      <c r="P10" s="108">
        <f t="shared" si="9"/>
        <v>76.126010638297885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0.61571809849406423</v>
      </c>
      <c r="C11" s="236">
        <f t="shared" si="0"/>
        <v>-8.9009448802382707E-2</v>
      </c>
      <c r="D11" s="237">
        <f t="shared" si="1"/>
        <v>87.369665178571424</v>
      </c>
      <c r="E11" s="235">
        <f>AVERAGE(E7:E10)</f>
        <v>0.67235331389739494</v>
      </c>
      <c r="F11" s="236">
        <f t="shared" si="2"/>
        <v>-7.4322301690507242E-2</v>
      </c>
      <c r="G11" s="237">
        <f t="shared" si="3"/>
        <v>90.046239606741565</v>
      </c>
      <c r="H11" s="235">
        <f>AVERAGE(H7:H10)</f>
        <v>0.74851791392256384</v>
      </c>
      <c r="I11" s="236">
        <f t="shared" si="4"/>
        <v>-5.6884997273375482E-2</v>
      </c>
      <c r="J11" s="237">
        <f t="shared" si="5"/>
        <v>92.937075781250016</v>
      </c>
      <c r="K11" s="235">
        <f>AVERAGE(K7:K10)</f>
        <v>0.67694633583623465</v>
      </c>
      <c r="L11" s="236">
        <f t="shared" si="6"/>
        <v>-6.9729279751667539E-2</v>
      </c>
      <c r="M11" s="237">
        <f t="shared" si="7"/>
        <v>90.661369101123583</v>
      </c>
      <c r="N11" s="235">
        <f>AVERAGE(N7:N10)</f>
        <v>0.34465747304836608</v>
      </c>
      <c r="O11" s="236">
        <f t="shared" si="8"/>
        <v>-4.9654368891312528E-2</v>
      </c>
      <c r="P11" s="237">
        <f t="shared" si="9"/>
        <v>87.407335106382988</v>
      </c>
      <c r="Q11" s="109"/>
    </row>
    <row r="12" spans="1:19" s="96" customFormat="1" ht="15.75" x14ac:dyDescent="0.25">
      <c r="A12" s="110" t="s">
        <v>24</v>
      </c>
      <c r="B12" s="102">
        <f>B25*$B$32/100/$B$33</f>
        <v>0.83361665757791847</v>
      </c>
      <c r="C12" s="107">
        <f t="shared" si="0"/>
        <v>0.12888911028147154</v>
      </c>
      <c r="D12" s="108">
        <f t="shared" si="1"/>
        <v>118.28921130952381</v>
      </c>
      <c r="E12" s="102">
        <f>E25*$B$32/100/$B$33</f>
        <v>0.90667519610721903</v>
      </c>
      <c r="F12" s="107">
        <f t="shared" si="2"/>
        <v>0.15999958051931684</v>
      </c>
      <c r="G12" s="108">
        <f t="shared" si="3"/>
        <v>121.42825842696625</v>
      </c>
      <c r="H12" s="102">
        <f>H25*$B$32/100/$B$33</f>
        <v>1.0224448802382649</v>
      </c>
      <c r="I12" s="107">
        <f t="shared" si="4"/>
        <v>0.21704196904232553</v>
      </c>
      <c r="J12" s="108">
        <f t="shared" si="5"/>
        <v>126.94824739583332</v>
      </c>
      <c r="K12" s="102">
        <f>K25*$B$32/100/$B$33</f>
        <v>0.80551721968203349</v>
      </c>
      <c r="L12" s="107">
        <f t="shared" si="6"/>
        <v>5.8841604094131306E-2</v>
      </c>
      <c r="M12" s="108">
        <f t="shared" si="7"/>
        <v>107.88047752808987</v>
      </c>
      <c r="N12" s="102">
        <f>N25*$B$32/100/$B$33</f>
        <v>0.39489076723016903</v>
      </c>
      <c r="O12" s="107">
        <f t="shared" si="8"/>
        <v>5.7892529049041741E-4</v>
      </c>
      <c r="P12" s="108">
        <f t="shared" si="9"/>
        <v>100.14681914893617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1.2535383615084525</v>
      </c>
      <c r="F13" s="107">
        <f t="shared" si="2"/>
        <v>0.50686274592055036</v>
      </c>
      <c r="G13" s="108">
        <f t="shared" si="3"/>
        <v>167.88258988764045</v>
      </c>
      <c r="H13" s="102">
        <f>H26*$B$34/$B$33</f>
        <v>1.304039011703511</v>
      </c>
      <c r="I13" s="107">
        <f t="shared" si="4"/>
        <v>0.49863610050757168</v>
      </c>
      <c r="J13" s="108">
        <f t="shared" si="5"/>
        <v>161.91138541666669</v>
      </c>
      <c r="K13" s="102">
        <f>K26*$B$34/$B$33</f>
        <v>1.1525370611183352</v>
      </c>
      <c r="L13" s="107">
        <f t="shared" si="6"/>
        <v>0.40586144553043302</v>
      </c>
      <c r="M13" s="108">
        <f t="shared" si="7"/>
        <v>154.3557921348314</v>
      </c>
      <c r="N13" s="102">
        <f>N26*$B$34/$B$33</f>
        <v>0.54428478543563075</v>
      </c>
      <c r="O13" s="107">
        <f t="shared" si="8"/>
        <v>0.14997294349595214</v>
      </c>
      <c r="P13" s="108">
        <f t="shared" si="9"/>
        <v>138.03409574468088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1.1323368010403121</v>
      </c>
      <c r="F14" s="107">
        <f t="shared" si="2"/>
        <v>0.3856611854524099</v>
      </c>
      <c r="G14" s="108">
        <f t="shared" si="3"/>
        <v>151.65043258426968</v>
      </c>
      <c r="H14" s="102">
        <f>H27*$B$34/$B$33</f>
        <v>1.2613940182054617</v>
      </c>
      <c r="I14" s="107">
        <f t="shared" si="4"/>
        <v>0.45599110700952239</v>
      </c>
      <c r="J14" s="108">
        <f t="shared" si="5"/>
        <v>156.61652083333337</v>
      </c>
      <c r="K14" s="102">
        <f>K27*$B$34/$B$33</f>
        <v>1.0201131339401821</v>
      </c>
      <c r="L14" s="107">
        <f t="shared" si="6"/>
        <v>0.27343751835227992</v>
      </c>
      <c r="M14" s="108">
        <f t="shared" si="7"/>
        <v>136.62065730337079</v>
      </c>
      <c r="N14" s="102">
        <f>N27*$B$34/$B$33</f>
        <v>0.55999609882964885</v>
      </c>
      <c r="O14" s="107">
        <f t="shared" si="8"/>
        <v>0.16568425688997024</v>
      </c>
      <c r="P14" s="108">
        <f t="shared" si="9"/>
        <v>142.018585106383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1.0510756323671293</v>
      </c>
      <c r="F15" s="119">
        <f t="shared" si="2"/>
        <v>0.30440001677922712</v>
      </c>
      <c r="G15" s="120">
        <f t="shared" si="3"/>
        <v>140.76737078651684</v>
      </c>
      <c r="H15" s="118">
        <f>H28*$B$35/10/$B$33</f>
        <v>1.1089099374973781</v>
      </c>
      <c r="I15" s="119">
        <f t="shared" si="4"/>
        <v>0.30350702630143878</v>
      </c>
      <c r="J15" s="120">
        <f t="shared" si="5"/>
        <v>137.683875</v>
      </c>
      <c r="K15" s="118">
        <f>K28*$B$35/10/$B$33</f>
        <v>1.0485610973614663</v>
      </c>
      <c r="L15" s="119">
        <f t="shared" si="6"/>
        <v>0.30188548177356411</v>
      </c>
      <c r="M15" s="120">
        <f t="shared" si="7"/>
        <v>140.430606741573</v>
      </c>
      <c r="N15" s="118">
        <f>N28*$B$35/10/$B$33</f>
        <v>0.49033432610428279</v>
      </c>
      <c r="O15" s="119">
        <f t="shared" si="8"/>
        <v>9.6022484164604183E-2</v>
      </c>
      <c r="P15" s="120">
        <f t="shared" si="9"/>
        <v>124.35191489361701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1" t="s">
        <v>214</v>
      </c>
      <c r="X19" s="391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42.47</v>
      </c>
      <c r="C21" s="144" t="s">
        <v>172</v>
      </c>
      <c r="D21" s="145" t="s">
        <v>172</v>
      </c>
      <c r="E21" s="143">
        <v>46.83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47.09</v>
      </c>
      <c r="L21" s="144" t="s">
        <v>172</v>
      </c>
      <c r="M21" s="145" t="s">
        <v>172</v>
      </c>
      <c r="N21" s="143">
        <v>24.15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42.54</v>
      </c>
      <c r="C22" s="144" t="s">
        <v>172</v>
      </c>
      <c r="D22" s="145" t="s">
        <v>172</v>
      </c>
      <c r="E22" s="143">
        <v>46.19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46.22</v>
      </c>
      <c r="L22" s="144" t="s">
        <v>172</v>
      </c>
      <c r="M22" s="145" t="s">
        <v>172</v>
      </c>
      <c r="N22" s="143">
        <v>23.91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43.13</v>
      </c>
      <c r="C23" s="144" t="s">
        <v>172</v>
      </c>
      <c r="D23" s="145" t="s">
        <v>172</v>
      </c>
      <c r="E23" s="143">
        <v>47.03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45.96</v>
      </c>
      <c r="L23" s="144" t="s">
        <v>172</v>
      </c>
      <c r="M23" s="145" t="s">
        <v>172</v>
      </c>
      <c r="N23" s="143">
        <v>26.49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42.11</v>
      </c>
      <c r="C24" s="144" t="s">
        <v>172</v>
      </c>
      <c r="D24" s="145" t="s">
        <v>172</v>
      </c>
      <c r="E24" s="143">
        <v>45.86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20.75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27.29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10.54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1.117</v>
      </c>
      <c r="F26" s="144" t="s">
        <v>172</v>
      </c>
      <c r="G26" s="145" t="s">
        <v>172</v>
      </c>
      <c r="H26" s="153">
        <v>1.1619999999999999</v>
      </c>
      <c r="I26" s="144" t="s">
        <v>172</v>
      </c>
      <c r="J26" s="145" t="s">
        <v>172</v>
      </c>
      <c r="K26" s="153">
        <v>1.0269999999999999</v>
      </c>
      <c r="L26" s="144" t="s">
        <v>172</v>
      </c>
      <c r="M26" s="145" t="s">
        <v>172</v>
      </c>
      <c r="N26" s="153">
        <v>0.48499999999999999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1.0089999999999999</v>
      </c>
      <c r="F27" s="144" t="s">
        <v>172</v>
      </c>
      <c r="G27" s="145" t="s">
        <v>172</v>
      </c>
      <c r="H27" s="153">
        <v>1.1240000000000001</v>
      </c>
      <c r="I27" s="144" t="s">
        <v>172</v>
      </c>
      <c r="J27" s="145" t="s">
        <v>172</v>
      </c>
      <c r="K27" s="153">
        <v>0.90900000000000003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4.18</v>
      </c>
      <c r="F28" s="158" t="s">
        <v>172</v>
      </c>
      <c r="G28" s="159" t="s">
        <v>172</v>
      </c>
      <c r="H28" s="234">
        <v>4.41</v>
      </c>
      <c r="I28" s="158" t="s">
        <v>172</v>
      </c>
      <c r="J28" s="159" t="s">
        <v>172</v>
      </c>
      <c r="K28" s="234">
        <v>4.17</v>
      </c>
      <c r="L28" s="158" t="s">
        <v>172</v>
      </c>
      <c r="M28" s="159" t="s">
        <v>172</v>
      </c>
      <c r="N28" s="234">
        <v>1.95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8.9314999999999998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2.3839000000000001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2.6753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5.9943999999999997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3.4485999999999999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44018</v>
      </c>
      <c r="E2" s="493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0.69381349632444034</v>
      </c>
      <c r="C6" s="103" t="s">
        <v>172</v>
      </c>
      <c r="D6" s="104" t="s">
        <v>172</v>
      </c>
      <c r="E6" s="102">
        <f>E20/$B$33</f>
        <v>0.73511191872470472</v>
      </c>
      <c r="F6" s="103" t="s">
        <v>172</v>
      </c>
      <c r="G6" s="104" t="s">
        <v>172</v>
      </c>
      <c r="H6" s="102">
        <f>H20/$B$33</f>
        <v>0.79292971008507462</v>
      </c>
      <c r="I6" s="103" t="s">
        <v>172</v>
      </c>
      <c r="J6" s="104" t="s">
        <v>172</v>
      </c>
      <c r="K6" s="102">
        <f>K20/$B$33</f>
        <v>0.73511191872470472</v>
      </c>
      <c r="L6" s="103" t="s">
        <v>172</v>
      </c>
      <c r="M6" s="104" t="s">
        <v>172</v>
      </c>
      <c r="N6" s="102">
        <f>N20/$B$33</f>
        <v>0.38820517056248444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0.60249572148343933</v>
      </c>
      <c r="C7" s="107">
        <f t="shared" ref="C7:C12" si="0">B7-B$6</f>
        <v>-9.1317774841001009E-2</v>
      </c>
      <c r="D7" s="108">
        <f t="shared" ref="D7:D12" si="1">B7/B$6*100</f>
        <v>86.838282142857153</v>
      </c>
      <c r="E7" s="102">
        <f>E21*$B$36/100/$B$33</f>
        <v>0.66436292227636895</v>
      </c>
      <c r="F7" s="107">
        <f t="shared" ref="F7:F15" si="2">E7-E$6</f>
        <v>-7.0748996448335766E-2</v>
      </c>
      <c r="G7" s="108">
        <f t="shared" ref="G7:G15" si="3">E7/E$6*100</f>
        <v>90.37575168539324</v>
      </c>
      <c r="H7" s="102">
        <f>H21*$B$36/100/$B$33</f>
        <v>0.747372813248534</v>
      </c>
      <c r="I7" s="107">
        <f t="shared" ref="I7:I15" si="4">H7-H$6</f>
        <v>-4.5556896836540628E-2</v>
      </c>
      <c r="J7" s="108">
        <f t="shared" ref="J7:J15" si="5">H7/H$6*100</f>
        <v>94.254610937500033</v>
      </c>
      <c r="K7" s="102">
        <f>K21*$B$36/100/$B$33</f>
        <v>0.66847794251259596</v>
      </c>
      <c r="L7" s="107">
        <f t="shared" ref="L7:L15" si="6">K7-K$6</f>
        <v>-6.6633976212108759E-2</v>
      </c>
      <c r="M7" s="108">
        <f t="shared" ref="M7:M15" si="7">K7/K$6*100</f>
        <v>90.935533146067399</v>
      </c>
      <c r="N7" s="102">
        <f>N21*$B$36/100/$B$33</f>
        <v>0.34268185760303954</v>
      </c>
      <c r="O7" s="107">
        <f t="shared" ref="O7:O15" si="8">N7-N$6</f>
        <v>-4.5523312959444895E-2</v>
      </c>
      <c r="P7" s="108">
        <f t="shared" ref="P7:P15" si="9">N7/N$6*100</f>
        <v>88.273388297872359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0.60306331048153961</v>
      </c>
      <c r="C8" s="107">
        <f t="shared" si="0"/>
        <v>-9.0750185842900732E-2</v>
      </c>
      <c r="D8" s="108">
        <f t="shared" si="1"/>
        <v>86.920089285714297</v>
      </c>
      <c r="E8" s="102">
        <f>E22*$B$36/100/$B$33</f>
        <v>0.6508826835714876</v>
      </c>
      <c r="F8" s="107">
        <f t="shared" si="2"/>
        <v>-8.4229235153217119E-2</v>
      </c>
      <c r="G8" s="108">
        <f t="shared" si="3"/>
        <v>88.541984831460667</v>
      </c>
      <c r="H8" s="102">
        <f>H22*$B$36/100/$B$33</f>
        <v>0.73502775253985297</v>
      </c>
      <c r="I8" s="107">
        <f t="shared" si="4"/>
        <v>-5.790195754522165E-2</v>
      </c>
      <c r="J8" s="108">
        <f t="shared" si="5"/>
        <v>92.697718750000007</v>
      </c>
      <c r="K8" s="102">
        <f>K22*$B$36/100/$B$33</f>
        <v>0.65613288180391516</v>
      </c>
      <c r="L8" s="107">
        <f t="shared" si="6"/>
        <v>-7.8979036920789558E-2</v>
      </c>
      <c r="M8" s="108">
        <f t="shared" si="7"/>
        <v>89.25618876404495</v>
      </c>
      <c r="N8" s="102">
        <f>N22*$B$36/100/$B$33</f>
        <v>0.34935102833071774</v>
      </c>
      <c r="O8" s="107">
        <f t="shared" si="8"/>
        <v>-3.8854142231766697E-2</v>
      </c>
      <c r="P8" s="108">
        <f t="shared" si="9"/>
        <v>89.991338297872346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0.61129335095399351</v>
      </c>
      <c r="C9" s="107">
        <f t="shared" si="0"/>
        <v>-8.2520145370446829E-2</v>
      </c>
      <c r="D9" s="108">
        <f t="shared" si="1"/>
        <v>88.106292857142847</v>
      </c>
      <c r="E9" s="102">
        <f>E23*$B$36/100/$B$33</f>
        <v>0.66762655901544554</v>
      </c>
      <c r="F9" s="107">
        <f t="shared" si="2"/>
        <v>-6.7485359709259174E-2</v>
      </c>
      <c r="G9" s="108">
        <f t="shared" si="3"/>
        <v>90.819716292134828</v>
      </c>
      <c r="H9" s="102">
        <f>H23*$B$36/100/$B$33</f>
        <v>0.72353407532832248</v>
      </c>
      <c r="I9" s="107">
        <f t="shared" si="4"/>
        <v>-6.9395634756752145E-2</v>
      </c>
      <c r="J9" s="108">
        <f t="shared" si="5"/>
        <v>91.248198437500022</v>
      </c>
      <c r="K9" s="102">
        <f>K23*$B$36/100/$B$33</f>
        <v>0.6508826835714876</v>
      </c>
      <c r="L9" s="107">
        <f t="shared" si="6"/>
        <v>-8.4229235153217119E-2</v>
      </c>
      <c r="M9" s="108">
        <f t="shared" si="7"/>
        <v>88.541984831460667</v>
      </c>
      <c r="N9" s="102">
        <f>N23*$B$36/100/$B$33</f>
        <v>0.37588581399190546</v>
      </c>
      <c r="O9" s="107">
        <f t="shared" si="8"/>
        <v>-1.2319356570578976E-2</v>
      </c>
      <c r="P9" s="108">
        <f t="shared" si="9"/>
        <v>96.826586170212764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0.59752931775006202</v>
      </c>
      <c r="C10" s="107">
        <f t="shared" si="0"/>
        <v>-9.6284178574378321E-2</v>
      </c>
      <c r="D10" s="108">
        <f t="shared" si="1"/>
        <v>86.122469642857155</v>
      </c>
      <c r="E10" s="102">
        <f>E24*$B$36/100/$B$33</f>
        <v>0.65031509457338721</v>
      </c>
      <c r="F10" s="107">
        <f t="shared" si="2"/>
        <v>-8.4796824151317507E-2</v>
      </c>
      <c r="G10" s="108">
        <f t="shared" si="3"/>
        <v>88.464773595505605</v>
      </c>
      <c r="H10" s="102">
        <f>H24*$B$36/100/$B$33</f>
        <v>0.73644672503510367</v>
      </c>
      <c r="I10" s="107">
        <f t="shared" si="4"/>
        <v>-5.6482985049970957E-2</v>
      </c>
      <c r="J10" s="108">
        <f t="shared" si="5"/>
        <v>92.876671875000014</v>
      </c>
      <c r="K10" s="102">
        <f>K24*$B$36/100/$B$33</f>
        <v>0.67982972247460138</v>
      </c>
      <c r="L10" s="107">
        <f t="shared" si="6"/>
        <v>-5.5282196250103333E-2</v>
      </c>
      <c r="M10" s="108">
        <f t="shared" si="7"/>
        <v>92.479757865168537</v>
      </c>
      <c r="N10" s="102">
        <f>N24*$B$36/100/$B$33</f>
        <v>0.2944367927645164</v>
      </c>
      <c r="O10" s="107">
        <f t="shared" si="8"/>
        <v>-9.3768377797968039E-2</v>
      </c>
      <c r="P10" s="108">
        <f t="shared" si="9"/>
        <v>75.845664893617041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0.60359542516725861</v>
      </c>
      <c r="C11" s="236">
        <f t="shared" si="0"/>
        <v>-9.0218071157181723E-2</v>
      </c>
      <c r="D11" s="237">
        <f t="shared" si="1"/>
        <v>86.996783482142874</v>
      </c>
      <c r="E11" s="235">
        <f>AVERAGE(E7:E10)</f>
        <v>0.65829681485917235</v>
      </c>
      <c r="F11" s="236">
        <f t="shared" si="2"/>
        <v>-7.6815103865532364E-2</v>
      </c>
      <c r="G11" s="237">
        <f t="shared" si="3"/>
        <v>89.550556601123589</v>
      </c>
      <c r="H11" s="235">
        <f>AVERAGE(H7:H10)</f>
        <v>0.73559534153795325</v>
      </c>
      <c r="I11" s="236">
        <f t="shared" si="4"/>
        <v>-5.7334368547121373E-2</v>
      </c>
      <c r="J11" s="237">
        <f t="shared" si="5"/>
        <v>92.769300000000015</v>
      </c>
      <c r="K11" s="235">
        <f>AVERAGE(K7:K10)</f>
        <v>0.66383080759065005</v>
      </c>
      <c r="L11" s="236">
        <f t="shared" si="6"/>
        <v>-7.1281111134054664E-2</v>
      </c>
      <c r="M11" s="237">
        <f t="shared" si="7"/>
        <v>90.303366151685395</v>
      </c>
      <c r="N11" s="235">
        <f>AVERAGE(N7:N10)</f>
        <v>0.34058887317254477</v>
      </c>
      <c r="O11" s="236">
        <f t="shared" si="8"/>
        <v>-4.7616297389939666E-2</v>
      </c>
      <c r="P11" s="237">
        <f t="shared" si="9"/>
        <v>87.734244414893624</v>
      </c>
      <c r="Q11" s="109"/>
    </row>
    <row r="12" spans="1:19" s="96" customFormat="1" ht="15.75" x14ac:dyDescent="0.25">
      <c r="A12" s="110" t="s">
        <v>24</v>
      </c>
      <c r="B12" s="102">
        <f>B25*$B$32/100/$B$33</f>
        <v>0.81863901048979926</v>
      </c>
      <c r="C12" s="107">
        <f t="shared" si="0"/>
        <v>0.12482551416535892</v>
      </c>
      <c r="D12" s="108">
        <f t="shared" si="1"/>
        <v>117.99122023809525</v>
      </c>
      <c r="E12" s="102">
        <f>E25*$B$32/100/$B$33</f>
        <v>0.8903849012967705</v>
      </c>
      <c r="F12" s="107">
        <f t="shared" si="2"/>
        <v>0.15527298257206579</v>
      </c>
      <c r="G12" s="108">
        <f t="shared" si="3"/>
        <v>121.12235955056181</v>
      </c>
      <c r="H12" s="102">
        <f>H25*$B$32/100/$B$33</f>
        <v>1.0224709259106302</v>
      </c>
      <c r="I12" s="107">
        <f t="shared" si="4"/>
        <v>0.22954121582555553</v>
      </c>
      <c r="J12" s="108">
        <f t="shared" si="5"/>
        <v>128.94849479166669</v>
      </c>
      <c r="K12" s="102">
        <f>K25*$B$32/100/$B$33</f>
        <v>0.79104443710250272</v>
      </c>
      <c r="L12" s="107">
        <f t="shared" si="6"/>
        <v>5.5932518377798002E-2</v>
      </c>
      <c r="M12" s="108">
        <f t="shared" si="7"/>
        <v>107.60870786516854</v>
      </c>
      <c r="N12" s="102">
        <f>N25*$B$32/100/$B$33</f>
        <v>0.38779573800280825</v>
      </c>
      <c r="O12" s="107">
        <f t="shared" si="8"/>
        <v>-4.0943255967618164E-4</v>
      </c>
      <c r="P12" s="108">
        <f t="shared" si="9"/>
        <v>99.894531914893619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1.2598656562319317</v>
      </c>
      <c r="F13" s="107">
        <f t="shared" si="2"/>
        <v>0.52475373750722698</v>
      </c>
      <c r="G13" s="108">
        <f t="shared" si="3"/>
        <v>171.38419662921345</v>
      </c>
      <c r="H13" s="102">
        <f>H26*$B$34/$B$33</f>
        <v>1.3106212108697446</v>
      </c>
      <c r="I13" s="107">
        <f t="shared" si="4"/>
        <v>0.51769150078466997</v>
      </c>
      <c r="J13" s="108">
        <f t="shared" si="5"/>
        <v>165.28844791666666</v>
      </c>
      <c r="K13" s="102">
        <f>K26*$B$34/$B$33</f>
        <v>1.1583545469563061</v>
      </c>
      <c r="L13" s="107">
        <f t="shared" si="6"/>
        <v>0.42324262823160141</v>
      </c>
      <c r="M13" s="108">
        <f t="shared" si="7"/>
        <v>157.57526404494379</v>
      </c>
      <c r="N13" s="102">
        <f>N26*$B$34/$B$33</f>
        <v>0.54703208887420496</v>
      </c>
      <c r="O13" s="107">
        <f t="shared" si="8"/>
        <v>0.15882691831172052</v>
      </c>
      <c r="P13" s="108">
        <f t="shared" si="9"/>
        <v>140.91313829787237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1.1606103493846534</v>
      </c>
      <c r="F14" s="107">
        <f t="shared" si="2"/>
        <v>0.42549843065994863</v>
      </c>
      <c r="G14" s="108">
        <f t="shared" si="3"/>
        <v>157.88212921348313</v>
      </c>
      <c r="H14" s="102">
        <f>H27*$B$34/$B$33</f>
        <v>1.2903189890146194</v>
      </c>
      <c r="I14" s="107">
        <f t="shared" si="4"/>
        <v>0.49738927892954476</v>
      </c>
      <c r="J14" s="108">
        <f t="shared" si="5"/>
        <v>162.72804166666666</v>
      </c>
      <c r="K14" s="102">
        <f>K27*$B$34/$B$33</f>
        <v>1.0444365243247706</v>
      </c>
      <c r="L14" s="107">
        <f t="shared" si="6"/>
        <v>0.30932460560006592</v>
      </c>
      <c r="M14" s="108">
        <f t="shared" si="7"/>
        <v>142.07857303370784</v>
      </c>
      <c r="N14" s="102">
        <f>N27*$B$34/$B$33</f>
        <v>0.56282270587263561</v>
      </c>
      <c r="O14" s="107">
        <f t="shared" si="8"/>
        <v>0.17461753531015117</v>
      </c>
      <c r="P14" s="108">
        <f t="shared" si="9"/>
        <v>144.98073404255319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1.0660667382505986</v>
      </c>
      <c r="F15" s="119">
        <f t="shared" si="2"/>
        <v>0.3309548195258939</v>
      </c>
      <c r="G15" s="120">
        <f t="shared" si="3"/>
        <v>145.02101123595503</v>
      </c>
      <c r="H15" s="118">
        <f>H28*$B$35/10/$B$33</f>
        <v>1.1342747997026514</v>
      </c>
      <c r="I15" s="119">
        <f t="shared" si="4"/>
        <v>0.34134508961757681</v>
      </c>
      <c r="J15" s="120">
        <f t="shared" si="5"/>
        <v>143.04859375000004</v>
      </c>
      <c r="K15" s="118">
        <f>K28*$B$35/10/$B$33</f>
        <v>1.0584880647559263</v>
      </c>
      <c r="L15" s="119">
        <f t="shared" si="6"/>
        <v>0.32337614603122156</v>
      </c>
      <c r="M15" s="120">
        <f t="shared" si="7"/>
        <v>143.99005617977528</v>
      </c>
      <c r="N15" s="118">
        <f>N28*$B$35/10/$B$33</f>
        <v>0.49514000165193678</v>
      </c>
      <c r="O15" s="119">
        <f t="shared" si="8"/>
        <v>0.10693483108945234</v>
      </c>
      <c r="P15" s="120">
        <f t="shared" si="9"/>
        <v>127.5459574468085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3" t="s">
        <v>214</v>
      </c>
      <c r="X19" s="393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42.46</v>
      </c>
      <c r="C21" s="144" t="s">
        <v>172</v>
      </c>
      <c r="D21" s="145" t="s">
        <v>172</v>
      </c>
      <c r="E21" s="143">
        <v>46.82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47.11</v>
      </c>
      <c r="L21" s="144" t="s">
        <v>172</v>
      </c>
      <c r="M21" s="145" t="s">
        <v>172</v>
      </c>
      <c r="N21" s="143">
        <v>24.15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42.5</v>
      </c>
      <c r="C22" s="144" t="s">
        <v>172</v>
      </c>
      <c r="D22" s="145" t="s">
        <v>172</v>
      </c>
      <c r="E22" s="143">
        <v>45.87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24.62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43.08</v>
      </c>
      <c r="C23" s="144" t="s">
        <v>172</v>
      </c>
      <c r="D23" s="145" t="s">
        <v>172</v>
      </c>
      <c r="E23" s="143">
        <v>47.05</v>
      </c>
      <c r="F23" s="144" t="s">
        <v>172</v>
      </c>
      <c r="G23" s="145" t="s">
        <v>172</v>
      </c>
      <c r="H23" s="143">
        <v>50.99</v>
      </c>
      <c r="I23" s="144" t="s">
        <v>172</v>
      </c>
      <c r="J23" s="145" t="s">
        <v>172</v>
      </c>
      <c r="K23" s="143">
        <v>45.87</v>
      </c>
      <c r="L23" s="144" t="s">
        <v>172</v>
      </c>
      <c r="M23" s="145" t="s">
        <v>172</v>
      </c>
      <c r="N23" s="143">
        <v>26.49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42.11</v>
      </c>
      <c r="C24" s="144" t="s">
        <v>172</v>
      </c>
      <c r="D24" s="145" t="s">
        <v>172</v>
      </c>
      <c r="E24" s="143">
        <v>45.83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20.75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21.5</v>
      </c>
      <c r="L25" s="144" t="s">
        <v>172</v>
      </c>
      <c r="M25" s="145" t="s">
        <v>172</v>
      </c>
      <c r="N25" s="143">
        <v>10.54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1.117</v>
      </c>
      <c r="F26" s="144" t="s">
        <v>172</v>
      </c>
      <c r="G26" s="145" t="s">
        <v>172</v>
      </c>
      <c r="H26" s="153">
        <v>1.1619999999999999</v>
      </c>
      <c r="I26" s="144" t="s">
        <v>172</v>
      </c>
      <c r="J26" s="145" t="s">
        <v>172</v>
      </c>
      <c r="K26" s="153">
        <v>1.0269999999999999</v>
      </c>
      <c r="L26" s="144" t="s">
        <v>172</v>
      </c>
      <c r="M26" s="145" t="s">
        <v>172</v>
      </c>
      <c r="N26" s="153">
        <v>0.48499999999999999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1.0289999999999999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0.92600000000000005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4.22</v>
      </c>
      <c r="F28" s="158" t="s">
        <v>172</v>
      </c>
      <c r="G28" s="159" t="s">
        <v>172</v>
      </c>
      <c r="H28" s="234">
        <v>4.49</v>
      </c>
      <c r="I28" s="158" t="s">
        <v>172</v>
      </c>
      <c r="J28" s="159" t="s">
        <v>172</v>
      </c>
      <c r="K28" s="234">
        <v>4.1900000000000004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8.9090000000000007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2.4214000000000002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2.7311000000000001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6.117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3.4359000000000002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L31" sqref="L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44025</v>
      </c>
      <c r="E2" s="493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395"/>
      <c r="R2" s="39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0.69135802469135799</v>
      </c>
      <c r="C6" s="103" t="s">
        <v>172</v>
      </c>
      <c r="D6" s="104" t="s">
        <v>172</v>
      </c>
      <c r="E6" s="102">
        <f>E20/$B$33</f>
        <v>0.73251028806584362</v>
      </c>
      <c r="F6" s="103" t="s">
        <v>172</v>
      </c>
      <c r="G6" s="104" t="s">
        <v>172</v>
      </c>
      <c r="H6" s="102">
        <f>H20/$B$33</f>
        <v>0.79012345679012341</v>
      </c>
      <c r="I6" s="103" t="s">
        <v>172</v>
      </c>
      <c r="J6" s="104" t="s">
        <v>172</v>
      </c>
      <c r="K6" s="102">
        <f>K20/$B$33</f>
        <v>0.73251028806584362</v>
      </c>
      <c r="L6" s="103" t="s">
        <v>172</v>
      </c>
      <c r="M6" s="104" t="s">
        <v>172</v>
      </c>
      <c r="N6" s="102">
        <f>N20/$B$33</f>
        <v>0.38683127572016457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0.59994326748971194</v>
      </c>
      <c r="C7" s="107">
        <f t="shared" ref="C7:C12" si="0">B7-B$6</f>
        <v>-9.1414757201646046E-2</v>
      </c>
      <c r="D7" s="108">
        <f t="shared" ref="D7:D12" si="1">B7/B$6*100</f>
        <v>86.777508333333344</v>
      </c>
      <c r="E7" s="102">
        <f>E21*$B$36/100/$B$33</f>
        <v>0.66228232921810692</v>
      </c>
      <c r="F7" s="107">
        <f t="shared" ref="F7:F15" si="2">E7-E$6</f>
        <v>-7.0227958847736693E-2</v>
      </c>
      <c r="G7" s="108">
        <f t="shared" ref="G7:G15" si="3">E7/E$6*100</f>
        <v>90.412699999999987</v>
      </c>
      <c r="H7" s="102">
        <f>H21*$B$36/100/$B$33</f>
        <v>0.73950413991769548</v>
      </c>
      <c r="I7" s="107">
        <f t="shared" ref="I7:I15" si="4">H7-H$6</f>
        <v>-5.0619316872427933E-2</v>
      </c>
      <c r="J7" s="108">
        <f t="shared" ref="J7:J15" si="5">H7/H$6*100</f>
        <v>93.593492708333343</v>
      </c>
      <c r="K7" s="102">
        <f>K21*$B$36/100/$B$33</f>
        <v>0.66354595884773659</v>
      </c>
      <c r="L7" s="107">
        <f t="shared" ref="L7:L15" si="6">K7-K$6</f>
        <v>-6.8964329218107023E-2</v>
      </c>
      <c r="M7" s="108">
        <f t="shared" ref="M7:M15" si="7">K7/K$6*100</f>
        <v>90.585206741573032</v>
      </c>
      <c r="N7" s="102">
        <f>N21*$B$36/100/$B$33</f>
        <v>0.33570427160493826</v>
      </c>
      <c r="O7" s="107">
        <f t="shared" ref="O7:O15" si="8">N7-N$6</f>
        <v>-5.1127004115226304E-2</v>
      </c>
      <c r="P7" s="108">
        <f t="shared" ref="P7:P15" si="9">N7/N$6*100</f>
        <v>86.783125531914891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0.5967139917695472</v>
      </c>
      <c r="C8" s="107">
        <f t="shared" si="0"/>
        <v>-9.4644032921810783E-2</v>
      </c>
      <c r="D8" s="108">
        <f t="shared" si="1"/>
        <v>86.310416666666654</v>
      </c>
      <c r="E8" s="102">
        <f>E22*$B$36/100/$B$33</f>
        <v>0.64402990123456771</v>
      </c>
      <c r="F8" s="107">
        <f t="shared" si="2"/>
        <v>-8.8480386831275903E-2</v>
      </c>
      <c r="G8" s="108">
        <f t="shared" si="3"/>
        <v>87.920935955056152</v>
      </c>
      <c r="H8" s="102">
        <f>H22*$B$36/100/$B$33</f>
        <v>0.72728905349794226</v>
      </c>
      <c r="I8" s="107">
        <f t="shared" si="4"/>
        <v>-6.2834403292181151E-2</v>
      </c>
      <c r="J8" s="108">
        <f t="shared" si="5"/>
        <v>92.047520833333323</v>
      </c>
      <c r="K8" s="102">
        <f>K22*$B$36/100/$B$33</f>
        <v>0.64922482304526741</v>
      </c>
      <c r="L8" s="107">
        <f t="shared" si="6"/>
        <v>-8.328546502057621E-2</v>
      </c>
      <c r="M8" s="108">
        <f t="shared" si="7"/>
        <v>88.63013033707864</v>
      </c>
      <c r="N8" s="102">
        <f>N22*$B$36/100/$B$33</f>
        <v>0.34567290534979417</v>
      </c>
      <c r="O8" s="107">
        <f t="shared" si="8"/>
        <v>-4.1158370370370401E-2</v>
      </c>
      <c r="P8" s="108">
        <f t="shared" si="9"/>
        <v>89.360123404255305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0.60710383539094648</v>
      </c>
      <c r="C9" s="107">
        <f t="shared" si="0"/>
        <v>-8.4254189300411508E-2</v>
      </c>
      <c r="D9" s="108">
        <f t="shared" si="1"/>
        <v>87.813233333333329</v>
      </c>
      <c r="E9" s="102">
        <f>E23*$B$36/100/$B$33</f>
        <v>0.6514712757201645</v>
      </c>
      <c r="F9" s="107">
        <f t="shared" si="2"/>
        <v>-8.1039012345679118E-2</v>
      </c>
      <c r="G9" s="108">
        <f t="shared" si="3"/>
        <v>88.936808988764028</v>
      </c>
      <c r="H9" s="102">
        <f>H23*$B$36/100/$B$33</f>
        <v>0.7160567901234568</v>
      </c>
      <c r="I9" s="107">
        <f t="shared" si="4"/>
        <v>-7.4066666666666614E-2</v>
      </c>
      <c r="J9" s="108">
        <f t="shared" si="5"/>
        <v>90.625937500000006</v>
      </c>
      <c r="K9" s="102">
        <f>K23*$B$36/100/$B$33</f>
        <v>0.64683796707818919</v>
      </c>
      <c r="L9" s="107">
        <f t="shared" si="6"/>
        <v>-8.5672320987654427E-2</v>
      </c>
      <c r="M9" s="108">
        <f t="shared" si="7"/>
        <v>88.304284269662901</v>
      </c>
      <c r="N9" s="102">
        <f>N23*$B$36/100/$B$33</f>
        <v>0.37192832098765427</v>
      </c>
      <c r="O9" s="107">
        <f t="shared" si="8"/>
        <v>-1.4902954732510298E-2</v>
      </c>
      <c r="P9" s="108">
        <f t="shared" si="9"/>
        <v>96.147427659574475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0.59685439506172833</v>
      </c>
      <c r="C10" s="107">
        <f t="shared" si="0"/>
        <v>-9.450362962962966E-2</v>
      </c>
      <c r="D10" s="108">
        <f t="shared" si="1"/>
        <v>86.330725000000001</v>
      </c>
      <c r="E10" s="102">
        <f>E24*$B$36/100/$B$33</f>
        <v>0.63911578600823038</v>
      </c>
      <c r="F10" s="107">
        <f t="shared" si="2"/>
        <v>-9.3394502057613238E-2</v>
      </c>
      <c r="G10" s="108">
        <f t="shared" si="3"/>
        <v>87.250076404494365</v>
      </c>
      <c r="H10" s="102">
        <f>H24*$B$36/100/$B$33</f>
        <v>0.72869308641975294</v>
      </c>
      <c r="I10" s="107">
        <f t="shared" si="4"/>
        <v>-6.1430370370370468E-2</v>
      </c>
      <c r="J10" s="108">
        <f t="shared" si="5"/>
        <v>92.225218749999982</v>
      </c>
      <c r="K10" s="102">
        <f>K24*$B$36/100/$B$33</f>
        <v>0.67337418930041149</v>
      </c>
      <c r="L10" s="107">
        <f t="shared" si="6"/>
        <v>-5.9136098765432132E-2</v>
      </c>
      <c r="M10" s="108">
        <f t="shared" si="7"/>
        <v>91.926925842696633</v>
      </c>
      <c r="N10" s="102">
        <f>N24*$B$36/100/$B$33</f>
        <v>0.29695296296296286</v>
      </c>
      <c r="O10" s="107">
        <f t="shared" si="8"/>
        <v>-8.9878312757201706E-2</v>
      </c>
      <c r="P10" s="108">
        <f t="shared" si="9"/>
        <v>76.765499999999989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0.60015387242798346</v>
      </c>
      <c r="C11" s="236">
        <f t="shared" si="0"/>
        <v>-9.1204152263374527E-2</v>
      </c>
      <c r="D11" s="237">
        <f t="shared" si="1"/>
        <v>86.807970833333329</v>
      </c>
      <c r="E11" s="235">
        <f>AVERAGE(E7:E10)</f>
        <v>0.64922482304526741</v>
      </c>
      <c r="F11" s="236">
        <f t="shared" si="2"/>
        <v>-8.328546502057621E-2</v>
      </c>
      <c r="G11" s="237">
        <f t="shared" si="3"/>
        <v>88.63013033707864</v>
      </c>
      <c r="H11" s="235">
        <f>AVERAGE(H7:H10)</f>
        <v>0.7278857674897119</v>
      </c>
      <c r="I11" s="236">
        <f t="shared" si="4"/>
        <v>-6.2237689300411514E-2</v>
      </c>
      <c r="J11" s="237">
        <f t="shared" si="5"/>
        <v>92.123042447916674</v>
      </c>
      <c r="K11" s="235">
        <f>AVERAGE(K7:K10)</f>
        <v>0.65824573456790114</v>
      </c>
      <c r="L11" s="236">
        <f t="shared" si="6"/>
        <v>-7.4264553497942476E-2</v>
      </c>
      <c r="M11" s="237">
        <f t="shared" si="7"/>
        <v>89.861636797752794</v>
      </c>
      <c r="N11" s="235">
        <f>AVERAGE(N7:N10)</f>
        <v>0.33756461522633741</v>
      </c>
      <c r="O11" s="236">
        <f t="shared" si="8"/>
        <v>-4.9266660493827164E-2</v>
      </c>
      <c r="P11" s="237">
        <f t="shared" si="9"/>
        <v>87.264044148936165</v>
      </c>
      <c r="Q11" s="109"/>
    </row>
    <row r="12" spans="1:19" s="96" customFormat="1" ht="15.75" x14ac:dyDescent="0.25">
      <c r="A12" s="110" t="s">
        <v>24</v>
      </c>
      <c r="B12" s="102">
        <f>B25*$B$32/100/$B$33</f>
        <v>0.82541090534979422</v>
      </c>
      <c r="C12" s="107">
        <f t="shared" si="0"/>
        <v>0.13405288065843624</v>
      </c>
      <c r="D12" s="108">
        <f t="shared" si="1"/>
        <v>119.38979166666668</v>
      </c>
      <c r="E12" s="102">
        <f>E25*$B$32/100/$B$33</f>
        <v>0.89775028806584345</v>
      </c>
      <c r="F12" s="107">
        <f t="shared" si="2"/>
        <v>0.16523999999999983</v>
      </c>
      <c r="G12" s="108">
        <f t="shared" si="3"/>
        <v>122.55804494382021</v>
      </c>
      <c r="H12" s="102">
        <f>H25*$B$32/100/$B$33</f>
        <v>1.0309289465020575</v>
      </c>
      <c r="I12" s="107">
        <f t="shared" si="4"/>
        <v>0.24080548971193405</v>
      </c>
      <c r="J12" s="108">
        <f t="shared" si="5"/>
        <v>130.47694479166665</v>
      </c>
      <c r="K12" s="102">
        <f>K25*$B$32/100/$B$33</f>
        <v>0.80129777777777778</v>
      </c>
      <c r="L12" s="107">
        <f t="shared" si="6"/>
        <v>6.8787489711934158E-2</v>
      </c>
      <c r="M12" s="108">
        <f t="shared" si="7"/>
        <v>109.39065168539327</v>
      </c>
      <c r="N12" s="102">
        <f>N25*$B$32/100/$B$33</f>
        <v>0.39100363786008224</v>
      </c>
      <c r="O12" s="107">
        <f t="shared" si="8"/>
        <v>4.1723621399176736E-3</v>
      </c>
      <c r="P12" s="108">
        <f t="shared" si="9"/>
        <v>101.07859999999999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1.2723969135802469</v>
      </c>
      <c r="F13" s="107">
        <f t="shared" si="2"/>
        <v>0.53988662551440325</v>
      </c>
      <c r="G13" s="108">
        <f t="shared" si="3"/>
        <v>173.70362359550563</v>
      </c>
      <c r="H13" s="102">
        <f>H26*$B$34/$B$33</f>
        <v>1.3232024691358024</v>
      </c>
      <c r="I13" s="107">
        <f t="shared" si="4"/>
        <v>0.533079012345679</v>
      </c>
      <c r="J13" s="108">
        <f t="shared" si="5"/>
        <v>167.46781250000001</v>
      </c>
      <c r="K13" s="102">
        <f>K26*$B$34/$B$33</f>
        <v>1.1707858024691356</v>
      </c>
      <c r="L13" s="107">
        <f t="shared" si="6"/>
        <v>0.43827551440329193</v>
      </c>
      <c r="M13" s="108">
        <f t="shared" si="7"/>
        <v>159.83199438202246</v>
      </c>
      <c r="N13" s="102">
        <f>N26*$B$34/$B$33</f>
        <v>0.57015123456790118</v>
      </c>
      <c r="O13" s="107">
        <f t="shared" si="8"/>
        <v>0.18331995884773661</v>
      </c>
      <c r="P13" s="108">
        <f t="shared" si="9"/>
        <v>147.39015957446807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1.1628827160493829</v>
      </c>
      <c r="F14" s="107">
        <f t="shared" si="2"/>
        <v>0.43037242798353925</v>
      </c>
      <c r="G14" s="108">
        <f t="shared" si="3"/>
        <v>158.75308988764047</v>
      </c>
      <c r="H14" s="102">
        <f>H27*$B$34/$B$33</f>
        <v>1.2915901234567899</v>
      </c>
      <c r="I14" s="107">
        <f t="shared" si="4"/>
        <v>0.50146666666666651</v>
      </c>
      <c r="J14" s="108">
        <f t="shared" si="5"/>
        <v>163.46687499999999</v>
      </c>
      <c r="K14" s="102">
        <f>K27*$B$34/$B$33</f>
        <v>1.0274012345679011</v>
      </c>
      <c r="L14" s="107">
        <f t="shared" si="6"/>
        <v>0.29489094650205749</v>
      </c>
      <c r="M14" s="108">
        <f t="shared" si="7"/>
        <v>140.25758426966291</v>
      </c>
      <c r="N14" s="102">
        <f>N27*$B$34/$B$33</f>
        <v>0.56337716049382713</v>
      </c>
      <c r="O14" s="107">
        <f t="shared" si="8"/>
        <v>0.17654588477366256</v>
      </c>
      <c r="P14" s="108">
        <f t="shared" si="9"/>
        <v>145.63898936170213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1.0746419753086418</v>
      </c>
      <c r="F15" s="119">
        <f t="shared" si="2"/>
        <v>0.34213168724279819</v>
      </c>
      <c r="G15" s="120">
        <f t="shared" si="3"/>
        <v>146.7067415730337</v>
      </c>
      <c r="H15" s="118">
        <f>H28*$B$35/10/$B$33</f>
        <v>1.1377078189300409</v>
      </c>
      <c r="I15" s="119">
        <f t="shared" si="4"/>
        <v>0.3475843621399175</v>
      </c>
      <c r="J15" s="120">
        <f t="shared" si="5"/>
        <v>143.99114583333329</v>
      </c>
      <c r="K15" s="118">
        <f>K28*$B$35/10/$B$33</f>
        <v>1.0620288065843622</v>
      </c>
      <c r="L15" s="119">
        <f t="shared" si="6"/>
        <v>0.32951851851851854</v>
      </c>
      <c r="M15" s="120">
        <f t="shared" si="7"/>
        <v>144.98483146067414</v>
      </c>
      <c r="N15" s="118">
        <f>N28*$B$35/10/$B$33</f>
        <v>0.49443621399176946</v>
      </c>
      <c r="O15" s="119">
        <f t="shared" si="8"/>
        <v>0.10760493827160489</v>
      </c>
      <c r="P15" s="120">
        <f t="shared" si="9"/>
        <v>127.81702127659574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7" t="s">
        <v>214</v>
      </c>
      <c r="X19" s="39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42.73</v>
      </c>
      <c r="C21" s="144" t="s">
        <v>172</v>
      </c>
      <c r="D21" s="145" t="s">
        <v>172</v>
      </c>
      <c r="E21" s="143">
        <v>47.17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47.26</v>
      </c>
      <c r="L21" s="144" t="s">
        <v>172</v>
      </c>
      <c r="M21" s="145" t="s">
        <v>172</v>
      </c>
      <c r="N21" s="143">
        <v>23.91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42.5</v>
      </c>
      <c r="C22" s="144" t="s">
        <v>172</v>
      </c>
      <c r="D22" s="145" t="s">
        <v>172</v>
      </c>
      <c r="E22" s="143">
        <v>45.87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24.62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43.24</v>
      </c>
      <c r="C23" s="144" t="s">
        <v>172</v>
      </c>
      <c r="D23" s="145" t="s">
        <v>172</v>
      </c>
      <c r="E23" s="143">
        <v>46.4</v>
      </c>
      <c r="F23" s="144" t="s">
        <v>172</v>
      </c>
      <c r="G23" s="145" t="s">
        <v>172</v>
      </c>
      <c r="H23" s="143">
        <v>51</v>
      </c>
      <c r="I23" s="144" t="s">
        <v>172</v>
      </c>
      <c r="J23" s="145" t="s">
        <v>172</v>
      </c>
      <c r="K23" s="143">
        <v>46.07</v>
      </c>
      <c r="L23" s="144" t="s">
        <v>172</v>
      </c>
      <c r="M23" s="145" t="s">
        <v>172</v>
      </c>
      <c r="N23" s="143">
        <v>26.49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42.51</v>
      </c>
      <c r="C24" s="144" t="s">
        <v>172</v>
      </c>
      <c r="D24" s="145" t="s">
        <v>172</v>
      </c>
      <c r="E24" s="143">
        <v>45.52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47.96</v>
      </c>
      <c r="L24" s="144" t="s">
        <v>172</v>
      </c>
      <c r="M24" s="145" t="s">
        <v>172</v>
      </c>
      <c r="N24" s="143">
        <v>21.15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24.2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21.6</v>
      </c>
      <c r="L25" s="144" t="s">
        <v>172</v>
      </c>
      <c r="M25" s="145" t="s">
        <v>172</v>
      </c>
      <c r="N25" s="143">
        <v>10.54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1.127</v>
      </c>
      <c r="F26" s="144" t="s">
        <v>172</v>
      </c>
      <c r="G26" s="145" t="s">
        <v>172</v>
      </c>
      <c r="H26" s="153">
        <v>1.1719999999999999</v>
      </c>
      <c r="I26" s="144" t="s">
        <v>172</v>
      </c>
      <c r="J26" s="145" t="s">
        <v>172</v>
      </c>
      <c r="K26" s="153">
        <v>1.0369999999999999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0.91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4.26</v>
      </c>
      <c r="F28" s="158" t="s">
        <v>172</v>
      </c>
      <c r="G28" s="159" t="s">
        <v>172</v>
      </c>
      <c r="H28" s="234">
        <v>4.51</v>
      </c>
      <c r="I28" s="158" t="s">
        <v>172</v>
      </c>
      <c r="J28" s="159" t="s">
        <v>172</v>
      </c>
      <c r="K28" s="234">
        <v>4.21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9.0145999999999997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2.4300000000000002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2.7435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6.13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3.4117999999999999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2" sqref="I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44032</v>
      </c>
      <c r="E2" s="493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395"/>
      <c r="R2" s="39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0.7001750437609402</v>
      </c>
      <c r="C6" s="103" t="s">
        <v>172</v>
      </c>
      <c r="D6" s="104" t="s">
        <v>172</v>
      </c>
      <c r="E6" s="102">
        <f>E20/$B$33</f>
        <v>0.74185212969909142</v>
      </c>
      <c r="F6" s="103" t="s">
        <v>172</v>
      </c>
      <c r="G6" s="104" t="s">
        <v>172</v>
      </c>
      <c r="H6" s="102">
        <f>H20/$B$33</f>
        <v>0.80020005001250305</v>
      </c>
      <c r="I6" s="103" t="s">
        <v>172</v>
      </c>
      <c r="J6" s="104" t="s">
        <v>172</v>
      </c>
      <c r="K6" s="102">
        <f>K20/$B$33</f>
        <v>0.74185212969909142</v>
      </c>
      <c r="L6" s="103" t="s">
        <v>172</v>
      </c>
      <c r="M6" s="104" t="s">
        <v>172</v>
      </c>
      <c r="N6" s="102">
        <f>N20/$B$33</f>
        <v>0.39176460781862132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0.59683142035508885</v>
      </c>
      <c r="C7" s="107">
        <f t="shared" ref="C7:C12" si="0">B7-B$6</f>
        <v>-0.10334362340585135</v>
      </c>
      <c r="D7" s="108">
        <f t="shared" ref="D7:D12" si="1">B7/B$6*100</f>
        <v>85.240316071428595</v>
      </c>
      <c r="E7" s="102">
        <f>E21*$B$36/100/$B$33</f>
        <v>0.65817358923064095</v>
      </c>
      <c r="F7" s="107">
        <f t="shared" ref="F7:F15" si="2">E7-E$6</f>
        <v>-8.3678540468450469E-2</v>
      </c>
      <c r="G7" s="108">
        <f t="shared" ref="G7:G15" si="3">E7/E$6*100</f>
        <v>88.720320786516851</v>
      </c>
      <c r="H7" s="102">
        <f>H21*$B$36/100/$B$33</f>
        <v>0.73429364424439447</v>
      </c>
      <c r="I7" s="107">
        <f t="shared" ref="I7:I15" si="4">H7-H$6</f>
        <v>-6.5906405768108578E-2</v>
      </c>
      <c r="J7" s="108">
        <f t="shared" ref="J7:J15" si="5">H7/H$6*100</f>
        <v>91.763758854166682</v>
      </c>
      <c r="K7" s="102">
        <f>K21*$B$36/100/$B$33</f>
        <v>0.65901007335167128</v>
      </c>
      <c r="L7" s="107">
        <f t="shared" ref="L7:L15" si="6">K7-K$6</f>
        <v>-8.2842056347420145E-2</v>
      </c>
      <c r="M7" s="108">
        <f t="shared" ref="M7:M15" si="7">K7/K$6*100</f>
        <v>88.83307696629214</v>
      </c>
      <c r="N7" s="102">
        <f>N21*$B$36/100/$B$33</f>
        <v>0.33459364841210304</v>
      </c>
      <c r="O7" s="107">
        <f t="shared" ref="O7:O15" si="8">N7-N$6</f>
        <v>-5.7170959406518285E-2</v>
      </c>
      <c r="P7" s="108">
        <f t="shared" ref="P7:P15" si="9">N7/N$6*100</f>
        <v>85.406808510638299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0.59878321663749268</v>
      </c>
      <c r="C8" s="107">
        <f t="shared" si="0"/>
        <v>-0.10139182712344752</v>
      </c>
      <c r="D8" s="108">
        <f t="shared" si="1"/>
        <v>85.519074404761909</v>
      </c>
      <c r="E8" s="102">
        <f>E22*$B$36/100/$B$33</f>
        <v>0.64478984329415678</v>
      </c>
      <c r="F8" s="107">
        <f t="shared" si="2"/>
        <v>-9.7062286404934639E-2</v>
      </c>
      <c r="G8" s="108">
        <f t="shared" si="3"/>
        <v>86.916221910112341</v>
      </c>
      <c r="H8" s="102">
        <f>H22*$B$36/100/$B$33</f>
        <v>0.72216462448945562</v>
      </c>
      <c r="I8" s="107">
        <f t="shared" si="4"/>
        <v>-7.803542552304743E-2</v>
      </c>
      <c r="J8" s="108">
        <f t="shared" si="5"/>
        <v>90.248010416666673</v>
      </c>
      <c r="K8" s="102">
        <f>K22*$B$36/100/$B$33</f>
        <v>0.64478984329415678</v>
      </c>
      <c r="L8" s="107">
        <f t="shared" si="6"/>
        <v>-9.7062286404934639E-2</v>
      </c>
      <c r="M8" s="108">
        <f t="shared" si="7"/>
        <v>86.916221910112341</v>
      </c>
      <c r="N8" s="102">
        <f>N22*$B$36/100/$B$33</f>
        <v>0.34574677002583976</v>
      </c>
      <c r="O8" s="107">
        <f t="shared" si="8"/>
        <v>-4.6017837792781568E-2</v>
      </c>
      <c r="P8" s="108">
        <f t="shared" si="9"/>
        <v>88.253702127659565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0.60617215970659322</v>
      </c>
      <c r="C9" s="107">
        <f t="shared" si="0"/>
        <v>-9.400288405434698E-2</v>
      </c>
      <c r="D9" s="108">
        <f t="shared" si="1"/>
        <v>86.574373809523792</v>
      </c>
      <c r="E9" s="102">
        <f>E23*$B$36/100/$B$33</f>
        <v>0.65008757606068179</v>
      </c>
      <c r="F9" s="107">
        <f t="shared" si="2"/>
        <v>-9.1764553638409629E-2</v>
      </c>
      <c r="G9" s="108">
        <f t="shared" si="3"/>
        <v>87.630344382022457</v>
      </c>
      <c r="H9" s="102">
        <f>H23*$B$36/100/$B$33</f>
        <v>0.71798220388430445</v>
      </c>
      <c r="I9" s="107">
        <f t="shared" si="4"/>
        <v>-8.2217846128198602E-2</v>
      </c>
      <c r="J9" s="108">
        <f t="shared" si="5"/>
        <v>89.725338541666673</v>
      </c>
      <c r="K9" s="102">
        <f>K23*$B$36/100/$B$33</f>
        <v>0.6449292573143286</v>
      </c>
      <c r="L9" s="107">
        <f t="shared" si="6"/>
        <v>-9.6922872384762826E-2</v>
      </c>
      <c r="M9" s="108">
        <f t="shared" si="7"/>
        <v>86.935014606741575</v>
      </c>
      <c r="N9" s="102">
        <f>N23*$B$36/100/$B$33</f>
        <v>0.36930773943485867</v>
      </c>
      <c r="O9" s="107">
        <f t="shared" si="8"/>
        <v>-2.2456868383762651E-2</v>
      </c>
      <c r="P9" s="108">
        <f t="shared" si="9"/>
        <v>94.267764893617013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0.59306724181045267</v>
      </c>
      <c r="C10" s="107">
        <f t="shared" si="0"/>
        <v>-0.10710780195048752</v>
      </c>
      <c r="D10" s="108">
        <f t="shared" si="1"/>
        <v>84.702710714285729</v>
      </c>
      <c r="E10" s="102">
        <f>E24*$B$36/100/$B$33</f>
        <v>0.63489144786196539</v>
      </c>
      <c r="F10" s="107">
        <f t="shared" si="2"/>
        <v>-0.10696068183712604</v>
      </c>
      <c r="G10" s="108">
        <f t="shared" si="3"/>
        <v>85.581940449438193</v>
      </c>
      <c r="H10" s="102">
        <f>H24*$B$36/100/$B$33</f>
        <v>0.72355876469117275</v>
      </c>
      <c r="I10" s="107">
        <f t="shared" si="4"/>
        <v>-7.6641285321330299E-2</v>
      </c>
      <c r="J10" s="108">
        <f t="shared" si="5"/>
        <v>90.422234375000002</v>
      </c>
      <c r="K10" s="102">
        <f>K24*$B$36/100/$B$33</f>
        <v>0.66793257064266065</v>
      </c>
      <c r="L10" s="107">
        <f t="shared" si="6"/>
        <v>-7.3919559056430773E-2</v>
      </c>
      <c r="M10" s="108">
        <f t="shared" si="7"/>
        <v>90.035809550561794</v>
      </c>
      <c r="N10" s="102">
        <f>N24*$B$36/100/$B$33</f>
        <v>0.31409978744686173</v>
      </c>
      <c r="O10" s="107">
        <f t="shared" si="8"/>
        <v>-7.7664820371759591E-2</v>
      </c>
      <c r="P10" s="108">
        <f t="shared" si="9"/>
        <v>80.175641489361709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0.59871350962740688</v>
      </c>
      <c r="C11" s="236">
        <f t="shared" si="0"/>
        <v>-0.10146153413353332</v>
      </c>
      <c r="D11" s="237">
        <f t="shared" si="1"/>
        <v>85.509118750000013</v>
      </c>
      <c r="E11" s="235">
        <f>AVERAGE(E7:E10)</f>
        <v>0.64698561411186128</v>
      </c>
      <c r="F11" s="236">
        <f t="shared" si="2"/>
        <v>-9.4866515587230138E-2</v>
      </c>
      <c r="G11" s="237">
        <f t="shared" si="3"/>
        <v>87.212206882022471</v>
      </c>
      <c r="H11" s="235">
        <f>AVERAGE(H7:H10)</f>
        <v>0.72449980932733182</v>
      </c>
      <c r="I11" s="236">
        <f t="shared" si="4"/>
        <v>-7.5700240685171227E-2</v>
      </c>
      <c r="J11" s="237">
        <f t="shared" si="5"/>
        <v>90.539835546874997</v>
      </c>
      <c r="K11" s="235">
        <f>AVERAGE(K7:K10)</f>
        <v>0.65416543615070433</v>
      </c>
      <c r="L11" s="236">
        <f t="shared" si="6"/>
        <v>-8.7686693548387096E-2</v>
      </c>
      <c r="M11" s="237">
        <f t="shared" si="7"/>
        <v>88.180030758426966</v>
      </c>
      <c r="N11" s="235">
        <f>AVERAGE(N7:N10)</f>
        <v>0.34093698632991576</v>
      </c>
      <c r="O11" s="236">
        <f t="shared" si="8"/>
        <v>-5.0827621488705566E-2</v>
      </c>
      <c r="P11" s="237">
        <f t="shared" si="9"/>
        <v>87.025979255319129</v>
      </c>
      <c r="Q11" s="109"/>
    </row>
    <row r="12" spans="1:19" s="96" customFormat="1" ht="15.75" x14ac:dyDescent="0.25">
      <c r="A12" s="110" t="s">
        <v>24</v>
      </c>
      <c r="B12" s="102">
        <f>B25*$B$32/100/$B$33</f>
        <v>0.81185515128782182</v>
      </c>
      <c r="C12" s="107">
        <f t="shared" si="0"/>
        <v>0.11168010752688162</v>
      </c>
      <c r="D12" s="108">
        <f t="shared" si="1"/>
        <v>115.95031249999998</v>
      </c>
      <c r="E12" s="102">
        <f>E25*$B$32/100/$B$33</f>
        <v>0.89139871217804445</v>
      </c>
      <c r="F12" s="107">
        <f t="shared" si="2"/>
        <v>0.14954658247895303</v>
      </c>
      <c r="G12" s="108">
        <f t="shared" si="3"/>
        <v>120.15854325842696</v>
      </c>
      <c r="H12" s="102">
        <f>H25*$B$32/100/$B$33</f>
        <v>1.0139979619904975</v>
      </c>
      <c r="I12" s="107">
        <f t="shared" si="4"/>
        <v>0.21379791197799447</v>
      </c>
      <c r="J12" s="108">
        <f t="shared" si="5"/>
        <v>126.71805781250001</v>
      </c>
      <c r="K12" s="102">
        <f>K25*$B$32/100/$B$33</f>
        <v>0.79726000250062523</v>
      </c>
      <c r="L12" s="107">
        <f t="shared" si="6"/>
        <v>5.5407872801533808E-2</v>
      </c>
      <c r="M12" s="108">
        <f t="shared" si="7"/>
        <v>107.46885674157305</v>
      </c>
      <c r="N12" s="102">
        <f>N25*$B$32/100/$B$33</f>
        <v>0.38640656414103525</v>
      </c>
      <c r="O12" s="107">
        <f t="shared" si="8"/>
        <v>-5.3580436775860774E-3</v>
      </c>
      <c r="P12" s="108">
        <f t="shared" si="9"/>
        <v>98.632330851063827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1.3139170625989831</v>
      </c>
      <c r="F13" s="107">
        <f t="shared" si="2"/>
        <v>0.57206493289989169</v>
      </c>
      <c r="G13" s="108">
        <f t="shared" si="3"/>
        <v>177.11306741573034</v>
      </c>
      <c r="H13" s="102">
        <f>H26*$B$34/$B$33</f>
        <v>1.3765387596899226</v>
      </c>
      <c r="I13" s="107">
        <f t="shared" si="4"/>
        <v>0.57633870967741951</v>
      </c>
      <c r="J13" s="108">
        <f t="shared" si="5"/>
        <v>172.02432812500004</v>
      </c>
      <c r="K13" s="102">
        <f>K26*$B$34/$B$33</f>
        <v>1.2000594315245479</v>
      </c>
      <c r="L13" s="107">
        <f t="shared" si="6"/>
        <v>0.45820730182545644</v>
      </c>
      <c r="M13" s="108">
        <f t="shared" si="7"/>
        <v>161.76531460674158</v>
      </c>
      <c r="N13" s="102">
        <f>N26*$B$34/$B$33</f>
        <v>0.57498103692589808</v>
      </c>
      <c r="O13" s="107">
        <f t="shared" si="8"/>
        <v>0.18321642910727676</v>
      </c>
      <c r="P13" s="108">
        <f t="shared" si="9"/>
        <v>146.76696808510636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1.1727336000666835</v>
      </c>
      <c r="F14" s="107">
        <f t="shared" si="2"/>
        <v>0.43088147036759206</v>
      </c>
      <c r="G14" s="108">
        <f t="shared" si="3"/>
        <v>158.08185393258429</v>
      </c>
      <c r="H14" s="102">
        <f>H27*$B$34/$B$33</f>
        <v>1.3013927231807951</v>
      </c>
      <c r="I14" s="107">
        <f t="shared" si="4"/>
        <v>0.50119267316829208</v>
      </c>
      <c r="J14" s="108">
        <f t="shared" si="5"/>
        <v>162.63342187500001</v>
      </c>
      <c r="K14" s="102">
        <f>K27*$B$34/$B$33</f>
        <v>1.0361044427773611</v>
      </c>
      <c r="L14" s="107">
        <f t="shared" si="6"/>
        <v>0.29425231307826971</v>
      </c>
      <c r="M14" s="108">
        <f t="shared" si="7"/>
        <v>139.66455056179777</v>
      </c>
      <c r="N14" s="102">
        <f>N27*$B$34/$B$33</f>
        <v>0.56814957906143204</v>
      </c>
      <c r="O14" s="107">
        <f t="shared" si="8"/>
        <v>0.17638497124281072</v>
      </c>
      <c r="P14" s="108">
        <f t="shared" si="9"/>
        <v>145.02320212765957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1.0894610319246478</v>
      </c>
      <c r="F15" s="119">
        <f t="shared" si="2"/>
        <v>0.3476089022255564</v>
      </c>
      <c r="G15" s="120">
        <f t="shared" si="3"/>
        <v>146.8568988764045</v>
      </c>
      <c r="H15" s="118">
        <f>H28*$B$35/10/$B$33</f>
        <v>1.1530977744436111</v>
      </c>
      <c r="I15" s="119">
        <f t="shared" si="4"/>
        <v>0.35289772443110801</v>
      </c>
      <c r="J15" s="120">
        <f t="shared" si="5"/>
        <v>144.10118750000004</v>
      </c>
      <c r="K15" s="118">
        <f>K28*$B$35/10/$B$33</f>
        <v>1.0792791531216137</v>
      </c>
      <c r="L15" s="119">
        <f t="shared" si="6"/>
        <v>0.33742702342252229</v>
      </c>
      <c r="M15" s="120">
        <f t="shared" si="7"/>
        <v>145.48440449438203</v>
      </c>
      <c r="N15" s="118">
        <f>N28*$B$35/10/$B$33</f>
        <v>0.50400300075018756</v>
      </c>
      <c r="O15" s="119">
        <f t="shared" si="8"/>
        <v>0.11223839293156623</v>
      </c>
      <c r="P15" s="120">
        <f t="shared" si="9"/>
        <v>128.64944680851065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7" t="s">
        <v>214</v>
      </c>
      <c r="X19" s="39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42.81</v>
      </c>
      <c r="C21" s="144" t="s">
        <v>172</v>
      </c>
      <c r="D21" s="145" t="s">
        <v>172</v>
      </c>
      <c r="E21" s="143">
        <v>47.21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47.27</v>
      </c>
      <c r="L21" s="144" t="s">
        <v>172</v>
      </c>
      <c r="M21" s="145" t="s">
        <v>172</v>
      </c>
      <c r="N21" s="143">
        <v>24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42.95</v>
      </c>
      <c r="C22" s="144" t="s">
        <v>172</v>
      </c>
      <c r="D22" s="145" t="s">
        <v>172</v>
      </c>
      <c r="E22" s="143">
        <v>46.25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46.25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43.48</v>
      </c>
      <c r="C23" s="144" t="s">
        <v>172</v>
      </c>
      <c r="D23" s="145" t="s">
        <v>172</v>
      </c>
      <c r="E23" s="143">
        <v>46.63</v>
      </c>
      <c r="F23" s="144" t="s">
        <v>172</v>
      </c>
      <c r="G23" s="145" t="s">
        <v>172</v>
      </c>
      <c r="H23" s="143">
        <v>51.5</v>
      </c>
      <c r="I23" s="144" t="s">
        <v>172</v>
      </c>
      <c r="J23" s="145" t="s">
        <v>172</v>
      </c>
      <c r="K23" s="143">
        <v>46.26</v>
      </c>
      <c r="L23" s="144" t="s">
        <v>172</v>
      </c>
      <c r="M23" s="145" t="s">
        <v>172</v>
      </c>
      <c r="N23" s="143">
        <v>26.49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42.54</v>
      </c>
      <c r="C24" s="144" t="s">
        <v>172</v>
      </c>
      <c r="D24" s="145" t="s">
        <v>172</v>
      </c>
      <c r="E24" s="143">
        <v>45.54</v>
      </c>
      <c r="F24" s="144" t="s">
        <v>172</v>
      </c>
      <c r="G24" s="145" t="s">
        <v>172</v>
      </c>
      <c r="H24" s="143">
        <v>51.9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22.53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21.85</v>
      </c>
      <c r="L25" s="144" t="s">
        <v>172</v>
      </c>
      <c r="M25" s="145" t="s">
        <v>172</v>
      </c>
      <c r="N25" s="143">
        <v>10.59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1.1539999999999999</v>
      </c>
      <c r="F26" s="144" t="s">
        <v>172</v>
      </c>
      <c r="G26" s="145" t="s">
        <v>172</v>
      </c>
      <c r="H26" s="153">
        <v>1.2090000000000001</v>
      </c>
      <c r="I26" s="144" t="s">
        <v>172</v>
      </c>
      <c r="J26" s="145" t="s">
        <v>172</v>
      </c>
      <c r="K26" s="153">
        <v>1.054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</v>
      </c>
      <c r="F27" s="144" t="s">
        <v>172</v>
      </c>
      <c r="G27" s="145" t="s">
        <v>172</v>
      </c>
      <c r="H27" s="153">
        <v>1.143</v>
      </c>
      <c r="I27" s="144" t="s">
        <v>172</v>
      </c>
      <c r="J27" s="145" t="s">
        <v>172</v>
      </c>
      <c r="K27" s="153">
        <v>0.91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4.28</v>
      </c>
      <c r="F28" s="158" t="s">
        <v>172</v>
      </c>
      <c r="G28" s="159" t="s">
        <v>172</v>
      </c>
      <c r="H28" s="234">
        <v>4.53</v>
      </c>
      <c r="I28" s="158" t="s">
        <v>172</v>
      </c>
      <c r="J28" s="159" t="s">
        <v>172</v>
      </c>
      <c r="K28" s="234">
        <v>4.24</v>
      </c>
      <c r="L28" s="158" t="s">
        <v>172</v>
      </c>
      <c r="M28" s="159" t="s">
        <v>172</v>
      </c>
      <c r="N28" s="234">
        <v>1.98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8.7548999999999992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2.3994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2.7319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6.1075999999999997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3.3451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D11" sqref="D11:M1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44039</v>
      </c>
      <c r="E2" s="493"/>
      <c r="F2" s="395"/>
      <c r="G2" s="395"/>
      <c r="H2" s="395"/>
      <c r="I2" s="395"/>
      <c r="J2" s="395"/>
      <c r="K2" s="395"/>
      <c r="L2" s="395"/>
      <c r="M2" s="395"/>
      <c r="N2" s="395"/>
      <c r="O2" s="395"/>
      <c r="P2" s="395"/>
      <c r="Q2" s="395"/>
      <c r="R2" s="39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0.70298769771528991</v>
      </c>
      <c r="C6" s="103" t="s">
        <v>172</v>
      </c>
      <c r="D6" s="104" t="s">
        <v>172</v>
      </c>
      <c r="E6" s="102">
        <f>E20/$B$33</f>
        <v>0.74483220353167623</v>
      </c>
      <c r="F6" s="103" t="s">
        <v>172</v>
      </c>
      <c r="G6" s="104" t="s">
        <v>172</v>
      </c>
      <c r="H6" s="102">
        <f>H20/$B$33</f>
        <v>0.80341451167461708</v>
      </c>
      <c r="I6" s="103" t="s">
        <v>172</v>
      </c>
      <c r="J6" s="104" t="s">
        <v>172</v>
      </c>
      <c r="K6" s="102">
        <f>K20/$B$33</f>
        <v>0.74483220353167623</v>
      </c>
      <c r="L6" s="103" t="s">
        <v>172</v>
      </c>
      <c r="M6" s="104" t="s">
        <v>172</v>
      </c>
      <c r="N6" s="102">
        <f>N20/$B$33</f>
        <v>0.39333835467403128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0.60123231232739138</v>
      </c>
      <c r="C7" s="107">
        <f t="shared" ref="C7:C12" si="0">B7-B$6</f>
        <v>-0.10175538538789852</v>
      </c>
      <c r="D7" s="108">
        <f t="shared" ref="D7:D12" si="1">B7/B$6*100</f>
        <v>85.525296428571423</v>
      </c>
      <c r="E7" s="102">
        <f>E21*$B$36/100/$B$33</f>
        <v>0.66356369570675366</v>
      </c>
      <c r="F7" s="107">
        <f t="shared" ref="F7:F15" si="2">E7-E$6</f>
        <v>-8.1268507824922565E-2</v>
      </c>
      <c r="G7" s="108">
        <f t="shared" ref="G7:G15" si="3">E7/E$6*100</f>
        <v>89.089017977528101</v>
      </c>
      <c r="H7" s="102">
        <f>H21*$B$36/100/$B$33</f>
        <v>0.73609730102937487</v>
      </c>
      <c r="I7" s="107">
        <f t="shared" ref="I7:I15" si="4">H7-H$6</f>
        <v>-6.7317210645242209E-2</v>
      </c>
      <c r="J7" s="108">
        <f t="shared" ref="J7:J15" si="5">H7/H$6*100</f>
        <v>91.621110937500006</v>
      </c>
      <c r="K7" s="102">
        <f>K21*$B$36/100/$B$33</f>
        <v>0.66034929701230227</v>
      </c>
      <c r="L7" s="107">
        <f t="shared" ref="L7:L15" si="6">K7-K$6</f>
        <v>-8.4482906519373957E-2</v>
      </c>
      <c r="M7" s="108">
        <f t="shared" ref="M7:M15" si="7">K7/K$6*100</f>
        <v>88.657457865168539</v>
      </c>
      <c r="N7" s="102">
        <f>N21*$B$36/100/$B$33</f>
        <v>0.33122282199347225</v>
      </c>
      <c r="O7" s="107">
        <f t="shared" ref="O7:O15" si="8">N7-N$6</f>
        <v>-6.2115532680559027E-2</v>
      </c>
      <c r="P7" s="108">
        <f t="shared" ref="P7:P15" si="9">N7/N$6*100</f>
        <v>84.208117021276593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0.60249012051217676</v>
      </c>
      <c r="C8" s="107">
        <f t="shared" si="0"/>
        <v>-0.10049757720311314</v>
      </c>
      <c r="D8" s="108">
        <f t="shared" si="1"/>
        <v>85.704219642857154</v>
      </c>
      <c r="E8" s="102">
        <f>E22*$B$36/100/$B$33</f>
        <v>0.65000731860406724</v>
      </c>
      <c r="F8" s="107">
        <f t="shared" si="2"/>
        <v>-9.4824884927608988E-2</v>
      </c>
      <c r="G8" s="108">
        <f t="shared" si="3"/>
        <v>87.268960112359551</v>
      </c>
      <c r="H8" s="102">
        <f>H22*$B$36/100/$B$33</f>
        <v>0.72393848857644993</v>
      </c>
      <c r="I8" s="107">
        <f t="shared" si="4"/>
        <v>-7.9476023098167148E-2</v>
      </c>
      <c r="J8" s="108">
        <f t="shared" si="5"/>
        <v>90.107718750000004</v>
      </c>
      <c r="K8" s="102">
        <f>K22*$B$36/100/$B$33</f>
        <v>0.64539535525985425</v>
      </c>
      <c r="L8" s="107">
        <f t="shared" si="6"/>
        <v>-9.9436848271821976E-2</v>
      </c>
      <c r="M8" s="108">
        <f t="shared" si="7"/>
        <v>86.649765168539318</v>
      </c>
      <c r="N8" s="102">
        <f>N22*$B$36/100/$B$33</f>
        <v>0.34659603314084858</v>
      </c>
      <c r="O8" s="107">
        <f t="shared" si="8"/>
        <v>-4.6742321533182696E-2</v>
      </c>
      <c r="P8" s="108">
        <f t="shared" si="9"/>
        <v>88.116510638297868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0.60612378860155658</v>
      </c>
      <c r="C9" s="107">
        <f t="shared" si="0"/>
        <v>-9.6863909113733326E-2</v>
      </c>
      <c r="D9" s="108">
        <f t="shared" si="1"/>
        <v>86.221108928571439</v>
      </c>
      <c r="E9" s="102">
        <f>E23*$B$36/100/$B$33</f>
        <v>0.6508458573939242</v>
      </c>
      <c r="F9" s="107">
        <f t="shared" si="2"/>
        <v>-9.398634613775203E-2</v>
      </c>
      <c r="G9" s="108">
        <f t="shared" si="3"/>
        <v>87.381541011235967</v>
      </c>
      <c r="H9" s="102">
        <f>H23*$B$36/100/$B$33</f>
        <v>0.71974579462716548</v>
      </c>
      <c r="I9" s="107">
        <f t="shared" si="4"/>
        <v>-8.3668717047451602E-2</v>
      </c>
      <c r="J9" s="108">
        <f t="shared" si="5"/>
        <v>89.585859375000013</v>
      </c>
      <c r="K9" s="102">
        <f>K23*$B$36/100/$B$33</f>
        <v>0.64707243283956806</v>
      </c>
      <c r="L9" s="107">
        <f t="shared" si="6"/>
        <v>-9.7759770692108172E-2</v>
      </c>
      <c r="M9" s="108">
        <f t="shared" si="7"/>
        <v>86.874926966292136</v>
      </c>
      <c r="N9" s="102">
        <f>N23*$B$36/100/$B$33</f>
        <v>0.37021487572181766</v>
      </c>
      <c r="O9" s="107">
        <f t="shared" si="8"/>
        <v>-2.3123478952213616E-2</v>
      </c>
      <c r="P9" s="108">
        <f t="shared" si="9"/>
        <v>94.121224468085103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0.59801791363293999</v>
      </c>
      <c r="C10" s="107">
        <f t="shared" si="0"/>
        <v>-0.10496978408234992</v>
      </c>
      <c r="D10" s="108">
        <f t="shared" si="1"/>
        <v>85.068048214285724</v>
      </c>
      <c r="E10" s="102">
        <f>E24*$B$36/100/$B$33</f>
        <v>0.63631118503640471</v>
      </c>
      <c r="F10" s="107">
        <f t="shared" si="2"/>
        <v>-0.10852101849527152</v>
      </c>
      <c r="G10" s="108">
        <f t="shared" si="3"/>
        <v>85.430138764044955</v>
      </c>
      <c r="H10" s="102">
        <f>H24*$B$36/100/$B$33</f>
        <v>0.72813118252573439</v>
      </c>
      <c r="I10" s="107">
        <f t="shared" si="4"/>
        <v>-7.5283329148882694E-2</v>
      </c>
      <c r="J10" s="108">
        <f t="shared" si="5"/>
        <v>90.629578125000009</v>
      </c>
      <c r="K10" s="102">
        <f>K24*$B$36/100/$B$33</f>
        <v>0.66957322370072792</v>
      </c>
      <c r="L10" s="107">
        <f t="shared" si="6"/>
        <v>-7.5258979830948314E-2</v>
      </c>
      <c r="M10" s="108">
        <f t="shared" si="7"/>
        <v>89.895847752808976</v>
      </c>
      <c r="N10" s="102">
        <f>N24*$B$36/100/$B$33</f>
        <v>0.31794595782073815</v>
      </c>
      <c r="O10" s="107">
        <f t="shared" si="8"/>
        <v>-7.5392396853293131E-2</v>
      </c>
      <c r="P10" s="108">
        <f t="shared" si="9"/>
        <v>80.832686170212781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0.60196603376851621</v>
      </c>
      <c r="C11" s="236">
        <f t="shared" si="0"/>
        <v>-0.1010216639467737</v>
      </c>
      <c r="D11" s="237">
        <f t="shared" si="1"/>
        <v>85.629668303571435</v>
      </c>
      <c r="E11" s="235">
        <f>AVERAGE(E7:E10)</f>
        <v>0.65018201418528743</v>
      </c>
      <c r="F11" s="236">
        <f t="shared" si="2"/>
        <v>-9.4650189346388802E-2</v>
      </c>
      <c r="G11" s="237">
        <f t="shared" si="3"/>
        <v>87.292414466292129</v>
      </c>
      <c r="H11" s="235">
        <f>AVERAGE(H7:H10)</f>
        <v>0.72697819168968114</v>
      </c>
      <c r="I11" s="236">
        <f t="shared" si="4"/>
        <v>-7.6436319984935941E-2</v>
      </c>
      <c r="J11" s="237">
        <f t="shared" si="5"/>
        <v>90.486066796875008</v>
      </c>
      <c r="K11" s="235">
        <f>AVERAGE(K7:K10)</f>
        <v>0.65559757720311307</v>
      </c>
      <c r="L11" s="236">
        <f t="shared" si="6"/>
        <v>-8.923462632856316E-2</v>
      </c>
      <c r="M11" s="237">
        <f t="shared" si="7"/>
        <v>88.019499438202232</v>
      </c>
      <c r="N11" s="235">
        <f>AVERAGE(N7:N10)</f>
        <v>0.34149492216921917</v>
      </c>
      <c r="O11" s="236">
        <f t="shared" si="8"/>
        <v>-5.1843432504812104E-2</v>
      </c>
      <c r="P11" s="237">
        <f t="shared" si="9"/>
        <v>86.819634574468083</v>
      </c>
      <c r="Q11" s="109"/>
    </row>
    <row r="12" spans="1:19" s="96" customFormat="1" ht="15.75" x14ac:dyDescent="0.25">
      <c r="A12" s="110" t="s">
        <v>24</v>
      </c>
      <c r="B12" s="102">
        <f>B25*$B$32/100/$B$33</f>
        <v>0.80014530504644721</v>
      </c>
      <c r="C12" s="107">
        <f t="shared" si="0"/>
        <v>9.7157607331157303E-2</v>
      </c>
      <c r="D12" s="108">
        <f t="shared" si="1"/>
        <v>113.82066964285713</v>
      </c>
      <c r="E12" s="102">
        <f>E25*$B$32/100/$B$33</f>
        <v>0.87854156414762719</v>
      </c>
      <c r="F12" s="107">
        <f t="shared" si="2"/>
        <v>0.13370936061595096</v>
      </c>
      <c r="G12" s="108">
        <f t="shared" si="3"/>
        <v>117.95160842696629</v>
      </c>
      <c r="H12" s="102">
        <f>H25*$B$32/100/$B$33</f>
        <v>0.99937249560632657</v>
      </c>
      <c r="I12" s="107">
        <f t="shared" si="4"/>
        <v>0.19595798393170949</v>
      </c>
      <c r="J12" s="108">
        <f t="shared" si="5"/>
        <v>124.39064531249997</v>
      </c>
      <c r="K12" s="102">
        <f>K25*$B$32/100/$B$33</f>
        <v>0.80014530504644721</v>
      </c>
      <c r="L12" s="107">
        <f t="shared" si="6"/>
        <v>5.5313101514770979E-2</v>
      </c>
      <c r="M12" s="108">
        <f t="shared" si="7"/>
        <v>107.42625</v>
      </c>
      <c r="N12" s="102">
        <f>N25*$B$32/100/$B$33</f>
        <v>0.38083320361536527</v>
      </c>
      <c r="O12" s="107">
        <f t="shared" si="8"/>
        <v>-1.2505151058666009E-2</v>
      </c>
      <c r="P12" s="108">
        <f t="shared" si="9"/>
        <v>96.820764893617024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1.3381242781822746</v>
      </c>
      <c r="F13" s="107">
        <f t="shared" si="2"/>
        <v>0.59329207465059841</v>
      </c>
      <c r="G13" s="108">
        <f t="shared" si="3"/>
        <v>179.65446067415732</v>
      </c>
      <c r="H13" s="102">
        <f>H26*$B$34/$B$33</f>
        <v>1.4076974642229476</v>
      </c>
      <c r="I13" s="107">
        <f t="shared" si="4"/>
        <v>0.60428295254833053</v>
      </c>
      <c r="J13" s="108">
        <f t="shared" si="5"/>
        <v>175.21434375000001</v>
      </c>
      <c r="K13" s="102">
        <f>K26*$B$34/$B$33</f>
        <v>1.2221689681144867</v>
      </c>
      <c r="L13" s="107">
        <f t="shared" si="6"/>
        <v>0.47733676458281049</v>
      </c>
      <c r="M13" s="108">
        <f t="shared" si="7"/>
        <v>164.08648314606745</v>
      </c>
      <c r="N13" s="102">
        <f>N26*$B$34/$B$33</f>
        <v>0.58557431584232988</v>
      </c>
      <c r="O13" s="107">
        <f t="shared" si="8"/>
        <v>0.19223596116829861</v>
      </c>
      <c r="P13" s="108">
        <f t="shared" si="9"/>
        <v>148.87292553191489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1.2059352247049964</v>
      </c>
      <c r="F14" s="107">
        <f t="shared" si="2"/>
        <v>0.46110302117332014</v>
      </c>
      <c r="G14" s="108">
        <f t="shared" si="3"/>
        <v>161.90696629213485</v>
      </c>
      <c r="H14" s="102">
        <f>H27*$B$34/$B$33</f>
        <v>1.3033376851619383</v>
      </c>
      <c r="I14" s="107">
        <f t="shared" si="4"/>
        <v>0.49992317348732118</v>
      </c>
      <c r="J14" s="108">
        <f t="shared" si="5"/>
        <v>162.22481250000001</v>
      </c>
      <c r="K14" s="102">
        <f>K27*$B$34/$B$33</f>
        <v>1.0667888526236506</v>
      </c>
      <c r="L14" s="107">
        <f t="shared" si="6"/>
        <v>0.32195664909197441</v>
      </c>
      <c r="M14" s="108">
        <f t="shared" si="7"/>
        <v>143.225393258427</v>
      </c>
      <c r="N14" s="102">
        <f>N27*$B$34/$B$33</f>
        <v>0.57977655033894049</v>
      </c>
      <c r="O14" s="107">
        <f t="shared" si="8"/>
        <v>0.18643819566490921</v>
      </c>
      <c r="P14" s="108">
        <f t="shared" si="9"/>
        <v>147.39893617021278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1.141588166373755</v>
      </c>
      <c r="F15" s="119">
        <f t="shared" si="2"/>
        <v>0.39675596284207881</v>
      </c>
      <c r="G15" s="120">
        <f t="shared" si="3"/>
        <v>153.26783146067416</v>
      </c>
      <c r="H15" s="118">
        <f>H28*$B$35/10/$B$33</f>
        <v>1.1941959159762323</v>
      </c>
      <c r="I15" s="119">
        <f t="shared" si="4"/>
        <v>0.39078140430161523</v>
      </c>
      <c r="J15" s="120">
        <f t="shared" si="5"/>
        <v>148.64007291666667</v>
      </c>
      <c r="K15" s="118">
        <f>K28*$B$35/10/$B$33</f>
        <v>1.1258058414930121</v>
      </c>
      <c r="L15" s="119">
        <f t="shared" si="6"/>
        <v>0.38097363796133588</v>
      </c>
      <c r="M15" s="120">
        <f t="shared" si="7"/>
        <v>151.14892134831464</v>
      </c>
      <c r="N15" s="118">
        <f>N28*$B$35/10/$B$33</f>
        <v>0.52607749602477194</v>
      </c>
      <c r="O15" s="119">
        <f t="shared" si="8"/>
        <v>0.13273914135074066</v>
      </c>
      <c r="P15" s="120">
        <f t="shared" si="9"/>
        <v>133.74680851063829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7" t="s">
        <v>214</v>
      </c>
      <c r="X19" s="39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47.48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47.25</v>
      </c>
      <c r="L21" s="144" t="s">
        <v>172</v>
      </c>
      <c r="M21" s="145" t="s">
        <v>172</v>
      </c>
      <c r="N21" s="143">
        <v>23.7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43.11</v>
      </c>
      <c r="C22" s="144" t="s">
        <v>172</v>
      </c>
      <c r="D22" s="145" t="s">
        <v>172</v>
      </c>
      <c r="E22" s="143">
        <v>46.51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46.18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43.37</v>
      </c>
      <c r="C23" s="144" t="s">
        <v>172</v>
      </c>
      <c r="D23" s="145" t="s">
        <v>172</v>
      </c>
      <c r="E23" s="143">
        <v>46.57</v>
      </c>
      <c r="F23" s="144" t="s">
        <v>172</v>
      </c>
      <c r="G23" s="145" t="s">
        <v>172</v>
      </c>
      <c r="H23" s="143">
        <v>51.5</v>
      </c>
      <c r="I23" s="144" t="s">
        <v>172</v>
      </c>
      <c r="J23" s="145" t="s">
        <v>172</v>
      </c>
      <c r="K23" s="143">
        <v>46.3</v>
      </c>
      <c r="L23" s="144" t="s">
        <v>172</v>
      </c>
      <c r="M23" s="145" t="s">
        <v>172</v>
      </c>
      <c r="N23" s="143">
        <v>26.49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42.79</v>
      </c>
      <c r="C24" s="144" t="s">
        <v>172</v>
      </c>
      <c r="D24" s="145" t="s">
        <v>172</v>
      </c>
      <c r="E24" s="143">
        <v>45.53</v>
      </c>
      <c r="F24" s="144" t="s">
        <v>172</v>
      </c>
      <c r="G24" s="145" t="s">
        <v>172</v>
      </c>
      <c r="H24" s="143">
        <v>52.1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22.75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22.25</v>
      </c>
      <c r="L25" s="144" t="s">
        <v>172</v>
      </c>
      <c r="M25" s="145" t="s">
        <v>172</v>
      </c>
      <c r="N25" s="143">
        <v>10.59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1.1539999999999999</v>
      </c>
      <c r="F26" s="144" t="s">
        <v>172</v>
      </c>
      <c r="G26" s="145" t="s">
        <v>172</v>
      </c>
      <c r="H26" s="153">
        <v>1.214</v>
      </c>
      <c r="I26" s="144" t="s">
        <v>172</v>
      </c>
      <c r="J26" s="145" t="s">
        <v>172</v>
      </c>
      <c r="K26" s="153">
        <v>1.054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</v>
      </c>
      <c r="F27" s="144" t="s">
        <v>172</v>
      </c>
      <c r="G27" s="145" t="s">
        <v>172</v>
      </c>
      <c r="H27" s="153">
        <v>1.1240000000000001</v>
      </c>
      <c r="I27" s="144" t="s">
        <v>172</v>
      </c>
      <c r="J27" s="145" t="s">
        <v>172</v>
      </c>
      <c r="K27" s="153">
        <v>0.92</v>
      </c>
      <c r="L27" s="144" t="s">
        <v>172</v>
      </c>
      <c r="M27" s="145" t="s">
        <v>172</v>
      </c>
      <c r="N27" s="153">
        <v>0.5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4.34</v>
      </c>
      <c r="F28" s="158" t="s">
        <v>172</v>
      </c>
      <c r="G28" s="159" t="s">
        <v>172</v>
      </c>
      <c r="H28" s="234">
        <v>4.54</v>
      </c>
      <c r="I28" s="158" t="s">
        <v>172</v>
      </c>
      <c r="J28" s="159" t="s">
        <v>172</v>
      </c>
      <c r="K28" s="234">
        <v>4.28</v>
      </c>
      <c r="L28" s="158" t="s">
        <v>172</v>
      </c>
      <c r="M28" s="159" t="s">
        <v>172</v>
      </c>
      <c r="N28" s="234">
        <v>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8.5940999999999992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2.3898000000000001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2.7711000000000001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6.2861000000000002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3.3399000000000001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6" width="9.5703125" bestFit="1" customWidth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44046</v>
      </c>
      <c r="E2" s="493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0.6892307692307692</v>
      </c>
      <c r="C6" s="103" t="s">
        <v>172</v>
      </c>
      <c r="D6" s="104" t="s">
        <v>172</v>
      </c>
      <c r="E6" s="102">
        <f>E20/$B$33</f>
        <v>0.7302564102564103</v>
      </c>
      <c r="F6" s="103" t="s">
        <v>172</v>
      </c>
      <c r="G6" s="104" t="s">
        <v>172</v>
      </c>
      <c r="H6" s="102">
        <f>H20/$B$33</f>
        <v>0.78769230769230769</v>
      </c>
      <c r="I6" s="103" t="s">
        <v>172</v>
      </c>
      <c r="J6" s="104" t="s">
        <v>172</v>
      </c>
      <c r="K6" s="102">
        <f>K20/$B$33</f>
        <v>0.7302564102564103</v>
      </c>
      <c r="L6" s="103" t="s">
        <v>172</v>
      </c>
      <c r="M6" s="104" t="s">
        <v>172</v>
      </c>
      <c r="N6" s="102">
        <f>N20/$B$33</f>
        <v>0.38564102564102559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0.5851778953846154</v>
      </c>
      <c r="C7" s="107">
        <f t="shared" ref="C7:C12" si="0">B7-B$6</f>
        <v>-0.1040528738461538</v>
      </c>
      <c r="D7" s="108">
        <f t="shared" ref="D7:D12" si="1">B7/B$6*100</f>
        <v>84.903042857142864</v>
      </c>
      <c r="E7" s="102">
        <f>E21*$B$36/100/$B$33</f>
        <v>0.64530077538461528</v>
      </c>
      <c r="F7" s="107">
        <f t="shared" ref="F7:F15" si="2">E7-E$6</f>
        <v>-8.4955634871795027E-2</v>
      </c>
      <c r="G7" s="108">
        <f t="shared" ref="G7:G15" si="3">E7/E$6*100</f>
        <v>88.366328089887631</v>
      </c>
      <c r="H7" s="102">
        <f>H21*$B$36/100/$B$33</f>
        <v>0.71644164923076925</v>
      </c>
      <c r="I7" s="107">
        <f t="shared" ref="I7:I15" si="4">H7-H$6</f>
        <v>-7.1250658461538441E-2</v>
      </c>
      <c r="J7" s="108">
        <f t="shared" ref="J7:J15" si="5">H7/H$6*100</f>
        <v>90.954506249999994</v>
      </c>
      <c r="K7" s="102">
        <f>K21*$B$36/100/$B$33</f>
        <v>0.64407655384615392</v>
      </c>
      <c r="L7" s="107">
        <f t="shared" ref="L7:L15" si="6">K7-K$6</f>
        <v>-8.6179856410256384E-2</v>
      </c>
      <c r="M7" s="108">
        <f t="shared" ref="M7:M15" si="7">K7/K$6*100</f>
        <v>88.19868539325843</v>
      </c>
      <c r="N7" s="102">
        <f>N21*$B$36/100/$B$33</f>
        <v>0.31584915692307691</v>
      </c>
      <c r="O7" s="107">
        <f t="shared" ref="O7:O15" si="8">N7-N$6</f>
        <v>-6.979186871794868E-2</v>
      </c>
      <c r="P7" s="108">
        <f t="shared" ref="P7:P15" si="9">N7/N$6*100</f>
        <v>81.902374468085114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0.58653814153846162</v>
      </c>
      <c r="C8" s="107">
        <f t="shared" si="0"/>
        <v>-0.10269262769230758</v>
      </c>
      <c r="D8" s="108">
        <f t="shared" si="1"/>
        <v>85.100400000000022</v>
      </c>
      <c r="E8" s="102">
        <f>E22*$B$36/100/$B$33</f>
        <v>0.63278651076923076</v>
      </c>
      <c r="F8" s="107">
        <f t="shared" si="2"/>
        <v>-9.7469899487179545E-2</v>
      </c>
      <c r="G8" s="108">
        <f t="shared" si="3"/>
        <v>86.652647191011241</v>
      </c>
      <c r="H8" s="102">
        <f>H22*$B$36/100/$B$33</f>
        <v>0.70460750769230762</v>
      </c>
      <c r="I8" s="107">
        <f t="shared" si="4"/>
        <v>-8.308480000000007E-2</v>
      </c>
      <c r="J8" s="108">
        <f t="shared" si="5"/>
        <v>89.452124999999995</v>
      </c>
      <c r="K8" s="102">
        <f>K22*$B$36/100/$B$33</f>
        <v>0.6289778215384616</v>
      </c>
      <c r="L8" s="107">
        <f t="shared" si="6"/>
        <v>-0.1012785887179487</v>
      </c>
      <c r="M8" s="108">
        <f t="shared" si="7"/>
        <v>86.131092134831462</v>
      </c>
      <c r="N8" s="102">
        <f>N22*$B$36/100/$B$33</f>
        <v>0.33734104615384614</v>
      </c>
      <c r="O8" s="107">
        <f t="shared" si="8"/>
        <v>-4.8299979487179456E-2</v>
      </c>
      <c r="P8" s="108">
        <f t="shared" si="9"/>
        <v>87.475404255319162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0.59401949538461529</v>
      </c>
      <c r="C9" s="107">
        <f t="shared" si="0"/>
        <v>-9.521127384615391E-2</v>
      </c>
      <c r="D9" s="108">
        <f t="shared" si="1"/>
        <v>86.185864285714274</v>
      </c>
      <c r="E9" s="102">
        <f>E23*$B$36/100/$B$33</f>
        <v>0.63686724923076921</v>
      </c>
      <c r="F9" s="107">
        <f t="shared" si="2"/>
        <v>-9.3389161025641099E-2</v>
      </c>
      <c r="G9" s="108">
        <f t="shared" si="3"/>
        <v>87.211456179775269</v>
      </c>
      <c r="H9" s="102">
        <f>H23*$B$36/100/$B$33</f>
        <v>0.70311123692307698</v>
      </c>
      <c r="I9" s="107">
        <f t="shared" si="4"/>
        <v>-8.4581070769230715E-2</v>
      </c>
      <c r="J9" s="108">
        <f t="shared" si="5"/>
        <v>89.262168750000001</v>
      </c>
      <c r="K9" s="102">
        <f>K23*$B$36/100/$B$33</f>
        <v>0.63156228923076918</v>
      </c>
      <c r="L9" s="107">
        <f t="shared" si="6"/>
        <v>-9.8694121025641124E-2</v>
      </c>
      <c r="M9" s="108">
        <f t="shared" si="7"/>
        <v>86.485004494382011</v>
      </c>
      <c r="N9" s="102">
        <f>N23*$B$36/100/$B$33</f>
        <v>0.35366400000000003</v>
      </c>
      <c r="O9" s="107">
        <f t="shared" si="8"/>
        <v>-3.1977025641025558E-2</v>
      </c>
      <c r="P9" s="108">
        <f t="shared" si="9"/>
        <v>91.708085106382995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0.57932883692307691</v>
      </c>
      <c r="C10" s="107">
        <f t="shared" si="0"/>
        <v>-0.1099019323076923</v>
      </c>
      <c r="D10" s="108">
        <f t="shared" si="1"/>
        <v>84.054407142857144</v>
      </c>
      <c r="E10" s="102">
        <f>E24*$B$36/100/$B$33</f>
        <v>0.62040827076923077</v>
      </c>
      <c r="F10" s="107">
        <f t="shared" si="2"/>
        <v>-0.10984813948717953</v>
      </c>
      <c r="G10" s="108">
        <f t="shared" si="3"/>
        <v>84.957593258426968</v>
      </c>
      <c r="H10" s="102">
        <f>H24*$B$36/100/$B$33</f>
        <v>0.70868824615384618</v>
      </c>
      <c r="I10" s="107">
        <f t="shared" si="4"/>
        <v>-7.9004061538461512E-2</v>
      </c>
      <c r="J10" s="108">
        <f t="shared" si="5"/>
        <v>89.970187499999994</v>
      </c>
      <c r="K10" s="102">
        <f>K24*$B$36/100/$B$33</f>
        <v>0.65169393230769224</v>
      </c>
      <c r="L10" s="107">
        <f t="shared" si="6"/>
        <v>-7.8562477948718068E-2</v>
      </c>
      <c r="M10" s="108">
        <f t="shared" si="7"/>
        <v>89.241795505617958</v>
      </c>
      <c r="N10" s="102">
        <f>N24*$B$36/100/$B$33</f>
        <v>0.31734542769230767</v>
      </c>
      <c r="O10" s="107">
        <f t="shared" si="8"/>
        <v>-6.8295597948717923E-2</v>
      </c>
      <c r="P10" s="108">
        <f t="shared" si="9"/>
        <v>82.290370212765964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0.58626609230769233</v>
      </c>
      <c r="C11" s="236">
        <f t="shared" si="0"/>
        <v>-0.10296467692307687</v>
      </c>
      <c r="D11" s="237">
        <f t="shared" si="1"/>
        <v>85.060928571428576</v>
      </c>
      <c r="E11" s="235">
        <f>AVERAGE(E7:E10)</f>
        <v>0.6338407015384615</v>
      </c>
      <c r="F11" s="236">
        <f t="shared" si="2"/>
        <v>-9.64157087179488E-2</v>
      </c>
      <c r="G11" s="237">
        <f t="shared" si="3"/>
        <v>86.797006179775266</v>
      </c>
      <c r="H11" s="235">
        <f>AVERAGE(H7:H10)</f>
        <v>0.70821215999999998</v>
      </c>
      <c r="I11" s="236">
        <f t="shared" si="4"/>
        <v>-7.9480147692307712E-2</v>
      </c>
      <c r="J11" s="237">
        <f t="shared" si="5"/>
        <v>89.909746874999996</v>
      </c>
      <c r="K11" s="235">
        <f>AVERAGE(K7:K10)</f>
        <v>0.63907764923076926</v>
      </c>
      <c r="L11" s="236">
        <f t="shared" si="6"/>
        <v>-9.1178761025641042E-2</v>
      </c>
      <c r="M11" s="237">
        <f t="shared" si="7"/>
        <v>87.514144382022479</v>
      </c>
      <c r="N11" s="235">
        <f>AVERAGE(N7:N10)</f>
        <v>0.33104990769230769</v>
      </c>
      <c r="O11" s="236">
        <f t="shared" si="8"/>
        <v>-5.4591117948717904E-2</v>
      </c>
      <c r="P11" s="237">
        <f t="shared" si="9"/>
        <v>85.844058510638305</v>
      </c>
      <c r="Q11" s="109"/>
    </row>
    <row r="12" spans="1:19" s="96" customFormat="1" ht="15.75" x14ac:dyDescent="0.25">
      <c r="A12" s="110" t="s">
        <v>24</v>
      </c>
      <c r="B12" s="102">
        <f>B25*$B$32/100/$B$33</f>
        <v>0.82100666666666677</v>
      </c>
      <c r="C12" s="107">
        <f t="shared" si="0"/>
        <v>0.13177589743589757</v>
      </c>
      <c r="D12" s="108">
        <f t="shared" si="1"/>
        <v>119.11927083333336</v>
      </c>
      <c r="E12" s="102">
        <f>E25*$B$32/100/$B$33</f>
        <v>0.88163485128205132</v>
      </c>
      <c r="F12" s="107">
        <f t="shared" si="2"/>
        <v>0.15137844102564102</v>
      </c>
      <c r="G12" s="108">
        <f t="shared" si="3"/>
        <v>120.7294915730337</v>
      </c>
      <c r="H12" s="102">
        <f>H25*$B$32/100/$B$33</f>
        <v>1.0028912205128206</v>
      </c>
      <c r="I12" s="107">
        <f t="shared" si="4"/>
        <v>0.21519891282051296</v>
      </c>
      <c r="J12" s="108">
        <f t="shared" si="5"/>
        <v>127.32017447916668</v>
      </c>
      <c r="K12" s="102">
        <f>K25*$B$32/100/$B$33</f>
        <v>0.82100666666666677</v>
      </c>
      <c r="L12" s="107">
        <f t="shared" si="6"/>
        <v>9.0750256410256469E-2</v>
      </c>
      <c r="M12" s="108">
        <f t="shared" si="7"/>
        <v>112.42717696629214</v>
      </c>
      <c r="N12" s="102">
        <f>N25*$B$32/100/$B$33</f>
        <v>0.38758732307692312</v>
      </c>
      <c r="O12" s="107">
        <f t="shared" si="8"/>
        <v>1.946297435897526E-3</v>
      </c>
      <c r="P12" s="108">
        <f t="shared" si="9"/>
        <v>100.50469148936172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1.3843839999999998</v>
      </c>
      <c r="F13" s="107">
        <f t="shared" si="2"/>
        <v>0.65412758974358953</v>
      </c>
      <c r="G13" s="108">
        <f t="shared" si="3"/>
        <v>189.57505617977523</v>
      </c>
      <c r="H13" s="102">
        <f>H26*$B$34/$B$33</f>
        <v>1.4616906666666669</v>
      </c>
      <c r="I13" s="107">
        <f t="shared" si="4"/>
        <v>0.67399835897435922</v>
      </c>
      <c r="J13" s="108">
        <f t="shared" si="5"/>
        <v>185.56619791666671</v>
      </c>
      <c r="K13" s="102">
        <f>K26*$B$34/$B$33</f>
        <v>1.2654506666666667</v>
      </c>
      <c r="L13" s="107">
        <f t="shared" si="6"/>
        <v>0.53519425641025642</v>
      </c>
      <c r="M13" s="108">
        <f t="shared" si="7"/>
        <v>173.28853932584269</v>
      </c>
      <c r="N13" s="102">
        <f>N26*$B$34/$B$33</f>
        <v>0.60061333333333333</v>
      </c>
      <c r="O13" s="107">
        <f t="shared" si="8"/>
        <v>0.21497230769230774</v>
      </c>
      <c r="P13" s="108">
        <f t="shared" si="9"/>
        <v>155.74414893617023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1.2369066666666668</v>
      </c>
      <c r="F14" s="107">
        <f t="shared" si="2"/>
        <v>0.50665025641025652</v>
      </c>
      <c r="G14" s="108">
        <f t="shared" si="3"/>
        <v>169.37977528089888</v>
      </c>
      <c r="H14" s="102">
        <f>H27*$B$34/$B$33</f>
        <v>1.3724906666666665</v>
      </c>
      <c r="I14" s="107">
        <f t="shared" si="4"/>
        <v>0.58479835897435883</v>
      </c>
      <c r="J14" s="108">
        <f t="shared" si="5"/>
        <v>174.24197916666662</v>
      </c>
      <c r="K14" s="102">
        <f>K27*$B$34/$B$33</f>
        <v>1.1060800000000002</v>
      </c>
      <c r="L14" s="107">
        <f t="shared" si="6"/>
        <v>0.37582358974358987</v>
      </c>
      <c r="M14" s="108">
        <f t="shared" si="7"/>
        <v>151.46460674157305</v>
      </c>
      <c r="N14" s="102">
        <f>N27*$B$34/$B$33</f>
        <v>0.59466666666666668</v>
      </c>
      <c r="O14" s="107">
        <f t="shared" si="8"/>
        <v>0.20902564102564108</v>
      </c>
      <c r="P14" s="108">
        <f t="shared" si="9"/>
        <v>154.20212765957447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1.1736672820512821</v>
      </c>
      <c r="F15" s="119">
        <f t="shared" si="2"/>
        <v>0.44341087179487182</v>
      </c>
      <c r="G15" s="120">
        <f t="shared" si="3"/>
        <v>160.71988764044946</v>
      </c>
      <c r="H15" s="118">
        <f>H28*$B$35/10/$B$33</f>
        <v>1.2571161025641024</v>
      </c>
      <c r="I15" s="119">
        <f t="shared" si="4"/>
        <v>0.46942379487179475</v>
      </c>
      <c r="J15" s="120">
        <f t="shared" si="5"/>
        <v>159.59481770833332</v>
      </c>
      <c r="K15" s="118">
        <f>K28*$B$35/10/$B$33</f>
        <v>1.1548239999999999</v>
      </c>
      <c r="L15" s="119">
        <f t="shared" si="6"/>
        <v>0.42456758974358955</v>
      </c>
      <c r="M15" s="120">
        <f t="shared" si="7"/>
        <v>158.13952247191008</v>
      </c>
      <c r="N15" s="118">
        <f>N28*$B$35/10/$B$33</f>
        <v>0.53299569230769228</v>
      </c>
      <c r="O15" s="119">
        <f t="shared" si="8"/>
        <v>0.14735466666666669</v>
      </c>
      <c r="P15" s="120">
        <f t="shared" si="9"/>
        <v>138.21031914893618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9" t="s">
        <v>214</v>
      </c>
      <c r="X19" s="399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47.44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47.35</v>
      </c>
      <c r="L21" s="144" t="s">
        <v>172</v>
      </c>
      <c r="M21" s="145" t="s">
        <v>172</v>
      </c>
      <c r="N21" s="143">
        <v>23.22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43.12</v>
      </c>
      <c r="C22" s="144" t="s">
        <v>172</v>
      </c>
      <c r="D22" s="145" t="s">
        <v>172</v>
      </c>
      <c r="E22" s="143">
        <v>46.52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46.24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43.67</v>
      </c>
      <c r="C23" s="144" t="s">
        <v>172</v>
      </c>
      <c r="D23" s="145" t="s">
        <v>172</v>
      </c>
      <c r="E23" s="143">
        <v>46.82</v>
      </c>
      <c r="F23" s="144" t="s">
        <v>172</v>
      </c>
      <c r="G23" s="145" t="s">
        <v>172</v>
      </c>
      <c r="H23" s="143">
        <v>51.69</v>
      </c>
      <c r="I23" s="144" t="s">
        <v>172</v>
      </c>
      <c r="J23" s="145" t="s">
        <v>172</v>
      </c>
      <c r="K23" s="143">
        <v>46.43</v>
      </c>
      <c r="L23" s="144" t="s">
        <v>172</v>
      </c>
      <c r="M23" s="145" t="s">
        <v>172</v>
      </c>
      <c r="N23" s="143">
        <v>26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42.59</v>
      </c>
      <c r="C24" s="144" t="s">
        <v>172</v>
      </c>
      <c r="D24" s="145" t="s">
        <v>172</v>
      </c>
      <c r="E24" s="143">
        <v>45.61</v>
      </c>
      <c r="F24" s="144" t="s">
        <v>172</v>
      </c>
      <c r="G24" s="145" t="s">
        <v>172</v>
      </c>
      <c r="H24" s="143">
        <v>52.1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23.33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22.75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22.75</v>
      </c>
      <c r="L25" s="144" t="s">
        <v>172</v>
      </c>
      <c r="M25" s="145" t="s">
        <v>172</v>
      </c>
      <c r="N25" s="143">
        <v>10.74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1.1639999999999999</v>
      </c>
      <c r="F26" s="144" t="s">
        <v>172</v>
      </c>
      <c r="G26" s="145" t="s">
        <v>172</v>
      </c>
      <c r="H26" s="153">
        <v>1.2290000000000001</v>
      </c>
      <c r="I26" s="144" t="s">
        <v>172</v>
      </c>
      <c r="J26" s="145" t="s">
        <v>172</v>
      </c>
      <c r="K26" s="153">
        <v>1.0640000000000001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0.93</v>
      </c>
      <c r="L27" s="144" t="s">
        <v>172</v>
      </c>
      <c r="M27" s="145" t="s">
        <v>172</v>
      </c>
      <c r="N27" s="153">
        <v>0.5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4.3600000000000003</v>
      </c>
      <c r="F28" s="158" t="s">
        <v>172</v>
      </c>
      <c r="G28" s="159" t="s">
        <v>172</v>
      </c>
      <c r="H28" s="234">
        <v>4.67</v>
      </c>
      <c r="I28" s="158" t="s">
        <v>172</v>
      </c>
      <c r="J28" s="159" t="s">
        <v>172</v>
      </c>
      <c r="K28" s="234">
        <v>4.29</v>
      </c>
      <c r="L28" s="158" t="s">
        <v>172</v>
      </c>
      <c r="M28" s="159" t="s">
        <v>172</v>
      </c>
      <c r="N28" s="234">
        <v>1.98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8.7965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2.4375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2.899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6.5614999999999997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3.3155999999999999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5" sqref="N2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44053</v>
      </c>
      <c r="E2" s="493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0.68621844620537542</v>
      </c>
      <c r="C6" s="103" t="s">
        <v>172</v>
      </c>
      <c r="D6" s="104" t="s">
        <v>172</v>
      </c>
      <c r="E6" s="102">
        <f>E20/$B$33</f>
        <v>0.72706478228902871</v>
      </c>
      <c r="F6" s="103" t="s">
        <v>172</v>
      </c>
      <c r="G6" s="104" t="s">
        <v>172</v>
      </c>
      <c r="H6" s="102">
        <f>H20/$B$33</f>
        <v>0.78424965280614323</v>
      </c>
      <c r="I6" s="103" t="s">
        <v>172</v>
      </c>
      <c r="J6" s="104" t="s">
        <v>172</v>
      </c>
      <c r="K6" s="102">
        <f>K20/$B$33</f>
        <v>0.72706478228902871</v>
      </c>
      <c r="L6" s="103" t="s">
        <v>172</v>
      </c>
      <c r="M6" s="104" t="s">
        <v>172</v>
      </c>
      <c r="N6" s="102">
        <f>N20/$B$33</f>
        <v>0.383955559186341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0.58411873621436161</v>
      </c>
      <c r="C7" s="107">
        <f t="shared" ref="C7:C12" si="0">B7-B$6</f>
        <v>-0.10209970999101381</v>
      </c>
      <c r="D7" s="108">
        <f t="shared" ref="D7:D12" si="1">B7/B$6*100</f>
        <v>85.121398214285719</v>
      </c>
      <c r="E7" s="102">
        <f>E21*$B$36/100/$B$33</f>
        <v>0.6448257985458703</v>
      </c>
      <c r="F7" s="107">
        <f t="shared" ref="F7:F15" si="2">E7-E$6</f>
        <v>-8.2238983743158411E-2</v>
      </c>
      <c r="G7" s="108">
        <f t="shared" ref="G7:G15" si="3">E7/E$6*100</f>
        <v>88.688905617977511</v>
      </c>
      <c r="H7" s="102">
        <f>H21*$B$36/100/$B$33</f>
        <v>0.71531117964218616</v>
      </c>
      <c r="I7" s="107">
        <f t="shared" ref="I7:I15" si="4">H7-H$6</f>
        <v>-6.893847316395707E-2</v>
      </c>
      <c r="J7" s="108">
        <f t="shared" ref="J7:J15" si="5">H7/H$6*100</f>
        <v>91.209626562500006</v>
      </c>
      <c r="K7" s="102">
        <f>K21*$B$36/100/$B$33</f>
        <v>0.64319607875173601</v>
      </c>
      <c r="L7" s="107">
        <f t="shared" ref="L7:L15" si="6">K7-K$6</f>
        <v>-8.3868703537292699E-2</v>
      </c>
      <c r="M7" s="108">
        <f t="shared" ref="M7:M15" si="7">K7/K$6*100</f>
        <v>88.464755056179783</v>
      </c>
      <c r="N7" s="102">
        <f>N21*$B$36/100/$B$33</f>
        <v>0.31507916019933019</v>
      </c>
      <c r="O7" s="107">
        <f t="shared" ref="O7:O15" si="8">N7-N$6</f>
        <v>-6.8876398987010812E-2</v>
      </c>
      <c r="P7" s="108">
        <f t="shared" ref="P7:P15" si="9">N7/N$6*100</f>
        <v>82.061361702127684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0.58534102605996241</v>
      </c>
      <c r="C8" s="107">
        <f t="shared" si="0"/>
        <v>-0.10087742014541301</v>
      </c>
      <c r="D8" s="108">
        <f t="shared" si="1"/>
        <v>85.299517857142845</v>
      </c>
      <c r="E8" s="102">
        <f>E22*$B$36/100/$B$33</f>
        <v>0.63151642022710563</v>
      </c>
      <c r="F8" s="107">
        <f t="shared" si="2"/>
        <v>-9.5548362061923076E-2</v>
      </c>
      <c r="G8" s="108">
        <f t="shared" si="3"/>
        <v>86.858342696629208</v>
      </c>
      <c r="H8" s="102">
        <f>H22*$B$36/100/$B$33</f>
        <v>0.69806331182092962</v>
      </c>
      <c r="I8" s="107">
        <f t="shared" si="4"/>
        <v>-8.6186340985213605E-2</v>
      </c>
      <c r="J8" s="108">
        <f t="shared" si="5"/>
        <v>89.010343750000004</v>
      </c>
      <c r="K8" s="102">
        <f>K22*$B$36/100/$B$33</f>
        <v>0.62852860060452576</v>
      </c>
      <c r="L8" s="107">
        <f t="shared" si="6"/>
        <v>-9.8536181684502955E-2</v>
      </c>
      <c r="M8" s="108">
        <f t="shared" si="7"/>
        <v>86.447400000000002</v>
      </c>
      <c r="N8" s="102">
        <f>N22*$B$36/100/$B$33</f>
        <v>0.33680875745445638</v>
      </c>
      <c r="O8" s="107">
        <f t="shared" si="8"/>
        <v>-4.7146801731884624E-2</v>
      </c>
      <c r="P8" s="108">
        <f t="shared" si="9"/>
        <v>87.720765957446815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0.59267476513356754</v>
      </c>
      <c r="C9" s="107">
        <f t="shared" si="0"/>
        <v>-9.3543681071807883E-2</v>
      </c>
      <c r="D9" s="108">
        <f t="shared" si="1"/>
        <v>86.368235714285717</v>
      </c>
      <c r="E9" s="102">
        <f>E23*$B$36/100/$B$33</f>
        <v>0.63559071971244174</v>
      </c>
      <c r="F9" s="107">
        <f t="shared" si="2"/>
        <v>-9.1474062576586967E-2</v>
      </c>
      <c r="G9" s="108">
        <f t="shared" si="3"/>
        <v>87.418719101123585</v>
      </c>
      <c r="H9" s="102">
        <f>H23*$B$36/100/$B$33</f>
        <v>0.70213761130626584</v>
      </c>
      <c r="I9" s="107">
        <f t="shared" si="4"/>
        <v>-8.2112041499877386E-2</v>
      </c>
      <c r="J9" s="108">
        <f t="shared" si="5"/>
        <v>89.529859375000015</v>
      </c>
      <c r="K9" s="102">
        <f>K23*$B$36/100/$B$33</f>
        <v>0.63056575034719387</v>
      </c>
      <c r="L9" s="107">
        <f t="shared" si="6"/>
        <v>-9.6499031941834845E-2</v>
      </c>
      <c r="M9" s="108">
        <f t="shared" si="7"/>
        <v>86.72758820224719</v>
      </c>
      <c r="N9" s="102">
        <f>N23*$B$36/100/$B$33</f>
        <v>0.35310595539580097</v>
      </c>
      <c r="O9" s="107">
        <f t="shared" si="8"/>
        <v>-3.0849603790540026E-2</v>
      </c>
      <c r="P9" s="108">
        <f t="shared" si="9"/>
        <v>91.96531914893616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0.57841471693489099</v>
      </c>
      <c r="C10" s="107">
        <f t="shared" si="0"/>
        <v>-0.10780372927048443</v>
      </c>
      <c r="D10" s="108">
        <f t="shared" si="1"/>
        <v>84.290173214285716</v>
      </c>
      <c r="E10" s="102">
        <f>E24*$B$36/100/$B$33</f>
        <v>0.61942933175394166</v>
      </c>
      <c r="F10" s="107">
        <f t="shared" si="2"/>
        <v>-0.10763545053508705</v>
      </c>
      <c r="G10" s="108">
        <f t="shared" si="3"/>
        <v>85.195892696629201</v>
      </c>
      <c r="H10" s="102">
        <f>H24*$B$36/100/$B$33</f>
        <v>0.70757001062004743</v>
      </c>
      <c r="I10" s="107">
        <f t="shared" si="4"/>
        <v>-7.6679642186095798E-2</v>
      </c>
      <c r="J10" s="108">
        <f t="shared" si="5"/>
        <v>90.222546875000006</v>
      </c>
      <c r="K10" s="102">
        <f>K24*$B$36/100/$B$33</f>
        <v>0.65066562780818549</v>
      </c>
      <c r="L10" s="107">
        <f t="shared" si="6"/>
        <v>-7.6399154480843223E-2</v>
      </c>
      <c r="M10" s="108">
        <f t="shared" si="7"/>
        <v>89.492111797752798</v>
      </c>
      <c r="N10" s="102">
        <f>N24*$B$36/100/$B$33</f>
        <v>0.3168446899763091</v>
      </c>
      <c r="O10" s="107">
        <f t="shared" si="8"/>
        <v>-6.7110869210031898E-2</v>
      </c>
      <c r="P10" s="108">
        <f t="shared" si="9"/>
        <v>82.521188297872328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0.58513731108569567</v>
      </c>
      <c r="C11" s="236">
        <f t="shared" si="0"/>
        <v>-0.10108113511967975</v>
      </c>
      <c r="D11" s="237">
        <f t="shared" si="1"/>
        <v>85.26983125000001</v>
      </c>
      <c r="E11" s="235">
        <f>AVERAGE(E7:E10)</f>
        <v>0.63284056755983986</v>
      </c>
      <c r="F11" s="236">
        <f t="shared" si="2"/>
        <v>-9.4224214729188849E-2</v>
      </c>
      <c r="G11" s="237">
        <f t="shared" si="3"/>
        <v>87.040465028089869</v>
      </c>
      <c r="H11" s="235">
        <f>AVERAGE(H7:H10)</f>
        <v>0.70577052834735721</v>
      </c>
      <c r="I11" s="236">
        <f t="shared" si="4"/>
        <v>-7.847912445878602E-2</v>
      </c>
      <c r="J11" s="237">
        <f t="shared" si="5"/>
        <v>89.993094140625004</v>
      </c>
      <c r="K11" s="235">
        <f>AVERAGE(K7:K10)</f>
        <v>0.63823901437791031</v>
      </c>
      <c r="L11" s="236">
        <f t="shared" si="6"/>
        <v>-8.8825767911118403E-2</v>
      </c>
      <c r="M11" s="237">
        <f t="shared" si="7"/>
        <v>87.782963764044936</v>
      </c>
      <c r="N11" s="235">
        <f>AVERAGE(N7:N10)</f>
        <v>0.33045964075647416</v>
      </c>
      <c r="O11" s="236">
        <f t="shared" si="8"/>
        <v>-5.349591842986684E-2</v>
      </c>
      <c r="P11" s="237">
        <f t="shared" si="9"/>
        <v>86.067158776595747</v>
      </c>
      <c r="Q11" s="109"/>
    </row>
    <row r="12" spans="1:19" s="96" customFormat="1" ht="15.75" x14ac:dyDescent="0.25">
      <c r="A12" s="110" t="s">
        <v>24</v>
      </c>
      <c r="B12" s="102">
        <f>B25*$B$32/100/$B$33</f>
        <v>0.83929188791765374</v>
      </c>
      <c r="C12" s="107">
        <f t="shared" si="0"/>
        <v>0.15307344171227832</v>
      </c>
      <c r="D12" s="108">
        <f t="shared" si="1"/>
        <v>122.30680952380951</v>
      </c>
      <c r="E12" s="102">
        <f>E25*$B$32/100/$B$33</f>
        <v>0.88378882852708118</v>
      </c>
      <c r="F12" s="107">
        <f t="shared" si="2"/>
        <v>0.15672404623805247</v>
      </c>
      <c r="G12" s="108">
        <f t="shared" si="3"/>
        <v>121.55571966292136</v>
      </c>
      <c r="H12" s="102">
        <f>H25*$B$32/100/$B$33</f>
        <v>1.0053414467772241</v>
      </c>
      <c r="I12" s="107">
        <f t="shared" si="4"/>
        <v>0.22109179397108092</v>
      </c>
      <c r="J12" s="108">
        <f t="shared" si="5"/>
        <v>128.19150677083334</v>
      </c>
      <c r="K12" s="102">
        <f>K25*$B$32/100/$B$33</f>
        <v>0.83748306919369331</v>
      </c>
      <c r="L12" s="107">
        <f t="shared" si="6"/>
        <v>0.1104182869046646</v>
      </c>
      <c r="M12" s="108">
        <f t="shared" si="7"/>
        <v>115.18685674157302</v>
      </c>
      <c r="N12" s="102">
        <f>N25*$B$32/100/$B$33</f>
        <v>0.38853426190670698</v>
      </c>
      <c r="O12" s="107">
        <f t="shared" si="8"/>
        <v>4.5787027203659791E-3</v>
      </c>
      <c r="P12" s="108">
        <f t="shared" si="9"/>
        <v>101.19250851063831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1.1928260763009557</v>
      </c>
      <c r="F13" s="107">
        <f t="shared" si="2"/>
        <v>0.46576129401192701</v>
      </c>
      <c r="G13" s="108">
        <f t="shared" si="3"/>
        <v>164.06049438202245</v>
      </c>
      <c r="H13" s="102">
        <f>H26*$B$34/$B$33</f>
        <v>1.3537629278653704</v>
      </c>
      <c r="I13" s="107">
        <f t="shared" si="4"/>
        <v>0.56951327505922722</v>
      </c>
      <c r="J13" s="108">
        <f t="shared" si="5"/>
        <v>172.618875</v>
      </c>
      <c r="K13" s="102">
        <f>K26*$B$34/$B$33</f>
        <v>1.1916427170982762</v>
      </c>
      <c r="L13" s="107">
        <f t="shared" si="6"/>
        <v>0.46457793480924747</v>
      </c>
      <c r="M13" s="108">
        <f t="shared" si="7"/>
        <v>163.89773595505616</v>
      </c>
      <c r="N13" s="102">
        <f>N26*$B$34/$B$33</f>
        <v>0.59759639735315739</v>
      </c>
      <c r="O13" s="107">
        <f t="shared" si="8"/>
        <v>0.21364083816681639</v>
      </c>
      <c r="P13" s="108">
        <f t="shared" si="9"/>
        <v>155.6420744680851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1.2496273180295727</v>
      </c>
      <c r="F14" s="107">
        <f t="shared" si="2"/>
        <v>0.52256253574054401</v>
      </c>
      <c r="G14" s="108">
        <f t="shared" si="3"/>
        <v>171.87289887640449</v>
      </c>
      <c r="H14" s="102">
        <f>H27*$B$34/$B$33</f>
        <v>1.3655965198921656</v>
      </c>
      <c r="I14" s="107">
        <f t="shared" si="4"/>
        <v>0.58134686708602235</v>
      </c>
      <c r="J14" s="108">
        <f t="shared" si="5"/>
        <v>174.12778125</v>
      </c>
      <c r="K14" s="102">
        <f>K27*$B$34/$B$33</f>
        <v>1.1194578057348257</v>
      </c>
      <c r="L14" s="107">
        <f t="shared" si="6"/>
        <v>0.39239302344579696</v>
      </c>
      <c r="M14" s="108">
        <f t="shared" si="7"/>
        <v>153.96947191011236</v>
      </c>
      <c r="N14" s="102">
        <f>N27*$B$34/$B$33</f>
        <v>0.59167960133975983</v>
      </c>
      <c r="O14" s="107">
        <f t="shared" si="8"/>
        <v>0.20772404215341883</v>
      </c>
      <c r="P14" s="108">
        <f t="shared" si="9"/>
        <v>154.10106382978722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1.1732181194346867</v>
      </c>
      <c r="F15" s="119">
        <f t="shared" si="2"/>
        <v>0.44615333714565797</v>
      </c>
      <c r="G15" s="120">
        <f t="shared" si="3"/>
        <v>161.36362921348314</v>
      </c>
      <c r="H15" s="118">
        <f>H28*$B$35/10/$B$33</f>
        <v>1.2508969446940608</v>
      </c>
      <c r="I15" s="119">
        <f t="shared" si="4"/>
        <v>0.46664729188791754</v>
      </c>
      <c r="J15" s="120">
        <f t="shared" si="5"/>
        <v>159.50239062499998</v>
      </c>
      <c r="K15" s="118">
        <f>K28*$B$35/10/$B$33</f>
        <v>1.1598252185278981</v>
      </c>
      <c r="L15" s="119">
        <f t="shared" si="6"/>
        <v>0.43276043623886939</v>
      </c>
      <c r="M15" s="120">
        <f t="shared" si="7"/>
        <v>159.52157865168539</v>
      </c>
      <c r="N15" s="118">
        <f>N28*$B$35/10/$B$33</f>
        <v>0.53303745609018871</v>
      </c>
      <c r="O15" s="119">
        <f t="shared" si="8"/>
        <v>0.14908189690384771</v>
      </c>
      <c r="P15" s="120">
        <f t="shared" si="9"/>
        <v>138.82790425531914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9" t="s">
        <v>214</v>
      </c>
      <c r="X19" s="399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43.01</v>
      </c>
      <c r="C21" s="144" t="s">
        <v>172</v>
      </c>
      <c r="D21" s="145" t="s">
        <v>172</v>
      </c>
      <c r="E21" s="143">
        <v>47.48</v>
      </c>
      <c r="F21" s="144" t="s">
        <v>172</v>
      </c>
      <c r="G21" s="145" t="s">
        <v>172</v>
      </c>
      <c r="H21" s="143">
        <v>52.67</v>
      </c>
      <c r="I21" s="144" t="s">
        <v>172</v>
      </c>
      <c r="J21" s="145" t="s">
        <v>172</v>
      </c>
      <c r="K21" s="143">
        <v>47.36</v>
      </c>
      <c r="L21" s="144" t="s">
        <v>172</v>
      </c>
      <c r="M21" s="145" t="s">
        <v>172</v>
      </c>
      <c r="N21" s="143">
        <v>23.2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43.1</v>
      </c>
      <c r="C22" s="144" t="s">
        <v>172</v>
      </c>
      <c r="D22" s="145" t="s">
        <v>172</v>
      </c>
      <c r="E22" s="143">
        <v>46.5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46.8</v>
      </c>
      <c r="F23" s="144" t="s">
        <v>172</v>
      </c>
      <c r="G23" s="145" t="s">
        <v>172</v>
      </c>
      <c r="H23" s="143">
        <v>51.7</v>
      </c>
      <c r="I23" s="144" t="s">
        <v>172</v>
      </c>
      <c r="J23" s="145" t="s">
        <v>172</v>
      </c>
      <c r="K23" s="143">
        <v>46.43</v>
      </c>
      <c r="L23" s="144" t="s">
        <v>172</v>
      </c>
      <c r="M23" s="145" t="s">
        <v>172</v>
      </c>
      <c r="N23" s="143">
        <v>26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42.59</v>
      </c>
      <c r="C24" s="144" t="s">
        <v>172</v>
      </c>
      <c r="D24" s="145" t="s">
        <v>172</v>
      </c>
      <c r="E24" s="143">
        <v>45.61</v>
      </c>
      <c r="F24" s="144" t="s">
        <v>172</v>
      </c>
      <c r="G24" s="145" t="s">
        <v>172</v>
      </c>
      <c r="H24" s="143">
        <v>52.1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23.33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23.15</v>
      </c>
      <c r="L25" s="144" t="s">
        <v>172</v>
      </c>
      <c r="M25" s="145" t="s">
        <v>172</v>
      </c>
      <c r="N25" s="143">
        <v>10.74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1.008</v>
      </c>
      <c r="F26" s="144" t="s">
        <v>172</v>
      </c>
      <c r="G26" s="145" t="s">
        <v>172</v>
      </c>
      <c r="H26" s="153">
        <v>1.1439999999999999</v>
      </c>
      <c r="I26" s="144" t="s">
        <v>172</v>
      </c>
      <c r="J26" s="145" t="s">
        <v>172</v>
      </c>
      <c r="K26" s="153">
        <v>1.0069999999999999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1.056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0.94599999999999995</v>
      </c>
      <c r="L27" s="144" t="s">
        <v>172</v>
      </c>
      <c r="M27" s="145" t="s">
        <v>172</v>
      </c>
      <c r="N27" s="153">
        <v>0.5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4.38</v>
      </c>
      <c r="F28" s="158" t="s">
        <v>172</v>
      </c>
      <c r="G28" s="159" t="s">
        <v>172</v>
      </c>
      <c r="H28" s="234">
        <v>4.67</v>
      </c>
      <c r="I28" s="158" t="s">
        <v>172</v>
      </c>
      <c r="J28" s="159" t="s">
        <v>172</v>
      </c>
      <c r="K28" s="234">
        <v>4.33</v>
      </c>
      <c r="L28" s="158" t="s">
        <v>172</v>
      </c>
      <c r="M28" s="159" t="s">
        <v>172</v>
      </c>
      <c r="N28" s="234">
        <v>1.99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8.8567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2.4481999999999999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2.8971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6.5576999999999996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3.3249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7" zoomScale="85" zoomScaleNormal="85" workbookViewId="0">
      <selection activeCell="A29" sqref="A29:P29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44060</v>
      </c>
      <c r="E2" s="493"/>
      <c r="F2" s="400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0"/>
      <c r="R2" s="40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0.68392769907181239</v>
      </c>
      <c r="C6" s="103" t="s">
        <v>172</v>
      </c>
      <c r="D6" s="104" t="s">
        <v>172</v>
      </c>
      <c r="E6" s="102">
        <f>E20/$B$33</f>
        <v>0.72463768115942029</v>
      </c>
      <c r="F6" s="103" t="s">
        <v>172</v>
      </c>
      <c r="G6" s="104" t="s">
        <v>172</v>
      </c>
      <c r="H6" s="102">
        <f>H20/$B$33</f>
        <v>0.7816316560820713</v>
      </c>
      <c r="I6" s="103" t="s">
        <v>172</v>
      </c>
      <c r="J6" s="104" t="s">
        <v>172</v>
      </c>
      <c r="K6" s="102">
        <f>K20/$B$33</f>
        <v>0.72463768115942029</v>
      </c>
      <c r="L6" s="103" t="s">
        <v>172</v>
      </c>
      <c r="M6" s="104" t="s">
        <v>172</v>
      </c>
      <c r="N6" s="102">
        <f>N20/$B$33</f>
        <v>0.38267383162351409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0.58723161944308744</v>
      </c>
      <c r="C7" s="107">
        <f t="shared" ref="C7:C12" si="0">B7-B$6</f>
        <v>-9.6696079628724951E-2</v>
      </c>
      <c r="D7" s="108">
        <f t="shared" ref="D7:D12" si="1">B7/B$6*100</f>
        <v>85.861651785714287</v>
      </c>
      <c r="E7" s="102">
        <f>E21*$B$36/100/$B$33</f>
        <v>0.64834745969711771</v>
      </c>
      <c r="F7" s="107">
        <f t="shared" ref="F7:F15" si="2">E7-E$6</f>
        <v>-7.6290221462302577E-2</v>
      </c>
      <c r="G7" s="108">
        <f t="shared" ref="G7:G15" si="3">E7/E$6*100</f>
        <v>89.471949438202245</v>
      </c>
      <c r="H7" s="102">
        <f>H21*$B$36/100/$B$33</f>
        <v>0.71069382022471905</v>
      </c>
      <c r="I7" s="107">
        <f t="shared" ref="I7:I15" si="4">H7-H$6</f>
        <v>-7.0937835857352249E-2</v>
      </c>
      <c r="J7" s="108">
        <f t="shared" ref="J7:J15" si="5">H7/H$6*100</f>
        <v>90.924390625000001</v>
      </c>
      <c r="K7" s="102">
        <f>K21*$B$36/100/$B$33</f>
        <v>0.64739038837322915</v>
      </c>
      <c r="L7" s="107">
        <f t="shared" ref="L7:L15" si="6">K7-K$6</f>
        <v>-7.7247292786191135E-2</v>
      </c>
      <c r="M7" s="108">
        <f t="shared" ref="M7:M15" si="7">K7/K$6*100</f>
        <v>89.339873595505622</v>
      </c>
      <c r="N7" s="102">
        <f>N21*$B$36/100/$B$33</f>
        <v>0.31911492427943333</v>
      </c>
      <c r="O7" s="107">
        <f t="shared" ref="O7:O15" si="8">N7-N$6</f>
        <v>-6.3558907344080762E-2</v>
      </c>
      <c r="P7" s="108">
        <f t="shared" ref="P7:P15" si="9">N7/N$6*100</f>
        <v>83.39084042553192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0.58941921104054706</v>
      </c>
      <c r="C8" s="107">
        <f t="shared" si="0"/>
        <v>-9.4508488031265325E-2</v>
      </c>
      <c r="D8" s="108">
        <f t="shared" si="1"/>
        <v>86.181508928571418</v>
      </c>
      <c r="E8" s="102">
        <f>E22*$B$36/100/$B$33</f>
        <v>0.63590553248656567</v>
      </c>
      <c r="F8" s="107">
        <f t="shared" si="2"/>
        <v>-8.8732148672854616E-2</v>
      </c>
      <c r="G8" s="108">
        <f t="shared" si="3"/>
        <v>87.754963483146071</v>
      </c>
      <c r="H8" s="102">
        <f>H22*$B$36/100/$B$33</f>
        <v>0.70276380068392763</v>
      </c>
      <c r="I8" s="107">
        <f t="shared" si="4"/>
        <v>-7.8867855398143671E-2</v>
      </c>
      <c r="J8" s="108">
        <f t="shared" si="5"/>
        <v>89.909843749999993</v>
      </c>
      <c r="K8" s="102">
        <f>K22*$B$36/100/$B$33</f>
        <v>0.63276086956521738</v>
      </c>
      <c r="L8" s="107">
        <f t="shared" si="6"/>
        <v>-9.1876811594202912E-2</v>
      </c>
      <c r="M8" s="108">
        <f t="shared" si="7"/>
        <v>87.320999999999998</v>
      </c>
      <c r="N8" s="102">
        <f>N22*$B$36/100/$B$33</f>
        <v>0.33907669760625309</v>
      </c>
      <c r="O8" s="107">
        <f t="shared" si="8"/>
        <v>-4.3597134017261008E-2</v>
      </c>
      <c r="P8" s="108">
        <f t="shared" si="9"/>
        <v>88.607234042553202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0.59666560820713244</v>
      </c>
      <c r="C9" s="107">
        <f t="shared" si="0"/>
        <v>-8.7262090864679953E-2</v>
      </c>
      <c r="D9" s="108">
        <f t="shared" si="1"/>
        <v>87.241035714285715</v>
      </c>
      <c r="E9" s="102">
        <f>E23*$B$36/100/$B$33</f>
        <v>0.65012487787005369</v>
      </c>
      <c r="F9" s="107">
        <f t="shared" si="2"/>
        <v>-7.4512803289366603E-2</v>
      </c>
      <c r="G9" s="108">
        <f t="shared" si="3"/>
        <v>89.717233146067414</v>
      </c>
      <c r="H9" s="102">
        <f>H23*$B$36/100/$B$33</f>
        <v>0.7068655349291646</v>
      </c>
      <c r="I9" s="107">
        <f t="shared" si="4"/>
        <v>-7.4766121152906706E-2</v>
      </c>
      <c r="J9" s="108">
        <f t="shared" si="5"/>
        <v>90.434609374999994</v>
      </c>
      <c r="K9" s="102">
        <f>K23*$B$36/100/$B$33</f>
        <v>0.6346750122129946</v>
      </c>
      <c r="L9" s="107">
        <f t="shared" si="6"/>
        <v>-8.9962668946425683E-2</v>
      </c>
      <c r="M9" s="108">
        <f t="shared" si="7"/>
        <v>87.585151685393257</v>
      </c>
      <c r="N9" s="102">
        <f>N23*$B$36/100/$B$33</f>
        <v>0.34454567659990226</v>
      </c>
      <c r="O9" s="107">
        <f t="shared" si="8"/>
        <v>-3.8128155023611832E-2</v>
      </c>
      <c r="P9" s="108">
        <f t="shared" si="9"/>
        <v>90.036382978723395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0.58271971177332671</v>
      </c>
      <c r="C10" s="107">
        <f t="shared" si="0"/>
        <v>-0.10120798729848568</v>
      </c>
      <c r="D10" s="108">
        <f t="shared" si="1"/>
        <v>85.201946428571418</v>
      </c>
      <c r="E10" s="102">
        <f>E24*$B$36/100/$B$33</f>
        <v>0.62373705422569614</v>
      </c>
      <c r="F10" s="107">
        <f t="shared" si="2"/>
        <v>-0.10090062693372415</v>
      </c>
      <c r="G10" s="108">
        <f t="shared" si="3"/>
        <v>86.07571348314606</v>
      </c>
      <c r="H10" s="102">
        <f>H24*$B$36/100/$B$33</f>
        <v>0.71766676844162192</v>
      </c>
      <c r="I10" s="107">
        <f t="shared" si="4"/>
        <v>-6.3964887640449386E-2</v>
      </c>
      <c r="J10" s="108">
        <f t="shared" si="5"/>
        <v>91.816492187500003</v>
      </c>
      <c r="K10" s="102">
        <f>K24*$B$36/100/$B$33</f>
        <v>0.65614075476306799</v>
      </c>
      <c r="L10" s="107">
        <f t="shared" si="6"/>
        <v>-6.8496926396352298E-2</v>
      </c>
      <c r="M10" s="108">
        <f t="shared" si="7"/>
        <v>90.547424157303382</v>
      </c>
      <c r="N10" s="102">
        <f>N24*$B$36/100/$B$33</f>
        <v>0.31897819980459208</v>
      </c>
      <c r="O10" s="107">
        <f t="shared" si="8"/>
        <v>-6.3695631818922016E-2</v>
      </c>
      <c r="P10" s="108">
        <f t="shared" si="9"/>
        <v>83.355111702127658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0.58900903761602341</v>
      </c>
      <c r="C11" s="236">
        <f t="shared" si="0"/>
        <v>-9.4918661455788977E-2</v>
      </c>
      <c r="D11" s="237">
        <f t="shared" si="1"/>
        <v>86.121535714285713</v>
      </c>
      <c r="E11" s="235">
        <f>AVERAGE(E7:E10)</f>
        <v>0.6395287310698583</v>
      </c>
      <c r="F11" s="236">
        <f t="shared" si="2"/>
        <v>-8.5108950089561985E-2</v>
      </c>
      <c r="G11" s="237">
        <f t="shared" si="3"/>
        <v>88.25496488764044</v>
      </c>
      <c r="H11" s="235">
        <f>AVERAGE(H7:H10)</f>
        <v>0.70949748106985822</v>
      </c>
      <c r="I11" s="236">
        <f t="shared" si="4"/>
        <v>-7.2134175012213086E-2</v>
      </c>
      <c r="J11" s="237">
        <f t="shared" si="5"/>
        <v>90.771333984374991</v>
      </c>
      <c r="K11" s="235">
        <f>AVERAGE(K7:K10)</f>
        <v>0.64274175622862728</v>
      </c>
      <c r="L11" s="236">
        <f t="shared" si="6"/>
        <v>-8.1895924930793007E-2</v>
      </c>
      <c r="M11" s="237">
        <f t="shared" si="7"/>
        <v>88.698362359550558</v>
      </c>
      <c r="N11" s="235">
        <f>AVERAGE(N7:N10)</f>
        <v>0.33042887457254522</v>
      </c>
      <c r="O11" s="236">
        <f t="shared" si="8"/>
        <v>-5.2244957050968877E-2</v>
      </c>
      <c r="P11" s="237">
        <f t="shared" si="9"/>
        <v>86.347392287234044</v>
      </c>
      <c r="Q11" s="109"/>
    </row>
    <row r="12" spans="1:19" s="96" customFormat="1" ht="15.75" x14ac:dyDescent="0.25">
      <c r="A12" s="110" t="s">
        <v>24</v>
      </c>
      <c r="B12" s="102">
        <f>B25*$B$32/100/$B$33</f>
        <v>0.84813548282038775</v>
      </c>
      <c r="C12" s="107">
        <f t="shared" si="0"/>
        <v>0.16420778374857536</v>
      </c>
      <c r="D12" s="108">
        <f t="shared" si="1"/>
        <v>124.00952380952384</v>
      </c>
      <c r="E12" s="102">
        <f>E25*$B$32/100/$B$33</f>
        <v>0.89310128643543407</v>
      </c>
      <c r="F12" s="107">
        <f t="shared" si="2"/>
        <v>0.16846360527601378</v>
      </c>
      <c r="G12" s="108">
        <f t="shared" si="3"/>
        <v>123.24797752808989</v>
      </c>
      <c r="H12" s="102">
        <f>H25*$B$32/100/$B$33</f>
        <v>1.0159347011887314</v>
      </c>
      <c r="I12" s="107">
        <f t="shared" si="4"/>
        <v>0.23430304510666011</v>
      </c>
      <c r="J12" s="108">
        <f t="shared" si="5"/>
        <v>129.97614583333333</v>
      </c>
      <c r="K12" s="102">
        <f>K25*$B$32/100/$B$33</f>
        <v>0.84630760462465404</v>
      </c>
      <c r="L12" s="107">
        <f t="shared" si="6"/>
        <v>0.12166992346523375</v>
      </c>
      <c r="M12" s="108">
        <f t="shared" si="7"/>
        <v>116.79044943820224</v>
      </c>
      <c r="N12" s="102">
        <f>N25*$B$32/100/$B$33</f>
        <v>0.39445611463930957</v>
      </c>
      <c r="O12" s="107">
        <f t="shared" si="8"/>
        <v>1.1782283015795481E-2</v>
      </c>
      <c r="P12" s="108">
        <f t="shared" si="9"/>
        <v>103.07893617021277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1.2799355153883734</v>
      </c>
      <c r="F13" s="107">
        <f t="shared" si="2"/>
        <v>0.55529783422895307</v>
      </c>
      <c r="G13" s="108">
        <f t="shared" si="3"/>
        <v>176.63110112359553</v>
      </c>
      <c r="H13" s="102">
        <f>H26*$B$34/$B$33</f>
        <v>1.3507806546165118</v>
      </c>
      <c r="I13" s="107">
        <f t="shared" si="4"/>
        <v>0.56914899853444045</v>
      </c>
      <c r="J13" s="108">
        <f t="shared" si="5"/>
        <v>172.81549999999999</v>
      </c>
      <c r="K13" s="102">
        <f>K26*$B$34/$B$33</f>
        <v>1.1890175867122617</v>
      </c>
      <c r="L13" s="107">
        <f t="shared" si="6"/>
        <v>0.46437990555284137</v>
      </c>
      <c r="M13" s="108">
        <f t="shared" si="7"/>
        <v>164.08442696629211</v>
      </c>
      <c r="N13" s="102">
        <f>N26*$B$34/$B$33</f>
        <v>0.59627992183683443</v>
      </c>
      <c r="O13" s="107">
        <f t="shared" si="8"/>
        <v>0.21360609021332033</v>
      </c>
      <c r="P13" s="108">
        <f t="shared" si="9"/>
        <v>155.81936170212768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1.2575012212994625</v>
      </c>
      <c r="F14" s="107">
        <f t="shared" si="2"/>
        <v>0.53286354014004222</v>
      </c>
      <c r="G14" s="108">
        <f t="shared" si="3"/>
        <v>173.53516853932581</v>
      </c>
      <c r="H14" s="102">
        <f>H27*$B$34/$B$33</f>
        <v>1.3625881778212017</v>
      </c>
      <c r="I14" s="107">
        <f t="shared" si="4"/>
        <v>0.58095652173913037</v>
      </c>
      <c r="J14" s="108">
        <f t="shared" si="5"/>
        <v>174.32612499999999</v>
      </c>
      <c r="K14" s="102">
        <f>K27*$B$34/$B$33</f>
        <v>1.116991695163654</v>
      </c>
      <c r="L14" s="107">
        <f t="shared" si="6"/>
        <v>0.39235401400423375</v>
      </c>
      <c r="M14" s="108">
        <f t="shared" si="7"/>
        <v>154.14485393258425</v>
      </c>
      <c r="N14" s="102">
        <f>N27*$B$34/$B$33</f>
        <v>0.56676111382510985</v>
      </c>
      <c r="O14" s="107">
        <f t="shared" si="8"/>
        <v>0.18408728220159576</v>
      </c>
      <c r="P14" s="108">
        <f t="shared" si="9"/>
        <v>148.10553191489359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1.1799788308093146</v>
      </c>
      <c r="F15" s="119">
        <f t="shared" si="2"/>
        <v>0.45534114964989436</v>
      </c>
      <c r="G15" s="120">
        <f t="shared" si="3"/>
        <v>162.83707865168543</v>
      </c>
      <c r="H15" s="118">
        <f>H28*$B$35/10/$B$33</f>
        <v>1.2577501628399286</v>
      </c>
      <c r="I15" s="119">
        <f t="shared" si="4"/>
        <v>0.47611850675785727</v>
      </c>
      <c r="J15" s="120">
        <f t="shared" si="5"/>
        <v>160.91341145833337</v>
      </c>
      <c r="K15" s="118">
        <f>K28*$B$35/10/$B$33</f>
        <v>1.1638882103891874</v>
      </c>
      <c r="L15" s="119">
        <f t="shared" si="6"/>
        <v>0.43925052922976715</v>
      </c>
      <c r="M15" s="120">
        <f t="shared" si="7"/>
        <v>160.61657303370788</v>
      </c>
      <c r="N15" s="118">
        <f>N28*$B$35/10/$B$33</f>
        <v>0.53367224393421275</v>
      </c>
      <c r="O15" s="119">
        <f t="shared" si="8"/>
        <v>0.15099841231069866</v>
      </c>
      <c r="P15" s="120">
        <f t="shared" si="9"/>
        <v>139.45877659574469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39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399" t="s">
        <v>214</v>
      </c>
      <c r="X19" s="399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42.95</v>
      </c>
      <c r="C21" s="144" t="s">
        <v>172</v>
      </c>
      <c r="D21" s="145" t="s">
        <v>172</v>
      </c>
      <c r="E21" s="143">
        <v>47.42</v>
      </c>
      <c r="F21" s="144" t="s">
        <v>172</v>
      </c>
      <c r="G21" s="145" t="s">
        <v>172</v>
      </c>
      <c r="H21" s="143">
        <v>51.98</v>
      </c>
      <c r="I21" s="144" t="s">
        <v>172</v>
      </c>
      <c r="J21" s="145" t="s">
        <v>172</v>
      </c>
      <c r="K21" s="143">
        <v>47.35</v>
      </c>
      <c r="L21" s="144" t="s">
        <v>172</v>
      </c>
      <c r="M21" s="145" t="s">
        <v>172</v>
      </c>
      <c r="N21" s="143">
        <v>23.34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43.11</v>
      </c>
      <c r="C22" s="144" t="s">
        <v>172</v>
      </c>
      <c r="D22" s="145" t="s">
        <v>172</v>
      </c>
      <c r="E22" s="143">
        <v>46.51</v>
      </c>
      <c r="F22" s="144" t="s">
        <v>172</v>
      </c>
      <c r="G22" s="145" t="s">
        <v>172</v>
      </c>
      <c r="H22" s="143">
        <v>51.4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47.55</v>
      </c>
      <c r="F23" s="144" t="s">
        <v>172</v>
      </c>
      <c r="G23" s="145" t="s">
        <v>172</v>
      </c>
      <c r="H23" s="143">
        <v>51.7</v>
      </c>
      <c r="I23" s="144" t="s">
        <v>172</v>
      </c>
      <c r="J23" s="145" t="s">
        <v>172</v>
      </c>
      <c r="K23" s="143">
        <v>46.42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42.62</v>
      </c>
      <c r="C24" s="144" t="s">
        <v>172</v>
      </c>
      <c r="D24" s="145" t="s">
        <v>172</v>
      </c>
      <c r="E24" s="143">
        <v>45.62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47.99</v>
      </c>
      <c r="L24" s="144" t="s">
        <v>172</v>
      </c>
      <c r="M24" s="145" t="s">
        <v>172</v>
      </c>
      <c r="N24" s="143">
        <v>23.33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23.15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1.0840000000000001</v>
      </c>
      <c r="F26" s="144" t="s">
        <v>172</v>
      </c>
      <c r="G26" s="145" t="s">
        <v>172</v>
      </c>
      <c r="H26" s="153">
        <v>1.1439999999999999</v>
      </c>
      <c r="I26" s="144" t="s">
        <v>172</v>
      </c>
      <c r="J26" s="145" t="s">
        <v>172</v>
      </c>
      <c r="K26" s="153">
        <v>1.0069999999999999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1.0649999999999999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0.94599999999999995</v>
      </c>
      <c r="L27" s="144" t="s">
        <v>172</v>
      </c>
      <c r="M27" s="145" t="s">
        <v>172</v>
      </c>
      <c r="N27" s="153">
        <v>0.48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4.4000000000000004</v>
      </c>
      <c r="F28" s="158" t="s">
        <v>172</v>
      </c>
      <c r="G28" s="159" t="s">
        <v>172</v>
      </c>
      <c r="H28" s="234">
        <v>4.6900000000000004</v>
      </c>
      <c r="I28" s="158" t="s">
        <v>172</v>
      </c>
      <c r="J28" s="159" t="s">
        <v>172</v>
      </c>
      <c r="K28" s="234">
        <v>4.34</v>
      </c>
      <c r="L28" s="158" t="s">
        <v>172</v>
      </c>
      <c r="M28" s="159" t="s">
        <v>172</v>
      </c>
      <c r="N28" s="234">
        <v>1.99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39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8.98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2.4563999999999999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2.9003999999999999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6.5875000000000004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3.3584999999999998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44067</v>
      </c>
      <c r="E2" s="493"/>
      <c r="F2" s="401"/>
      <c r="G2" s="401"/>
      <c r="H2" s="401"/>
      <c r="I2" s="401"/>
      <c r="J2" s="401"/>
      <c r="K2" s="401"/>
      <c r="L2" s="401"/>
      <c r="M2" s="401"/>
      <c r="N2" s="401"/>
      <c r="O2" s="401"/>
      <c r="P2" s="401"/>
      <c r="Q2" s="401"/>
      <c r="R2" s="40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0.66624365482233505</v>
      </c>
      <c r="C6" s="103" t="s">
        <v>172</v>
      </c>
      <c r="D6" s="104" t="s">
        <v>172</v>
      </c>
      <c r="E6" s="102">
        <f>E20/$B$33</f>
        <v>0.70590101522842641</v>
      </c>
      <c r="F6" s="103" t="s">
        <v>172</v>
      </c>
      <c r="G6" s="104" t="s">
        <v>172</v>
      </c>
      <c r="H6" s="102">
        <f>H20/$B$33</f>
        <v>0.76142131979695438</v>
      </c>
      <c r="I6" s="103" t="s">
        <v>172</v>
      </c>
      <c r="J6" s="104" t="s">
        <v>172</v>
      </c>
      <c r="K6" s="102">
        <f>K20/$B$33</f>
        <v>0.70590101522842641</v>
      </c>
      <c r="L6" s="103" t="s">
        <v>172</v>
      </c>
      <c r="M6" s="104" t="s">
        <v>172</v>
      </c>
      <c r="N6" s="102">
        <f>N20/$B$33</f>
        <v>0.37277918781725888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0.58014558217005086</v>
      </c>
      <c r="C7" s="107">
        <f t="shared" ref="C7:C12" si="0">B7-B$6</f>
        <v>-8.6098072652284197E-2</v>
      </c>
      <c r="D7" s="108">
        <f t="shared" ref="D7:D12" si="1">B7/B$6*100</f>
        <v>87.077089285714294</v>
      </c>
      <c r="E7" s="102">
        <f>E21*$B$36/100/$B$33</f>
        <v>0.64096512135152295</v>
      </c>
      <c r="F7" s="107">
        <f t="shared" ref="F7:F15" si="2">E7-E$6</f>
        <v>-6.4935893876903461E-2</v>
      </c>
      <c r="G7" s="108">
        <f t="shared" ref="G7:G15" si="3">E7/E$6*100</f>
        <v>90.800991573033713</v>
      </c>
      <c r="H7" s="102">
        <f>H21*$B$36/100/$B$33</f>
        <v>0.70097553140862956</v>
      </c>
      <c r="I7" s="107">
        <f t="shared" ref="I7:I15" si="4">H7-H$6</f>
        <v>-6.0445788388324817E-2</v>
      </c>
      <c r="J7" s="108">
        <f t="shared" ref="J7:J15" si="5">H7/H$6*100</f>
        <v>92.061453125</v>
      </c>
      <c r="K7" s="102">
        <f>K21*$B$36/100/$B$33</f>
        <v>0.63799831456218281</v>
      </c>
      <c r="L7" s="107">
        <f t="shared" ref="L7:L15" si="6">K7-K$6</f>
        <v>-6.7902700666243598E-2</v>
      </c>
      <c r="M7" s="108">
        <f t="shared" ref="M7:M15" si="7">K7/K$6*100</f>
        <v>90.380705056179792</v>
      </c>
      <c r="N7" s="102">
        <f>N21*$B$36/100/$B$33</f>
        <v>0.31421180996192893</v>
      </c>
      <c r="O7" s="107">
        <f t="shared" ref="O7:O15" si="8">N7-N$6</f>
        <v>-5.856737785532995E-2</v>
      </c>
      <c r="P7" s="108">
        <f t="shared" ref="P7:P15" si="9">N7/N$6*100</f>
        <v>84.288989361702122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0.58189869527284266</v>
      </c>
      <c r="C8" s="107">
        <f t="shared" si="0"/>
        <v>-8.4344959549492393E-2</v>
      </c>
      <c r="D8" s="108">
        <f t="shared" si="1"/>
        <v>87.340223214285714</v>
      </c>
      <c r="E8" s="102">
        <f>E22*$B$36/100/$B$33</f>
        <v>0.62734478109137071</v>
      </c>
      <c r="F8" s="107">
        <f t="shared" si="2"/>
        <v>-7.8556234137055703E-2</v>
      </c>
      <c r="G8" s="108">
        <f t="shared" si="3"/>
        <v>88.87149438202249</v>
      </c>
      <c r="H8" s="102">
        <f>H22*$B$36/100/$B$33</f>
        <v>0.698548144035533</v>
      </c>
      <c r="I8" s="107">
        <f t="shared" si="4"/>
        <v>-6.2873175761421374E-2</v>
      </c>
      <c r="J8" s="108">
        <f t="shared" si="5"/>
        <v>91.742656249999996</v>
      </c>
      <c r="K8" s="102">
        <f>K22*$B$36/100/$B$33</f>
        <v>0.62410826459390867</v>
      </c>
      <c r="L8" s="107">
        <f t="shared" si="6"/>
        <v>-8.1792750634517741E-2</v>
      </c>
      <c r="M8" s="108">
        <f t="shared" si="7"/>
        <v>88.413000000000011</v>
      </c>
      <c r="N8" s="102">
        <f>N22*$B$36/100/$B$33</f>
        <v>0.33444003807106604</v>
      </c>
      <c r="O8" s="107">
        <f t="shared" si="8"/>
        <v>-3.8339149746192847E-2</v>
      </c>
      <c r="P8" s="108">
        <f t="shared" si="9"/>
        <v>89.715319148936175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0.58837172826776662</v>
      </c>
      <c r="C9" s="107">
        <f t="shared" si="0"/>
        <v>-7.7871926554568427E-2</v>
      </c>
      <c r="D9" s="108">
        <f t="shared" si="1"/>
        <v>88.311794642857151</v>
      </c>
      <c r="E9" s="102">
        <f>E23*$B$36/100/$B$33</f>
        <v>0.63098586215101526</v>
      </c>
      <c r="F9" s="107">
        <f t="shared" si="2"/>
        <v>-7.4915153077411145E-2</v>
      </c>
      <c r="G9" s="108">
        <f t="shared" si="3"/>
        <v>89.387300561797758</v>
      </c>
      <c r="H9" s="102">
        <f>H23*$B$36/100/$B$33</f>
        <v>0.69719959549492394</v>
      </c>
      <c r="I9" s="107">
        <f t="shared" si="4"/>
        <v>-6.4221724302030436E-2</v>
      </c>
      <c r="J9" s="108">
        <f t="shared" si="5"/>
        <v>91.56554687500001</v>
      </c>
      <c r="K9" s="102">
        <f>K23*$B$36/100/$B$33</f>
        <v>0.62599623255076153</v>
      </c>
      <c r="L9" s="107">
        <f t="shared" si="6"/>
        <v>-7.9904782677664876E-2</v>
      </c>
      <c r="M9" s="108">
        <f t="shared" si="7"/>
        <v>88.680455056179781</v>
      </c>
      <c r="N9" s="102">
        <f>N23*$B$36/100/$B$33</f>
        <v>0.33983423223350256</v>
      </c>
      <c r="O9" s="107">
        <f t="shared" si="8"/>
        <v>-3.2944955583756319E-2</v>
      </c>
      <c r="P9" s="108">
        <f t="shared" si="9"/>
        <v>91.162340425531923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0.57529080742385785</v>
      </c>
      <c r="C10" s="107">
        <f t="shared" si="0"/>
        <v>-9.0952847398477199E-2</v>
      </c>
      <c r="D10" s="108">
        <f t="shared" si="1"/>
        <v>86.348410714285706</v>
      </c>
      <c r="E10" s="102">
        <f>E24*$B$36/100/$B$33</f>
        <v>0.61615182820431469</v>
      </c>
      <c r="F10" s="107">
        <f t="shared" si="2"/>
        <v>-8.9749187024111721E-2</v>
      </c>
      <c r="G10" s="108">
        <f t="shared" si="3"/>
        <v>87.285867977528085</v>
      </c>
      <c r="H10" s="102">
        <f>H24*$B$36/100/$B$33</f>
        <v>0.70785312896573616</v>
      </c>
      <c r="I10" s="107">
        <f t="shared" si="4"/>
        <v>-5.3568190831218221E-2</v>
      </c>
      <c r="J10" s="108">
        <f t="shared" si="5"/>
        <v>92.964710937500001</v>
      </c>
      <c r="K10" s="102">
        <f>K24*$B$36/100/$B$33</f>
        <v>0.64770786405456859</v>
      </c>
      <c r="L10" s="107">
        <f t="shared" si="6"/>
        <v>-5.8193151173857816E-2</v>
      </c>
      <c r="M10" s="108">
        <f t="shared" si="7"/>
        <v>91.756188202247202</v>
      </c>
      <c r="N10" s="102">
        <f>N24*$B$36/100/$B$33</f>
        <v>0.30949189006979699</v>
      </c>
      <c r="O10" s="107">
        <f t="shared" si="8"/>
        <v>-6.328729774746189E-2</v>
      </c>
      <c r="P10" s="108">
        <f t="shared" si="9"/>
        <v>83.022845744680865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0.58142670328362944</v>
      </c>
      <c r="C11" s="236">
        <f t="shared" si="0"/>
        <v>-8.4816951538705609E-2</v>
      </c>
      <c r="D11" s="237">
        <f t="shared" si="1"/>
        <v>87.269379464285706</v>
      </c>
      <c r="E11" s="235">
        <f>AVERAGE(E7:E10)</f>
        <v>0.62886189819955596</v>
      </c>
      <c r="F11" s="236">
        <f t="shared" si="2"/>
        <v>-7.7039117028870452E-2</v>
      </c>
      <c r="G11" s="237">
        <f t="shared" si="3"/>
        <v>89.086413623595519</v>
      </c>
      <c r="H11" s="235">
        <f>AVERAGE(H7:H10)</f>
        <v>0.70114409997620575</v>
      </c>
      <c r="I11" s="236">
        <f t="shared" si="4"/>
        <v>-6.0277219820748629E-2</v>
      </c>
      <c r="J11" s="237">
        <f t="shared" si="5"/>
        <v>92.083591796875027</v>
      </c>
      <c r="K11" s="235">
        <f>AVERAGE(K7:K10)</f>
        <v>0.6339526689403554</v>
      </c>
      <c r="L11" s="236">
        <f t="shared" si="6"/>
        <v>-7.1948346288071008E-2</v>
      </c>
      <c r="M11" s="237">
        <f t="shared" si="7"/>
        <v>89.807587078651693</v>
      </c>
      <c r="N11" s="235">
        <f>AVERAGE(N7:N10)</f>
        <v>0.32449449258407365</v>
      </c>
      <c r="O11" s="236">
        <f t="shared" si="8"/>
        <v>-4.8284695233185237E-2</v>
      </c>
      <c r="P11" s="237">
        <f t="shared" si="9"/>
        <v>87.047373670212778</v>
      </c>
      <c r="Q11" s="109"/>
    </row>
    <row r="12" spans="1:19" s="96" customFormat="1" ht="15.75" x14ac:dyDescent="0.25">
      <c r="A12" s="110" t="s">
        <v>24</v>
      </c>
      <c r="B12" s="102">
        <f>B25*$B$32/100/$B$33</f>
        <v>0.8481879560596447</v>
      </c>
      <c r="C12" s="107">
        <f t="shared" si="0"/>
        <v>0.18194430123730965</v>
      </c>
      <c r="D12" s="108">
        <f t="shared" si="1"/>
        <v>127.30897321428571</v>
      </c>
      <c r="E12" s="102">
        <f>E25*$B$32/100/$B$33</f>
        <v>0.8912357749048222</v>
      </c>
      <c r="F12" s="107">
        <f t="shared" si="2"/>
        <v>0.18533475967639579</v>
      </c>
      <c r="G12" s="108">
        <f t="shared" si="3"/>
        <v>126.25506348314603</v>
      </c>
      <c r="H12" s="102">
        <f>H25*$B$32/100/$B$33</f>
        <v>1.0138126150063451</v>
      </c>
      <c r="I12" s="107">
        <f t="shared" si="4"/>
        <v>0.25239129520939074</v>
      </c>
      <c r="J12" s="108">
        <f t="shared" si="5"/>
        <v>133.14739010416665</v>
      </c>
      <c r="K12" s="102">
        <f>K25*$B$32/100/$B$33</f>
        <v>0.84782314403553294</v>
      </c>
      <c r="L12" s="107">
        <f t="shared" si="6"/>
        <v>0.14192212880710653</v>
      </c>
      <c r="M12" s="108">
        <f t="shared" si="7"/>
        <v>120.10510337078651</v>
      </c>
      <c r="N12" s="102">
        <f>N25*$B$32/100/$B$33</f>
        <v>0.39363217401649742</v>
      </c>
      <c r="O12" s="107">
        <f t="shared" si="8"/>
        <v>2.0852986199238532E-2</v>
      </c>
      <c r="P12" s="108">
        <f t="shared" si="9"/>
        <v>105.59392446808509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1.3327257693527919</v>
      </c>
      <c r="F13" s="107">
        <f t="shared" si="2"/>
        <v>0.62682475412436545</v>
      </c>
      <c r="G13" s="108">
        <f t="shared" si="3"/>
        <v>188.79782584269662</v>
      </c>
      <c r="H13" s="102">
        <f>H26*$B$34/$B$33</f>
        <v>1.4036783391497463</v>
      </c>
      <c r="I13" s="107">
        <f t="shared" si="4"/>
        <v>0.64225701935279189</v>
      </c>
      <c r="J13" s="108">
        <f t="shared" si="5"/>
        <v>184.34975520833333</v>
      </c>
      <c r="K13" s="102">
        <f>K26*$B$34/$B$33</f>
        <v>1.2144714863578681</v>
      </c>
      <c r="L13" s="107">
        <f t="shared" si="6"/>
        <v>0.50857047112944165</v>
      </c>
      <c r="M13" s="108">
        <f t="shared" si="7"/>
        <v>172.04557865168539</v>
      </c>
      <c r="N13" s="102">
        <f>N26*$B$34/$B$33</f>
        <v>0.59718412912436547</v>
      </c>
      <c r="O13" s="107">
        <f t="shared" si="8"/>
        <v>0.22440494130710659</v>
      </c>
      <c r="P13" s="108">
        <f t="shared" si="9"/>
        <v>160.19781914893616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1.259408113895939</v>
      </c>
      <c r="F14" s="107">
        <f t="shared" si="2"/>
        <v>0.55350709866751258</v>
      </c>
      <c r="G14" s="108">
        <f t="shared" si="3"/>
        <v>178.41143258426965</v>
      </c>
      <c r="H14" s="102">
        <f>H27*$B$34/$B$33</f>
        <v>1.3646544257614213</v>
      </c>
      <c r="I14" s="107">
        <f t="shared" si="4"/>
        <v>0.60323310596446689</v>
      </c>
      <c r="J14" s="108">
        <f t="shared" si="5"/>
        <v>179.22461458333331</v>
      </c>
      <c r="K14" s="102">
        <f>K27*$B$34/$B$33</f>
        <v>1.1293284026015229</v>
      </c>
      <c r="L14" s="107">
        <f t="shared" si="6"/>
        <v>0.42342738737309649</v>
      </c>
      <c r="M14" s="108">
        <f t="shared" si="7"/>
        <v>159.98396067415729</v>
      </c>
      <c r="N14" s="102">
        <f>N27*$B$34/$B$33</f>
        <v>0.59481904346446701</v>
      </c>
      <c r="O14" s="107">
        <f t="shared" si="8"/>
        <v>0.22203985564720813</v>
      </c>
      <c r="P14" s="108">
        <f t="shared" si="9"/>
        <v>159.56337234042553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1.1978081376903553</v>
      </c>
      <c r="F15" s="119">
        <f t="shared" si="2"/>
        <v>0.49190712246192891</v>
      </c>
      <c r="G15" s="120">
        <f t="shared" si="3"/>
        <v>169.685</v>
      </c>
      <c r="H15" s="118">
        <f>H28*$B$35/10/$B$33</f>
        <v>1.2570256186548223</v>
      </c>
      <c r="I15" s="119">
        <f t="shared" si="4"/>
        <v>0.49560429885786794</v>
      </c>
      <c r="J15" s="120">
        <f t="shared" si="5"/>
        <v>165.08936458333332</v>
      </c>
      <c r="K15" s="118">
        <f>K28*$B$35/10/$B$33</f>
        <v>1.1735828045685279</v>
      </c>
      <c r="L15" s="119">
        <f t="shared" si="6"/>
        <v>0.46768178934010152</v>
      </c>
      <c r="M15" s="120">
        <f t="shared" si="7"/>
        <v>166.25316853932583</v>
      </c>
      <c r="N15" s="118">
        <f>N28*$B$35/10/$B$33</f>
        <v>0.53564903236040606</v>
      </c>
      <c r="O15" s="119">
        <f t="shared" si="8"/>
        <v>0.16286984454314718</v>
      </c>
      <c r="P15" s="120">
        <f t="shared" si="9"/>
        <v>143.69070212765956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10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0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03" t="s">
        <v>214</v>
      </c>
      <c r="X19" s="403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47.53</v>
      </c>
      <c r="F21" s="144" t="s">
        <v>172</v>
      </c>
      <c r="G21" s="145" t="s">
        <v>172</v>
      </c>
      <c r="H21" s="143">
        <v>51.98</v>
      </c>
      <c r="I21" s="144" t="s">
        <v>172</v>
      </c>
      <c r="J21" s="145" t="s">
        <v>172</v>
      </c>
      <c r="K21" s="143">
        <v>47.31</v>
      </c>
      <c r="L21" s="144" t="s">
        <v>172</v>
      </c>
      <c r="M21" s="145" t="s">
        <v>172</v>
      </c>
      <c r="N21" s="143">
        <v>23.3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43.15</v>
      </c>
      <c r="C22" s="144" t="s">
        <v>172</v>
      </c>
      <c r="D22" s="145" t="s">
        <v>172</v>
      </c>
      <c r="E22" s="143">
        <v>46.52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51.7</v>
      </c>
      <c r="I23" s="144" t="s">
        <v>172</v>
      </c>
      <c r="J23" s="145" t="s">
        <v>172</v>
      </c>
      <c r="K23" s="143">
        <v>46.42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42.66</v>
      </c>
      <c r="C24" s="144" t="s">
        <v>172</v>
      </c>
      <c r="D24" s="145" t="s">
        <v>172</v>
      </c>
      <c r="E24" s="143">
        <v>45.69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48.03</v>
      </c>
      <c r="L24" s="144" t="s">
        <v>172</v>
      </c>
      <c r="M24" s="145" t="s">
        <v>172</v>
      </c>
      <c r="N24" s="143">
        <v>22.95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1.127</v>
      </c>
      <c r="F26" s="144" t="s">
        <v>172</v>
      </c>
      <c r="G26" s="145" t="s">
        <v>172</v>
      </c>
      <c r="H26" s="153">
        <v>1.1870000000000001</v>
      </c>
      <c r="I26" s="144" t="s">
        <v>172</v>
      </c>
      <c r="J26" s="145" t="s">
        <v>172</v>
      </c>
      <c r="K26" s="153">
        <v>1.0269999999999999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1.0649999999999999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0.95499999999999996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4.45</v>
      </c>
      <c r="F28" s="158" t="s">
        <v>172</v>
      </c>
      <c r="G28" s="159" t="s">
        <v>172</v>
      </c>
      <c r="H28" s="234">
        <v>4.67</v>
      </c>
      <c r="I28" s="158" t="s">
        <v>172</v>
      </c>
      <c r="J28" s="159" t="s">
        <v>172</v>
      </c>
      <c r="K28" s="234">
        <v>4.3600000000000003</v>
      </c>
      <c r="L28" s="158" t="s">
        <v>172</v>
      </c>
      <c r="M28" s="159" t="s">
        <v>172</v>
      </c>
      <c r="N28" s="234">
        <v>1.99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0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9.1990999999999996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2.5215999999999998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2.9819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6.7873999999999999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3.4005000000000001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C5" sqref="C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44074</v>
      </c>
      <c r="E2" s="493"/>
      <c r="F2" s="406"/>
      <c r="G2" s="406"/>
      <c r="H2" s="406"/>
      <c r="I2" s="406"/>
      <c r="J2" s="406"/>
      <c r="K2" s="406"/>
      <c r="L2" s="406"/>
      <c r="M2" s="406"/>
      <c r="N2" s="406"/>
      <c r="O2" s="406"/>
      <c r="P2" s="406"/>
      <c r="Q2" s="406"/>
      <c r="R2" s="406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0.63084375352033339</v>
      </c>
      <c r="C6" s="103" t="s">
        <v>172</v>
      </c>
      <c r="D6" s="104" t="s">
        <v>172</v>
      </c>
      <c r="E6" s="102">
        <f>E20/$B$33</f>
        <v>0.6683939769441628</v>
      </c>
      <c r="F6" s="103" t="s">
        <v>172</v>
      </c>
      <c r="G6" s="104" t="s">
        <v>172</v>
      </c>
      <c r="H6" s="102">
        <f>H20/$B$33</f>
        <v>0.72096428973752391</v>
      </c>
      <c r="I6" s="103" t="s">
        <v>172</v>
      </c>
      <c r="J6" s="104" t="s">
        <v>172</v>
      </c>
      <c r="K6" s="102">
        <f>K20/$B$33</f>
        <v>0.6683939769441628</v>
      </c>
      <c r="L6" s="103" t="s">
        <v>172</v>
      </c>
      <c r="M6" s="104" t="s">
        <v>172</v>
      </c>
      <c r="N6" s="102">
        <f>N20/$B$33</f>
        <v>0.35297210018399605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0.57740420562502337</v>
      </c>
      <c r="C7" s="107">
        <f t="shared" ref="C7:C12" si="0">B7-B$6</f>
        <v>-5.3439547895310024E-2</v>
      </c>
      <c r="D7" s="108">
        <f t="shared" ref="D7:D12" si="1">B7/B$6*100</f>
        <v>91.52887738095238</v>
      </c>
      <c r="E7" s="102">
        <f>E21*$B$36/100/$B$33</f>
        <v>0.63853638992152006</v>
      </c>
      <c r="F7" s="107">
        <f t="shared" ref="F7:F15" si="2">E7-E$6</f>
        <v>-2.985758702264274E-2</v>
      </c>
      <c r="G7" s="108">
        <f t="shared" ref="G7:G15" si="3">E7/E$6*100</f>
        <v>95.532935955056189</v>
      </c>
      <c r="H7" s="102">
        <f>H21*$B$36/100/$B$33</f>
        <v>0.69685327625699367</v>
      </c>
      <c r="I7" s="107">
        <f t="shared" ref="I7:I15" si="4">H7-H$6</f>
        <v>-2.4111013480530241E-2</v>
      </c>
      <c r="J7" s="108">
        <f t="shared" ref="J7:J15" si="5">H7/H$6*100</f>
        <v>96.655727083333332</v>
      </c>
      <c r="K7" s="102">
        <f>K21*$B$36/100/$B$33</f>
        <v>0.63438047388381946</v>
      </c>
      <c r="L7" s="107">
        <f t="shared" ref="L7:L15" si="6">K7-K$6</f>
        <v>-3.4013503060343342E-2</v>
      </c>
      <c r="M7" s="108">
        <f t="shared" ref="M7:M15" si="7">K7/K$6*100</f>
        <v>94.911159550561777</v>
      </c>
      <c r="N7" s="102">
        <f>N21*$B$36/100/$B$33</f>
        <v>0.32174833840261347</v>
      </c>
      <c r="O7" s="107">
        <f t="shared" ref="O7:O15" si="8">N7-N$6</f>
        <v>-3.1223761781382586E-2</v>
      </c>
      <c r="P7" s="108">
        <f t="shared" ref="P7:P15" si="9">N7/N$6*100</f>
        <v>91.154042553191488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0.57954919454770759</v>
      </c>
      <c r="C8" s="107">
        <f t="shared" si="0"/>
        <v>-5.1294558972625803E-2</v>
      </c>
      <c r="D8" s="108">
        <f t="shared" si="1"/>
        <v>91.868896428571446</v>
      </c>
      <c r="E8" s="102">
        <f>E22*$B$36/100/$B$33</f>
        <v>0.58893352108445041</v>
      </c>
      <c r="F8" s="107">
        <f t="shared" si="2"/>
        <v>-7.9460455859712398E-2</v>
      </c>
      <c r="G8" s="108">
        <f t="shared" si="3"/>
        <v>88.111733707865156</v>
      </c>
      <c r="H8" s="102">
        <f>H22*$B$36/100/$B$33</f>
        <v>0.69444016371897399</v>
      </c>
      <c r="I8" s="107">
        <f t="shared" si="4"/>
        <v>-2.6524126018549921E-2</v>
      </c>
      <c r="J8" s="108">
        <f t="shared" si="5"/>
        <v>96.321020833333321</v>
      </c>
      <c r="K8" s="102">
        <f>K22*$B$36/100/$B$33</f>
        <v>0.62043804588637308</v>
      </c>
      <c r="L8" s="107">
        <f t="shared" si="6"/>
        <v>-4.7955931057789725E-2</v>
      </c>
      <c r="M8" s="108">
        <f t="shared" si="7"/>
        <v>92.825200000000009</v>
      </c>
      <c r="N8" s="102">
        <f>N22*$B$36/100/$B$33</f>
        <v>0.33247328301603396</v>
      </c>
      <c r="O8" s="107">
        <f t="shared" si="8"/>
        <v>-2.0498817167962091E-2</v>
      </c>
      <c r="P8" s="108">
        <f t="shared" si="9"/>
        <v>94.19251063829789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0.58517979046975332</v>
      </c>
      <c r="C9" s="107">
        <f t="shared" si="0"/>
        <v>-4.566396305058007E-2</v>
      </c>
      <c r="D9" s="108">
        <f t="shared" si="1"/>
        <v>92.761446428571432</v>
      </c>
      <c r="E9" s="102">
        <f>E23*$B$36/100/$B$33</f>
        <v>0.62781144530809951</v>
      </c>
      <c r="F9" s="107">
        <f t="shared" si="2"/>
        <v>-4.058253163606329E-2</v>
      </c>
      <c r="G9" s="108">
        <f t="shared" si="3"/>
        <v>93.928351685393253</v>
      </c>
      <c r="H9" s="102">
        <f>H23*$B$36/100/$B$33</f>
        <v>0.69578078179565161</v>
      </c>
      <c r="I9" s="107">
        <f t="shared" si="4"/>
        <v>-2.5183507941872296E-2</v>
      </c>
      <c r="J9" s="108">
        <f t="shared" si="5"/>
        <v>96.506968749999999</v>
      </c>
      <c r="K9" s="102">
        <f>K23*$B$36/100/$B$33</f>
        <v>0.62191272577071832</v>
      </c>
      <c r="L9" s="107">
        <f t="shared" si="6"/>
        <v>-4.6481251173444482E-2</v>
      </c>
      <c r="M9" s="108">
        <f t="shared" si="7"/>
        <v>93.045830337078655</v>
      </c>
      <c r="N9" s="102">
        <f>N23*$B$36/100/$B$33</f>
        <v>0.33783575532274412</v>
      </c>
      <c r="O9" s="107">
        <f t="shared" si="8"/>
        <v>-1.5136344861251927E-2</v>
      </c>
      <c r="P9" s="108">
        <f t="shared" si="9"/>
        <v>95.711744680851069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0.57043299162630012</v>
      </c>
      <c r="C10" s="107">
        <f t="shared" si="0"/>
        <v>-6.0410761894033271E-2</v>
      </c>
      <c r="D10" s="108">
        <f t="shared" si="1"/>
        <v>90.42381547619047</v>
      </c>
      <c r="E10" s="102">
        <f>E24*$B$36/100/$B$33</f>
        <v>0.61078559573429458</v>
      </c>
      <c r="F10" s="107">
        <f t="shared" si="2"/>
        <v>-5.760838120986822E-2</v>
      </c>
      <c r="G10" s="108">
        <f t="shared" si="3"/>
        <v>91.38107415730336</v>
      </c>
      <c r="H10" s="102">
        <f>H24*$B$36/100/$B$33</f>
        <v>0.70369042844804919</v>
      </c>
      <c r="I10" s="107">
        <f t="shared" si="4"/>
        <v>-1.7273861289474723E-2</v>
      </c>
      <c r="J10" s="108">
        <f t="shared" si="5"/>
        <v>97.604061458333319</v>
      </c>
      <c r="K10" s="102">
        <f>K24*$B$36/100/$B$33</f>
        <v>0.64229012053621704</v>
      </c>
      <c r="L10" s="107">
        <f t="shared" si="6"/>
        <v>-2.6103856407945769E-2</v>
      </c>
      <c r="M10" s="108">
        <f t="shared" si="7"/>
        <v>96.094540449438185</v>
      </c>
      <c r="N10" s="102">
        <f>N24*$B$36/100/$B$33</f>
        <v>0.30767184859749913</v>
      </c>
      <c r="O10" s="107">
        <f t="shared" si="8"/>
        <v>-4.530025158649692E-2</v>
      </c>
      <c r="P10" s="108">
        <f t="shared" si="9"/>
        <v>87.166053191489368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0.5781415455671961</v>
      </c>
      <c r="C11" s="236">
        <f t="shared" si="0"/>
        <v>-5.2702207953137292E-2</v>
      </c>
      <c r="D11" s="237">
        <f t="shared" si="1"/>
        <v>91.645758928571425</v>
      </c>
      <c r="E11" s="235">
        <f>AVERAGE(E7:E10)</f>
        <v>0.61651673801209117</v>
      </c>
      <c r="F11" s="236">
        <f t="shared" si="2"/>
        <v>-5.1877238932071634E-2</v>
      </c>
      <c r="G11" s="237">
        <f t="shared" si="3"/>
        <v>92.2385238764045</v>
      </c>
      <c r="H11" s="235">
        <f>AVERAGE(H7:H10)</f>
        <v>0.69769116255491714</v>
      </c>
      <c r="I11" s="236">
        <f t="shared" si="4"/>
        <v>-2.3273127182606768E-2</v>
      </c>
      <c r="J11" s="237">
        <f t="shared" si="5"/>
        <v>96.77194453125</v>
      </c>
      <c r="K11" s="235">
        <f>AVERAGE(K7:K10)</f>
        <v>0.62975534151928192</v>
      </c>
      <c r="L11" s="236">
        <f t="shared" si="6"/>
        <v>-3.8638635424880885E-2</v>
      </c>
      <c r="M11" s="237">
        <f t="shared" si="7"/>
        <v>94.219182584269646</v>
      </c>
      <c r="N11" s="235">
        <f>AVERAGE(N7:N10)</f>
        <v>0.32493230633472264</v>
      </c>
      <c r="O11" s="236">
        <f t="shared" si="8"/>
        <v>-2.8039793849273409E-2</v>
      </c>
      <c r="P11" s="237">
        <f t="shared" si="9"/>
        <v>92.056087765957443</v>
      </c>
      <c r="Q11" s="109"/>
    </row>
    <row r="12" spans="1:19" s="96" customFormat="1" ht="15.75" x14ac:dyDescent="0.25">
      <c r="A12" s="110" t="s">
        <v>24</v>
      </c>
      <c r="B12" s="102">
        <f>B25*$B$32/100/$B$33</f>
        <v>0.8459783710713078</v>
      </c>
      <c r="C12" s="107">
        <f t="shared" si="0"/>
        <v>0.21513461755097441</v>
      </c>
      <c r="D12" s="108">
        <f t="shared" si="1"/>
        <v>134.10267857142856</v>
      </c>
      <c r="E12" s="102">
        <f>E25*$B$32/100/$B$33</f>
        <v>0.88891404753858283</v>
      </c>
      <c r="F12" s="107">
        <f t="shared" si="2"/>
        <v>0.22052007059442003</v>
      </c>
      <c r="G12" s="108">
        <f t="shared" si="3"/>
        <v>132.99252808988763</v>
      </c>
      <c r="H12" s="102">
        <f>H25*$B$32/100/$B$33</f>
        <v>1.0111715669708234</v>
      </c>
      <c r="I12" s="107">
        <f t="shared" si="4"/>
        <v>0.29020727723329953</v>
      </c>
      <c r="J12" s="108">
        <f t="shared" si="5"/>
        <v>140.25265625</v>
      </c>
      <c r="K12" s="102">
        <f>K25*$B$32/100/$B$33</f>
        <v>0.84561450940633087</v>
      </c>
      <c r="L12" s="107">
        <f t="shared" si="6"/>
        <v>0.17722053246216807</v>
      </c>
      <c r="M12" s="108">
        <f t="shared" si="7"/>
        <v>126.51438202247189</v>
      </c>
      <c r="N12" s="102">
        <f>N25*$B$32/100/$B$33</f>
        <v>0.39260673651008221</v>
      </c>
      <c r="O12" s="107">
        <f t="shared" si="8"/>
        <v>3.9634636326086159E-2</v>
      </c>
      <c r="P12" s="108">
        <f t="shared" si="9"/>
        <v>111.22882978723405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1.3401613157598287</v>
      </c>
      <c r="F13" s="107">
        <f t="shared" si="2"/>
        <v>0.67176733881566586</v>
      </c>
      <c r="G13" s="108">
        <f t="shared" si="3"/>
        <v>200.5046966292135</v>
      </c>
      <c r="H13" s="102">
        <f>H26*$B$34/$B$33</f>
        <v>1.4115097442829785</v>
      </c>
      <c r="I13" s="107">
        <f t="shared" si="4"/>
        <v>0.69054545454545457</v>
      </c>
      <c r="J13" s="108">
        <f t="shared" si="5"/>
        <v>195.78081250000002</v>
      </c>
      <c r="K13" s="102">
        <f>K26*$B$34/$B$33</f>
        <v>1.2093558634673875</v>
      </c>
      <c r="L13" s="107">
        <f t="shared" si="6"/>
        <v>0.54096188652322474</v>
      </c>
      <c r="M13" s="108">
        <f t="shared" si="7"/>
        <v>180.93458426966291</v>
      </c>
      <c r="N13" s="102">
        <f>N26*$B$34/$B$33</f>
        <v>0.60051594006984332</v>
      </c>
      <c r="O13" s="107">
        <f t="shared" si="8"/>
        <v>0.24754383988584727</v>
      </c>
      <c r="P13" s="108">
        <f t="shared" si="9"/>
        <v>170.13127659574468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1.254543201532049</v>
      </c>
      <c r="F14" s="107">
        <f t="shared" si="2"/>
        <v>0.58614922458788621</v>
      </c>
      <c r="G14" s="108">
        <f t="shared" si="3"/>
        <v>187.69516853932583</v>
      </c>
      <c r="H14" s="102">
        <f>H27*$B$34/$B$33</f>
        <v>1.372268108595246</v>
      </c>
      <c r="I14" s="107">
        <f t="shared" si="4"/>
        <v>0.65130381885772204</v>
      </c>
      <c r="J14" s="108">
        <f t="shared" si="5"/>
        <v>190.337875</v>
      </c>
      <c r="K14" s="102">
        <f>K27*$B$34/$B$33</f>
        <v>1.1237377492396079</v>
      </c>
      <c r="L14" s="107">
        <f t="shared" si="6"/>
        <v>0.45534377229544509</v>
      </c>
      <c r="M14" s="108">
        <f t="shared" si="7"/>
        <v>168.12505617977527</v>
      </c>
      <c r="N14" s="102">
        <f>N27*$B$34/$B$33</f>
        <v>0.5981376591190718</v>
      </c>
      <c r="O14" s="107">
        <f t="shared" si="8"/>
        <v>0.24516555893507574</v>
      </c>
      <c r="P14" s="108">
        <f t="shared" si="9"/>
        <v>169.45748936170216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1.2085163906725245</v>
      </c>
      <c r="F15" s="119">
        <f t="shared" si="2"/>
        <v>0.54012241372836167</v>
      </c>
      <c r="G15" s="120">
        <f t="shared" si="3"/>
        <v>180.80898876404495</v>
      </c>
      <c r="H15" s="118">
        <f>H28*$B$35/10/$B$33</f>
        <v>1.2734031767489016</v>
      </c>
      <c r="I15" s="119">
        <f t="shared" si="4"/>
        <v>0.55243888701137767</v>
      </c>
      <c r="J15" s="120">
        <f t="shared" si="5"/>
        <v>176.625</v>
      </c>
      <c r="K15" s="118">
        <f>K28*$B$35/10/$B$33</f>
        <v>1.1814802298073674</v>
      </c>
      <c r="L15" s="119">
        <f t="shared" si="6"/>
        <v>0.51308625286320464</v>
      </c>
      <c r="M15" s="120">
        <f t="shared" si="7"/>
        <v>176.76404494382024</v>
      </c>
      <c r="N15" s="118">
        <f>N28*$B$35/10/$B$33</f>
        <v>0.53261236904359577</v>
      </c>
      <c r="O15" s="119">
        <f t="shared" si="8"/>
        <v>0.17964026885959972</v>
      </c>
      <c r="P15" s="120">
        <f t="shared" si="9"/>
        <v>150.89361702127658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0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05" t="s">
        <v>214</v>
      </c>
      <c r="X19" s="405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43.07</v>
      </c>
      <c r="C21" s="144" t="s">
        <v>172</v>
      </c>
      <c r="D21" s="145" t="s">
        <v>172</v>
      </c>
      <c r="E21" s="143">
        <v>47.63</v>
      </c>
      <c r="F21" s="144" t="s">
        <v>172</v>
      </c>
      <c r="G21" s="145" t="s">
        <v>172</v>
      </c>
      <c r="H21" s="143">
        <v>51.98</v>
      </c>
      <c r="I21" s="144" t="s">
        <v>172</v>
      </c>
      <c r="J21" s="145" t="s">
        <v>172</v>
      </c>
      <c r="K21" s="143">
        <v>47.32</v>
      </c>
      <c r="L21" s="144" t="s">
        <v>172</v>
      </c>
      <c r="M21" s="145" t="s">
        <v>172</v>
      </c>
      <c r="N21" s="143">
        <v>24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43.23</v>
      </c>
      <c r="C22" s="144" t="s">
        <v>172</v>
      </c>
      <c r="D22" s="145" t="s">
        <v>172</v>
      </c>
      <c r="E22" s="143">
        <v>43.93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43.65</v>
      </c>
      <c r="C23" s="144" t="s">
        <v>172</v>
      </c>
      <c r="D23" s="145" t="s">
        <v>172</v>
      </c>
      <c r="E23" s="143">
        <v>46.83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46.39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42.55</v>
      </c>
      <c r="C24" s="144" t="s">
        <v>172</v>
      </c>
      <c r="D24" s="145" t="s">
        <v>172</v>
      </c>
      <c r="E24" s="143">
        <v>45.56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47.91</v>
      </c>
      <c r="L24" s="144" t="s">
        <v>172</v>
      </c>
      <c r="M24" s="145" t="s">
        <v>172</v>
      </c>
      <c r="N24" s="143">
        <v>22.95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1.127</v>
      </c>
      <c r="F26" s="144" t="s">
        <v>172</v>
      </c>
      <c r="G26" s="145" t="s">
        <v>172</v>
      </c>
      <c r="H26" s="153">
        <v>1.1870000000000001</v>
      </c>
      <c r="I26" s="144" t="s">
        <v>172</v>
      </c>
      <c r="J26" s="145" t="s">
        <v>172</v>
      </c>
      <c r="K26" s="153">
        <v>1.0169999999999999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1.0549999999999999</v>
      </c>
      <c r="F27" s="144" t="s">
        <v>172</v>
      </c>
      <c r="G27" s="145" t="s">
        <v>172</v>
      </c>
      <c r="H27" s="153">
        <v>1.1539999999999999</v>
      </c>
      <c r="I27" s="144" t="s">
        <v>172</v>
      </c>
      <c r="J27" s="145" t="s">
        <v>172</v>
      </c>
      <c r="K27" s="153">
        <v>0.94499999999999995</v>
      </c>
      <c r="L27" s="144" t="s">
        <v>172</v>
      </c>
      <c r="M27" s="145" t="s">
        <v>172</v>
      </c>
      <c r="N27" s="153">
        <v>0.503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4.47</v>
      </c>
      <c r="F28" s="158" t="s">
        <v>172</v>
      </c>
      <c r="G28" s="159" t="s">
        <v>172</v>
      </c>
      <c r="H28" s="234">
        <v>4.71</v>
      </c>
      <c r="I28" s="158" t="s">
        <v>172</v>
      </c>
      <c r="J28" s="159" t="s">
        <v>172</v>
      </c>
      <c r="K28" s="234">
        <v>4.37</v>
      </c>
      <c r="L28" s="158" t="s">
        <v>172</v>
      </c>
      <c r="M28" s="159" t="s">
        <v>172</v>
      </c>
      <c r="N28" s="234">
        <v>1.97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0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9.69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2.6631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3.1667999999999998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7.2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3.5701999999999998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44081</v>
      </c>
      <c r="E2" s="493"/>
      <c r="F2" s="407"/>
      <c r="G2" s="407"/>
      <c r="H2" s="407"/>
      <c r="I2" s="407"/>
      <c r="J2" s="407"/>
      <c r="K2" s="407"/>
      <c r="L2" s="407"/>
      <c r="M2" s="407"/>
      <c r="N2" s="407"/>
      <c r="O2" s="407"/>
      <c r="P2" s="407"/>
      <c r="Q2" s="407"/>
      <c r="R2" s="407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0.63776478627287225</v>
      </c>
      <c r="C6" s="103" t="s">
        <v>172</v>
      </c>
      <c r="D6" s="104" t="s">
        <v>172</v>
      </c>
      <c r="E6" s="102">
        <f>E20/$B$33</f>
        <v>0.67572697593197184</v>
      </c>
      <c r="F6" s="103" t="s">
        <v>172</v>
      </c>
      <c r="G6" s="104" t="s">
        <v>172</v>
      </c>
      <c r="H6" s="102">
        <f>H20/$B$33</f>
        <v>0.72887404145471113</v>
      </c>
      <c r="I6" s="103" t="s">
        <v>172</v>
      </c>
      <c r="J6" s="104" t="s">
        <v>172</v>
      </c>
      <c r="K6" s="102">
        <f>K20/$B$33</f>
        <v>0.67572697593197184</v>
      </c>
      <c r="L6" s="103" t="s">
        <v>172</v>
      </c>
      <c r="M6" s="104" t="s">
        <v>172</v>
      </c>
      <c r="N6" s="102">
        <f>N20/$B$33</f>
        <v>0.35684458279553566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0.57331406499126869</v>
      </c>
      <c r="C7" s="107">
        <f t="shared" ref="C7:C12" si="0">B7-B$6</f>
        <v>-6.4450721281603562E-2</v>
      </c>
      <c r="D7" s="108">
        <f t="shared" ref="D7:D12" si="1">B7/B$6*100</f>
        <v>89.894280357142847</v>
      </c>
      <c r="E7" s="102">
        <f>E21*$B$36/100/$B$33</f>
        <v>0.63313698276516595</v>
      </c>
      <c r="F7" s="107">
        <f t="shared" ref="F7:F15" si="2">E7-E$6</f>
        <v>-4.2589993166805895E-2</v>
      </c>
      <c r="G7" s="108">
        <f t="shared" ref="G7:G15" si="3">E7/E$6*100</f>
        <v>93.697159550561793</v>
      </c>
      <c r="H7" s="102">
        <f>H21*$B$36/100/$B$33</f>
        <v>0.69256019284792347</v>
      </c>
      <c r="I7" s="107">
        <f t="shared" ref="I7:I15" si="4">H7-H$6</f>
        <v>-3.6313848606787658E-2</v>
      </c>
      <c r="J7" s="108">
        <f t="shared" ref="J7:J15" si="5">H7/H$6*100</f>
        <v>95.017815624999997</v>
      </c>
      <c r="K7" s="102">
        <f>K21*$B$36/100/$B$33</f>
        <v>0.63060550072128174</v>
      </c>
      <c r="L7" s="107">
        <f t="shared" ref="L7:L15" si="6">K7-K$6</f>
        <v>-4.5121475210690098E-2</v>
      </c>
      <c r="M7" s="108">
        <f t="shared" ref="M7:M15" si="7">K7/K$6*100</f>
        <v>93.322528651685403</v>
      </c>
      <c r="N7" s="102">
        <f>N21*$B$36/100/$B$33</f>
        <v>0.32083204008807231</v>
      </c>
      <c r="O7" s="107">
        <f t="shared" ref="O7:O15" si="8">N7-N$6</f>
        <v>-3.6012542707463346E-2</v>
      </c>
      <c r="P7" s="108">
        <f t="shared" ref="P7:P15" si="9">N7/N$6*100</f>
        <v>89.908059574468098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0.5734473008883153</v>
      </c>
      <c r="C8" s="107">
        <f t="shared" si="0"/>
        <v>-6.4317485384556949E-2</v>
      </c>
      <c r="D8" s="108">
        <f t="shared" si="1"/>
        <v>89.915171428571441</v>
      </c>
      <c r="E8" s="102">
        <f>E22*$B$36/100/$B$33</f>
        <v>0.6234107622807683</v>
      </c>
      <c r="F8" s="107">
        <f t="shared" si="2"/>
        <v>-5.2316213651203536E-2</v>
      </c>
      <c r="G8" s="108">
        <f t="shared" si="3"/>
        <v>92.25778820224717</v>
      </c>
      <c r="H8" s="102">
        <f>H22*$B$36/100/$B$33</f>
        <v>0.69016194670108577</v>
      </c>
      <c r="I8" s="107">
        <f t="shared" si="4"/>
        <v>-3.8712094753625359E-2</v>
      </c>
      <c r="J8" s="108">
        <f t="shared" si="5"/>
        <v>94.688781250000005</v>
      </c>
      <c r="K8" s="102">
        <f>K22*$B$36/100/$B$33</f>
        <v>0.61528337256092935</v>
      </c>
      <c r="L8" s="107">
        <f t="shared" si="6"/>
        <v>-6.0443603371042487E-2</v>
      </c>
      <c r="M8" s="108">
        <f t="shared" si="7"/>
        <v>91.055025842696622</v>
      </c>
      <c r="N8" s="102">
        <f>N22*$B$36/100/$B$33</f>
        <v>0.33042502467542328</v>
      </c>
      <c r="O8" s="107">
        <f t="shared" si="8"/>
        <v>-2.6419558120112374E-2</v>
      </c>
      <c r="P8" s="108">
        <f t="shared" si="9"/>
        <v>92.596340425531906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0.57930968035836305</v>
      </c>
      <c r="C9" s="107">
        <f t="shared" si="0"/>
        <v>-5.8455105914509198E-2</v>
      </c>
      <c r="D9" s="108">
        <f t="shared" si="1"/>
        <v>90.834378571428559</v>
      </c>
      <c r="E9" s="102">
        <f>E23*$B$36/100/$B$33</f>
        <v>0.62327752638372191</v>
      </c>
      <c r="F9" s="107">
        <f t="shared" si="2"/>
        <v>-5.2449449548249927E-2</v>
      </c>
      <c r="G9" s="108">
        <f t="shared" si="3"/>
        <v>92.238070786516857</v>
      </c>
      <c r="H9" s="102">
        <f>H23*$B$36/100/$B$33</f>
        <v>0.69149430567155112</v>
      </c>
      <c r="I9" s="107">
        <f t="shared" si="4"/>
        <v>-3.7379735783160006E-2</v>
      </c>
      <c r="J9" s="108">
        <f t="shared" si="5"/>
        <v>94.871578124999999</v>
      </c>
      <c r="K9" s="102">
        <f>K23*$B$36/100/$B$33</f>
        <v>0.61661573153139482</v>
      </c>
      <c r="L9" s="107">
        <f t="shared" si="6"/>
        <v>-5.9111244400577023E-2</v>
      </c>
      <c r="M9" s="108">
        <f t="shared" si="7"/>
        <v>91.252200000000002</v>
      </c>
      <c r="N9" s="102">
        <f>N23*$B$36/100/$B$33</f>
        <v>0.33575446055728497</v>
      </c>
      <c r="O9" s="107">
        <f t="shared" si="8"/>
        <v>-2.1090122238250686E-2</v>
      </c>
      <c r="P9" s="108">
        <f t="shared" si="9"/>
        <v>94.089829787234052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0.57131552653557061</v>
      </c>
      <c r="C10" s="107">
        <f t="shared" si="0"/>
        <v>-6.6449259737301647E-2</v>
      </c>
      <c r="D10" s="108">
        <f t="shared" si="1"/>
        <v>89.580914285714286</v>
      </c>
      <c r="E10" s="102">
        <f>E24*$B$36/100/$B$33</f>
        <v>0.6070227469440439</v>
      </c>
      <c r="F10" s="107">
        <f t="shared" si="2"/>
        <v>-6.870422898792794E-2</v>
      </c>
      <c r="G10" s="108">
        <f t="shared" si="3"/>
        <v>89.832546067415748</v>
      </c>
      <c r="H10" s="102">
        <f>H24*$B$36/100/$B$33</f>
        <v>0.69935522359729707</v>
      </c>
      <c r="I10" s="107">
        <f t="shared" si="4"/>
        <v>-2.9518817857414059E-2</v>
      </c>
      <c r="J10" s="108">
        <f t="shared" si="5"/>
        <v>95.950079687499993</v>
      </c>
      <c r="K10" s="102">
        <f>K24*$B$36/100/$B$33</f>
        <v>0.63993201351453965</v>
      </c>
      <c r="L10" s="107">
        <f t="shared" si="6"/>
        <v>-3.5794962417432186E-2</v>
      </c>
      <c r="M10" s="108">
        <f t="shared" si="7"/>
        <v>94.702747752809003</v>
      </c>
      <c r="N10" s="102">
        <f>N24*$B$36/100/$B$33</f>
        <v>0.30577638372181309</v>
      </c>
      <c r="O10" s="107">
        <f t="shared" si="8"/>
        <v>-5.1068199073722564E-2</v>
      </c>
      <c r="P10" s="108">
        <f t="shared" si="9"/>
        <v>85.688952127659576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0.57434664319337947</v>
      </c>
      <c r="C11" s="236">
        <f t="shared" si="0"/>
        <v>-6.3418143079492784E-2</v>
      </c>
      <c r="D11" s="237">
        <f t="shared" si="1"/>
        <v>90.05618616071429</v>
      </c>
      <c r="E11" s="235">
        <f>AVERAGE(E7:E10)</f>
        <v>0.62171200459342502</v>
      </c>
      <c r="F11" s="236">
        <f t="shared" si="2"/>
        <v>-5.4014971338546824E-2</v>
      </c>
      <c r="G11" s="237">
        <f t="shared" si="3"/>
        <v>92.006391151685392</v>
      </c>
      <c r="H11" s="235">
        <f>AVERAGE(H7:H10)</f>
        <v>0.69339291720446439</v>
      </c>
      <c r="I11" s="236">
        <f t="shared" si="4"/>
        <v>-3.5481124250246743E-2</v>
      </c>
      <c r="J11" s="237">
        <f t="shared" si="5"/>
        <v>95.132063671875002</v>
      </c>
      <c r="K11" s="235">
        <f>AVERAGE(K7:K10)</f>
        <v>0.62560915458203636</v>
      </c>
      <c r="L11" s="236">
        <f t="shared" si="6"/>
        <v>-5.0117821349935476E-2</v>
      </c>
      <c r="M11" s="237">
        <f t="shared" si="7"/>
        <v>92.583125561797758</v>
      </c>
      <c r="N11" s="235">
        <f>AVERAGE(N7:N10)</f>
        <v>0.32319697726064844</v>
      </c>
      <c r="O11" s="236">
        <f t="shared" si="8"/>
        <v>-3.3647605534887215E-2</v>
      </c>
      <c r="P11" s="237">
        <f t="shared" si="9"/>
        <v>90.570795478723426</v>
      </c>
      <c r="Q11" s="109"/>
    </row>
    <row r="12" spans="1:19" s="96" customFormat="1" ht="15.75" x14ac:dyDescent="0.25">
      <c r="A12" s="110" t="s">
        <v>24</v>
      </c>
      <c r="B12" s="102">
        <f>B25*$B$32/100/$B$33</f>
        <v>0.83912535115025433</v>
      </c>
      <c r="C12" s="107">
        <f t="shared" si="0"/>
        <v>0.20136056487738208</v>
      </c>
      <c r="D12" s="108">
        <f t="shared" si="1"/>
        <v>131.57285714285715</v>
      </c>
      <c r="E12" s="102">
        <f>E25*$B$32/100/$B$33</f>
        <v>0.88171321843443928</v>
      </c>
      <c r="F12" s="107">
        <f t="shared" si="2"/>
        <v>0.20598624250246744</v>
      </c>
      <c r="G12" s="108">
        <f t="shared" si="3"/>
        <v>130.48364943820224</v>
      </c>
      <c r="H12" s="102">
        <f>H25*$B$32/100/$B$33</f>
        <v>1.0029803659555083</v>
      </c>
      <c r="I12" s="107">
        <f t="shared" si="4"/>
        <v>0.27410632450079719</v>
      </c>
      <c r="J12" s="108">
        <f t="shared" si="5"/>
        <v>137.60681666666665</v>
      </c>
      <c r="K12" s="102">
        <f>K25*$B$32/100/$B$33</f>
        <v>0.83876443702072723</v>
      </c>
      <c r="L12" s="107">
        <f t="shared" si="6"/>
        <v>0.16303746108875539</v>
      </c>
      <c r="M12" s="108">
        <f t="shared" si="7"/>
        <v>124.12771235955053</v>
      </c>
      <c r="N12" s="102">
        <f>N25*$B$32/100/$B$33</f>
        <v>0.38942634575962337</v>
      </c>
      <c r="O12" s="107">
        <f t="shared" si="8"/>
        <v>3.2581762964087713E-2</v>
      </c>
      <c r="P12" s="108">
        <f t="shared" si="9"/>
        <v>109.13051914893614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1.3234639359198239</v>
      </c>
      <c r="F13" s="107">
        <f t="shared" si="2"/>
        <v>0.64773695998785208</v>
      </c>
      <c r="G13" s="108">
        <f t="shared" si="3"/>
        <v>195.85779213483144</v>
      </c>
      <c r="H13" s="102">
        <f>H26*$B$34/$B$33</f>
        <v>1.3945542100068333</v>
      </c>
      <c r="I13" s="107">
        <f t="shared" si="4"/>
        <v>0.6656801685521222</v>
      </c>
      <c r="J13" s="108">
        <f t="shared" si="5"/>
        <v>191.32993229166669</v>
      </c>
      <c r="K13" s="102">
        <f>K26*$B$34/$B$33</f>
        <v>1.1931317667603067</v>
      </c>
      <c r="L13" s="107">
        <f t="shared" si="6"/>
        <v>0.5174047908283349</v>
      </c>
      <c r="M13" s="108">
        <f t="shared" si="7"/>
        <v>176.57009550561796</v>
      </c>
      <c r="N13" s="102">
        <f>N26*$B$34/$B$33</f>
        <v>0.5983431402323286</v>
      </c>
      <c r="O13" s="107">
        <f t="shared" si="8"/>
        <v>0.24149855743679294</v>
      </c>
      <c r="P13" s="108">
        <f t="shared" si="9"/>
        <v>167.67611702127658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1.2310465796067118</v>
      </c>
      <c r="F14" s="107">
        <f t="shared" si="2"/>
        <v>0.55531960367473998</v>
      </c>
      <c r="G14" s="108">
        <f t="shared" si="3"/>
        <v>182.18106179775279</v>
      </c>
      <c r="H14" s="102">
        <f>H27*$B$34/$B$33</f>
        <v>1.3566393971604283</v>
      </c>
      <c r="I14" s="107">
        <f t="shared" si="4"/>
        <v>0.62776535570571712</v>
      </c>
      <c r="J14" s="108">
        <f t="shared" si="5"/>
        <v>186.12809895833334</v>
      </c>
      <c r="K14" s="102">
        <f>K27*$B$34/$B$33</f>
        <v>1.1007144104471946</v>
      </c>
      <c r="L14" s="107">
        <f t="shared" si="6"/>
        <v>0.42498743451522281</v>
      </c>
      <c r="M14" s="108">
        <f t="shared" si="7"/>
        <v>162.8933651685393</v>
      </c>
      <c r="N14" s="102">
        <f>N27*$B$34/$B$33</f>
        <v>0.5912341128236277</v>
      </c>
      <c r="O14" s="107">
        <f t="shared" si="8"/>
        <v>0.23438953002809204</v>
      </c>
      <c r="P14" s="108">
        <f t="shared" si="9"/>
        <v>165.68392553191489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1.1898392680889833</v>
      </c>
      <c r="F15" s="119">
        <f t="shared" si="2"/>
        <v>0.51411229215701149</v>
      </c>
      <c r="G15" s="120">
        <f t="shared" si="3"/>
        <v>176.0828426966292</v>
      </c>
      <c r="H15" s="118">
        <f>H28*$B$35/10/$B$33</f>
        <v>1.2483995900083518</v>
      </c>
      <c r="I15" s="119">
        <f t="shared" si="4"/>
        <v>0.51952554855364064</v>
      </c>
      <c r="J15" s="120">
        <f t="shared" si="5"/>
        <v>171.27782291666668</v>
      </c>
      <c r="K15" s="118">
        <f>K28*$B$35/10/$B$33</f>
        <v>1.1685446055728494</v>
      </c>
      <c r="L15" s="119">
        <f t="shared" si="6"/>
        <v>0.49281762964087761</v>
      </c>
      <c r="M15" s="120">
        <f t="shared" si="7"/>
        <v>172.93147191011232</v>
      </c>
      <c r="N15" s="118">
        <f>N28*$B$35/10/$B$33</f>
        <v>0.53236656290334827</v>
      </c>
      <c r="O15" s="119">
        <f t="shared" si="8"/>
        <v>0.17552198010781261</v>
      </c>
      <c r="P15" s="120">
        <f t="shared" si="9"/>
        <v>149.18723404255317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0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09" t="s">
        <v>214</v>
      </c>
      <c r="X19" s="409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43.03</v>
      </c>
      <c r="C21" s="144" t="s">
        <v>172</v>
      </c>
      <c r="D21" s="145" t="s">
        <v>172</v>
      </c>
      <c r="E21" s="143">
        <v>47.52</v>
      </c>
      <c r="F21" s="144" t="s">
        <v>172</v>
      </c>
      <c r="G21" s="145" t="s">
        <v>172</v>
      </c>
      <c r="H21" s="143">
        <v>51.98</v>
      </c>
      <c r="I21" s="144" t="s">
        <v>172</v>
      </c>
      <c r="J21" s="145" t="s">
        <v>172</v>
      </c>
      <c r="K21" s="143">
        <v>47.33</v>
      </c>
      <c r="L21" s="144" t="s">
        <v>172</v>
      </c>
      <c r="M21" s="145" t="s">
        <v>172</v>
      </c>
      <c r="N21" s="143">
        <v>24.08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43.04</v>
      </c>
      <c r="C22" s="144" t="s">
        <v>172</v>
      </c>
      <c r="D22" s="145" t="s">
        <v>172</v>
      </c>
      <c r="E22" s="143">
        <v>46.79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46.18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43.48</v>
      </c>
      <c r="C23" s="144" t="s">
        <v>172</v>
      </c>
      <c r="D23" s="145" t="s">
        <v>172</v>
      </c>
      <c r="E23" s="143">
        <v>46.78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46.28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42.88</v>
      </c>
      <c r="C24" s="144" t="s">
        <v>172</v>
      </c>
      <c r="D24" s="145" t="s">
        <v>172</v>
      </c>
      <c r="E24" s="143">
        <v>45.56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48.03</v>
      </c>
      <c r="L24" s="144" t="s">
        <v>172</v>
      </c>
      <c r="M24" s="145" t="s">
        <v>172</v>
      </c>
      <c r="N24" s="143">
        <v>22.95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1.117</v>
      </c>
      <c r="F26" s="144" t="s">
        <v>172</v>
      </c>
      <c r="G26" s="145" t="s">
        <v>172</v>
      </c>
      <c r="H26" s="153">
        <v>1.177</v>
      </c>
      <c r="I26" s="144" t="s">
        <v>172</v>
      </c>
      <c r="J26" s="145" t="s">
        <v>172</v>
      </c>
      <c r="K26" s="153">
        <v>1.0069999999999999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1.0389999999999999</v>
      </c>
      <c r="F27" s="144" t="s">
        <v>172</v>
      </c>
      <c r="G27" s="145" t="s">
        <v>172</v>
      </c>
      <c r="H27" s="153">
        <v>1.145</v>
      </c>
      <c r="I27" s="144" t="s">
        <v>172</v>
      </c>
      <c r="J27" s="145" t="s">
        <v>172</v>
      </c>
      <c r="K27" s="153">
        <v>0.92900000000000005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4.47</v>
      </c>
      <c r="F28" s="158" t="s">
        <v>172</v>
      </c>
      <c r="G28" s="159" t="s">
        <v>172</v>
      </c>
      <c r="H28" s="234">
        <v>4.6900000000000004</v>
      </c>
      <c r="I28" s="158" t="s">
        <v>172</v>
      </c>
      <c r="J28" s="159" t="s">
        <v>172</v>
      </c>
      <c r="K28" s="234">
        <v>4.3899999999999997</v>
      </c>
      <c r="L28" s="158" t="s">
        <v>172</v>
      </c>
      <c r="M28" s="159" t="s">
        <v>172</v>
      </c>
      <c r="N28" s="234">
        <v>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0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9.5071999999999992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2.6341999999999999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3.1211000000000002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7.0118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3.5097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sqref="A1:P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44088</v>
      </c>
      <c r="E2" s="493"/>
      <c r="F2" s="412"/>
      <c r="G2" s="412"/>
      <c r="H2" s="412"/>
      <c r="I2" s="412"/>
      <c r="J2" s="412"/>
      <c r="K2" s="412"/>
      <c r="L2" s="412"/>
      <c r="M2" s="412"/>
      <c r="N2" s="412"/>
      <c r="O2" s="412"/>
      <c r="P2" s="412"/>
      <c r="Q2" s="412"/>
      <c r="R2" s="412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0.64635272391505072</v>
      </c>
      <c r="C6" s="103" t="s">
        <v>172</v>
      </c>
      <c r="D6" s="104" t="s">
        <v>172</v>
      </c>
      <c r="E6" s="102">
        <f>E20/$B$33</f>
        <v>0.68482610033856572</v>
      </c>
      <c r="F6" s="103" t="s">
        <v>172</v>
      </c>
      <c r="G6" s="104" t="s">
        <v>172</v>
      </c>
      <c r="H6" s="102">
        <f>H20/$B$33</f>
        <v>0.73868882733148655</v>
      </c>
      <c r="I6" s="103" t="s">
        <v>172</v>
      </c>
      <c r="J6" s="104" t="s">
        <v>172</v>
      </c>
      <c r="K6" s="102">
        <f>K20/$B$33</f>
        <v>0.68482610033856572</v>
      </c>
      <c r="L6" s="103" t="s">
        <v>172</v>
      </c>
      <c r="M6" s="104" t="s">
        <v>172</v>
      </c>
      <c r="N6" s="102">
        <f>N20/$B$33</f>
        <v>0.36164973838104025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0.57446066481994451</v>
      </c>
      <c r="C7" s="107">
        <f t="shared" ref="C7:C12" si="0">B7-B$6</f>
        <v>-7.1892059095106209E-2</v>
      </c>
      <c r="D7" s="108">
        <f t="shared" ref="D7:D12" si="1">B7/B$6*100</f>
        <v>88.877271428571419</v>
      </c>
      <c r="E7" s="102">
        <f>E21*$B$36/100/$B$33</f>
        <v>0.63441715912588481</v>
      </c>
      <c r="F7" s="107">
        <f t="shared" ref="F7:F15" si="2">E7-E$6</f>
        <v>-5.0408941212680913E-2</v>
      </c>
      <c r="G7" s="108">
        <f t="shared" ref="G7:G15" si="3">E7/E$6*100</f>
        <v>92.639161797752806</v>
      </c>
      <c r="H7" s="102">
        <f>H21*$B$36/100/$B$33</f>
        <v>0.69410658664204361</v>
      </c>
      <c r="I7" s="107">
        <f t="shared" ref="I7:I15" si="4">H7-H$6</f>
        <v>-4.4582240689442942E-2</v>
      </c>
      <c r="J7" s="108">
        <f t="shared" ref="J7:J15" si="5">H7/H$6*100</f>
        <v>93.96467916666667</v>
      </c>
      <c r="K7" s="102">
        <f>K21*$B$36/100/$B$33</f>
        <v>0.63228062480763314</v>
      </c>
      <c r="L7" s="107">
        <f t="shared" ref="L7:L15" si="6">K7-K$6</f>
        <v>-5.2545475530932584E-2</v>
      </c>
      <c r="M7" s="108">
        <f t="shared" ref="M7:M15" si="7">K7/K$6*100</f>
        <v>92.327179775280896</v>
      </c>
      <c r="N7" s="102">
        <f>N21*$B$36/100/$B$33</f>
        <v>0.32875921822099108</v>
      </c>
      <c r="O7" s="107">
        <f t="shared" ref="O7:O15" si="8">N7-N$6</f>
        <v>-3.2890520160049175E-2</v>
      </c>
      <c r="P7" s="108">
        <f t="shared" ref="P7:P15" si="9">N7/N$6*100</f>
        <v>90.90542127659576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0.57272473068636509</v>
      </c>
      <c r="C8" s="107">
        <f t="shared" si="0"/>
        <v>-7.3627993228685629E-2</v>
      </c>
      <c r="D8" s="108">
        <f t="shared" si="1"/>
        <v>88.608697619047632</v>
      </c>
      <c r="E8" s="102">
        <f>E22*$B$36/100/$B$33</f>
        <v>0.62039615266235759</v>
      </c>
      <c r="F8" s="107">
        <f t="shared" si="2"/>
        <v>-6.4429947676208132E-2</v>
      </c>
      <c r="G8" s="108">
        <f t="shared" si="3"/>
        <v>90.591779775280884</v>
      </c>
      <c r="H8" s="102">
        <f>H22*$B$36/100/$B$33</f>
        <v>0.69170298553401044</v>
      </c>
      <c r="I8" s="107">
        <f t="shared" si="4"/>
        <v>-4.6985841797476113E-2</v>
      </c>
      <c r="J8" s="108">
        <f t="shared" si="5"/>
        <v>93.639291666666665</v>
      </c>
      <c r="K8" s="102">
        <f>K22*$B$36/100/$B$33</f>
        <v>0.61585601723607264</v>
      </c>
      <c r="L8" s="107">
        <f t="shared" si="6"/>
        <v>-6.8970083102493085E-2</v>
      </c>
      <c r="M8" s="108">
        <f t="shared" si="7"/>
        <v>89.928817977528084</v>
      </c>
      <c r="N8" s="102">
        <f>N22*$B$36/100/$B$33</f>
        <v>0.3311628193290243</v>
      </c>
      <c r="O8" s="107">
        <f t="shared" si="8"/>
        <v>-3.0486919052015948E-2</v>
      </c>
      <c r="P8" s="108">
        <f t="shared" si="9"/>
        <v>91.570042553191499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0.57860020006155732</v>
      </c>
      <c r="C9" s="107">
        <f t="shared" si="0"/>
        <v>-6.7752523853493396E-2</v>
      </c>
      <c r="D9" s="108">
        <f t="shared" si="1"/>
        <v>89.517716666666672</v>
      </c>
      <c r="E9" s="102">
        <f>E23*$B$36/100/$B$33</f>
        <v>0.62093028624192059</v>
      </c>
      <c r="F9" s="107">
        <f t="shared" si="2"/>
        <v>-6.3895814096645132E-2</v>
      </c>
      <c r="G9" s="108">
        <f t="shared" si="3"/>
        <v>90.669775280898875</v>
      </c>
      <c r="H9" s="102">
        <f>H23*$B$36/100/$B$33</f>
        <v>0.69303831948291783</v>
      </c>
      <c r="I9" s="107">
        <f t="shared" si="4"/>
        <v>-4.5650507848568722E-2</v>
      </c>
      <c r="J9" s="108">
        <f t="shared" si="5"/>
        <v>93.820062500000006</v>
      </c>
      <c r="K9" s="102">
        <f>K23*$B$36/100/$B$33</f>
        <v>0.61692428439519853</v>
      </c>
      <c r="L9" s="107">
        <f t="shared" si="6"/>
        <v>-6.7901815943367194E-2</v>
      </c>
      <c r="M9" s="108">
        <f t="shared" si="7"/>
        <v>90.084808988764038</v>
      </c>
      <c r="N9" s="102">
        <f>N23*$B$36/100/$B$33</f>
        <v>0.3365041551246537</v>
      </c>
      <c r="O9" s="107">
        <f t="shared" si="8"/>
        <v>-2.514558325638655E-2</v>
      </c>
      <c r="P9" s="108">
        <f t="shared" si="9"/>
        <v>93.046978723404266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0.57285826408125573</v>
      </c>
      <c r="C10" s="107">
        <f t="shared" si="0"/>
        <v>-7.3494459833794989E-2</v>
      </c>
      <c r="D10" s="108">
        <f t="shared" si="1"/>
        <v>88.629357142857145</v>
      </c>
      <c r="E10" s="102">
        <f>E24*$B$36/100/$B$33</f>
        <v>0.61198354878424133</v>
      </c>
      <c r="F10" s="107">
        <f t="shared" si="2"/>
        <v>-7.2842551554324397E-2</v>
      </c>
      <c r="G10" s="108">
        <f t="shared" si="3"/>
        <v>89.363350561797745</v>
      </c>
      <c r="H10" s="102">
        <f>H24*$B$36/100/$B$33</f>
        <v>0.70091678978147132</v>
      </c>
      <c r="I10" s="107">
        <f t="shared" si="4"/>
        <v>-3.7772037550015236E-2</v>
      </c>
      <c r="J10" s="108">
        <f t="shared" si="5"/>
        <v>94.886610416666684</v>
      </c>
      <c r="K10" s="102">
        <f>K24*$B$36/100/$B$33</f>
        <v>0.64149442905509391</v>
      </c>
      <c r="L10" s="107">
        <f t="shared" si="6"/>
        <v>-4.3331671283471818E-2</v>
      </c>
      <c r="M10" s="108">
        <f t="shared" si="7"/>
        <v>93.672602247191023</v>
      </c>
      <c r="N10" s="102">
        <f>N24*$B$36/100/$B$33</f>
        <v>0.30645914127423818</v>
      </c>
      <c r="O10" s="107">
        <f t="shared" si="8"/>
        <v>-5.5190597106802075E-2</v>
      </c>
      <c r="P10" s="108">
        <f t="shared" si="9"/>
        <v>84.739212765957447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0.57466096491228069</v>
      </c>
      <c r="C11" s="236">
        <f t="shared" si="0"/>
        <v>-7.1691759002770028E-2</v>
      </c>
      <c r="D11" s="237">
        <f t="shared" si="1"/>
        <v>88.908260714285731</v>
      </c>
      <c r="E11" s="235">
        <f>AVERAGE(E7:E10)</f>
        <v>0.62193178670360105</v>
      </c>
      <c r="F11" s="236">
        <f t="shared" si="2"/>
        <v>-6.2894313634964671E-2</v>
      </c>
      <c r="G11" s="237">
        <f t="shared" si="3"/>
        <v>90.816016853932581</v>
      </c>
      <c r="H11" s="235">
        <f>AVERAGE(H7:H10)</f>
        <v>0.69494117036011083</v>
      </c>
      <c r="I11" s="236">
        <f t="shared" si="4"/>
        <v>-4.3747656971375726E-2</v>
      </c>
      <c r="J11" s="237">
        <f t="shared" si="5"/>
        <v>94.077660937500013</v>
      </c>
      <c r="K11" s="235">
        <f>AVERAGE(K7:K10)</f>
        <v>0.62663883887349958</v>
      </c>
      <c r="L11" s="236">
        <f t="shared" si="6"/>
        <v>-5.8187261465066142E-2</v>
      </c>
      <c r="M11" s="237">
        <f t="shared" si="7"/>
        <v>91.503352247191017</v>
      </c>
      <c r="N11" s="235">
        <f>AVERAGE(N7:N10)</f>
        <v>0.32572133348722682</v>
      </c>
      <c r="O11" s="236">
        <f t="shared" si="8"/>
        <v>-3.5928404893813437E-2</v>
      </c>
      <c r="P11" s="237">
        <f t="shared" si="9"/>
        <v>90.065413829787246</v>
      </c>
      <c r="Q11" s="109"/>
    </row>
    <row r="12" spans="1:19" s="96" customFormat="1" ht="15.75" x14ac:dyDescent="0.25">
      <c r="A12" s="110" t="s">
        <v>24</v>
      </c>
      <c r="B12" s="102">
        <f>B25*$B$32/100/$B$33</f>
        <v>0.83266880193905823</v>
      </c>
      <c r="C12" s="107">
        <f t="shared" si="0"/>
        <v>0.18631607802400751</v>
      </c>
      <c r="D12" s="108">
        <f t="shared" si="1"/>
        <v>128.82575892857145</v>
      </c>
      <c r="E12" s="102">
        <f>E25*$B$32/100/$B$33</f>
        <v>0.87492898199445968</v>
      </c>
      <c r="F12" s="107">
        <f t="shared" si="2"/>
        <v>0.19010288165589395</v>
      </c>
      <c r="G12" s="108">
        <f t="shared" si="3"/>
        <v>127.75929269662917</v>
      </c>
      <c r="H12" s="102">
        <f>H25*$B$32/100/$B$33</f>
        <v>0.99526305401662019</v>
      </c>
      <c r="I12" s="107">
        <f t="shared" si="4"/>
        <v>0.25657422668513363</v>
      </c>
      <c r="J12" s="108">
        <f t="shared" si="5"/>
        <v>134.73373593749997</v>
      </c>
      <c r="K12" s="102">
        <f>K25*$B$32/100/$B$33</f>
        <v>0.83231066481994453</v>
      </c>
      <c r="L12" s="107">
        <f t="shared" si="6"/>
        <v>0.14748456448137881</v>
      </c>
      <c r="M12" s="108">
        <f t="shared" si="7"/>
        <v>121.5360606741573</v>
      </c>
      <c r="N12" s="102">
        <f>N25*$B$32/100/$B$33</f>
        <v>0.38642995152354565</v>
      </c>
      <c r="O12" s="107">
        <f t="shared" si="8"/>
        <v>2.4780213142505392E-2</v>
      </c>
      <c r="P12" s="108">
        <f t="shared" si="9"/>
        <v>106.85199255319149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1.3431128808864263</v>
      </c>
      <c r="F13" s="107">
        <f t="shared" si="2"/>
        <v>0.65828678054786061</v>
      </c>
      <c r="G13" s="108">
        <f t="shared" si="3"/>
        <v>196.12466292134826</v>
      </c>
      <c r="H13" s="102">
        <f>H26*$B$34/$B$33</f>
        <v>1.414177054478301</v>
      </c>
      <c r="I13" s="107">
        <f t="shared" si="4"/>
        <v>0.67548822714681445</v>
      </c>
      <c r="J13" s="108">
        <f t="shared" si="5"/>
        <v>191.44421875</v>
      </c>
      <c r="K13" s="102">
        <f>K26*$B$34/$B$33</f>
        <v>1.2009845337026777</v>
      </c>
      <c r="L13" s="107">
        <f t="shared" si="6"/>
        <v>0.51615843336411193</v>
      </c>
      <c r="M13" s="108">
        <f t="shared" si="7"/>
        <v>175.37073033707864</v>
      </c>
      <c r="N13" s="102">
        <f>N26*$B$34/$B$33</f>
        <v>0.59812346106494296</v>
      </c>
      <c r="O13" s="107">
        <f t="shared" si="8"/>
        <v>0.23647372268390271</v>
      </c>
      <c r="P13" s="108">
        <f t="shared" si="9"/>
        <v>165.38749999999999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1.2305946060326254</v>
      </c>
      <c r="F14" s="107">
        <f t="shared" si="2"/>
        <v>0.54576850569405966</v>
      </c>
      <c r="G14" s="108">
        <f t="shared" si="3"/>
        <v>179.69446629213482</v>
      </c>
      <c r="H14" s="102">
        <f>H27*$B$34/$B$33</f>
        <v>1.3549569098184056</v>
      </c>
      <c r="I14" s="107">
        <f t="shared" si="4"/>
        <v>0.616268082486919</v>
      </c>
      <c r="J14" s="108">
        <f t="shared" si="5"/>
        <v>183.42729166666666</v>
      </c>
      <c r="K14" s="102">
        <f>K27*$B$34/$B$33</f>
        <v>1.095572676208064</v>
      </c>
      <c r="L14" s="107">
        <f t="shared" si="6"/>
        <v>0.41074657586949825</v>
      </c>
      <c r="M14" s="108">
        <f t="shared" si="7"/>
        <v>159.97823033707866</v>
      </c>
      <c r="N14" s="102">
        <f>N27*$B$34/$B$33</f>
        <v>0.59101704370575558</v>
      </c>
      <c r="O14" s="107">
        <f t="shared" si="8"/>
        <v>0.22936730532471533</v>
      </c>
      <c r="P14" s="108">
        <f t="shared" si="9"/>
        <v>163.42250000000001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1.1851957525392429</v>
      </c>
      <c r="F15" s="119">
        <f t="shared" si="2"/>
        <v>0.5003696522006772</v>
      </c>
      <c r="G15" s="120">
        <f t="shared" si="3"/>
        <v>173.06521348314607</v>
      </c>
      <c r="H15" s="118">
        <f>H28*$B$35/10/$B$33</f>
        <v>1.2706152662357648</v>
      </c>
      <c r="I15" s="119">
        <f t="shared" si="4"/>
        <v>0.53192643890427826</v>
      </c>
      <c r="J15" s="120">
        <f t="shared" si="5"/>
        <v>172.00954166666668</v>
      </c>
      <c r="K15" s="118">
        <f>K28*$B$35/10/$B$33</f>
        <v>1.1611715143120958</v>
      </c>
      <c r="L15" s="119">
        <f t="shared" si="6"/>
        <v>0.47634541397353003</v>
      </c>
      <c r="M15" s="120">
        <f t="shared" si="7"/>
        <v>169.55713483146062</v>
      </c>
      <c r="N15" s="118">
        <f>N28*$B$35/10/$B$33</f>
        <v>0.53387196060326247</v>
      </c>
      <c r="O15" s="119">
        <f t="shared" si="8"/>
        <v>0.17222222222222222</v>
      </c>
      <c r="P15" s="120">
        <f t="shared" si="9"/>
        <v>147.62127659574469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1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11" t="s">
        <v>214</v>
      </c>
      <c r="X19" s="411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47.51</v>
      </c>
      <c r="F21" s="144" t="s">
        <v>172</v>
      </c>
      <c r="G21" s="145" t="s">
        <v>172</v>
      </c>
      <c r="H21" s="143">
        <v>51.98</v>
      </c>
      <c r="I21" s="144" t="s">
        <v>172</v>
      </c>
      <c r="J21" s="145" t="s">
        <v>172</v>
      </c>
      <c r="K21" s="143">
        <v>47.35</v>
      </c>
      <c r="L21" s="144" t="s">
        <v>172</v>
      </c>
      <c r="M21" s="145" t="s">
        <v>172</v>
      </c>
      <c r="N21" s="143">
        <v>24.62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42.89</v>
      </c>
      <c r="C22" s="144" t="s">
        <v>172</v>
      </c>
      <c r="D22" s="145" t="s">
        <v>172</v>
      </c>
      <c r="E22" s="143">
        <v>46.46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46.12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43.33</v>
      </c>
      <c r="C23" s="144" t="s">
        <v>172</v>
      </c>
      <c r="D23" s="145" t="s">
        <v>172</v>
      </c>
      <c r="E23" s="143">
        <v>46.5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46.2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42.9</v>
      </c>
      <c r="C24" s="144" t="s">
        <v>172</v>
      </c>
      <c r="D24" s="145" t="s">
        <v>172</v>
      </c>
      <c r="E24" s="143">
        <v>45.83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48.04</v>
      </c>
      <c r="L24" s="144" t="s">
        <v>172</v>
      </c>
      <c r="M24" s="145" t="s">
        <v>172</v>
      </c>
      <c r="N24" s="143">
        <v>22.95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1.1339999999999999</v>
      </c>
      <c r="F26" s="144" t="s">
        <v>172</v>
      </c>
      <c r="G26" s="145" t="s">
        <v>172</v>
      </c>
      <c r="H26" s="153">
        <v>1.194</v>
      </c>
      <c r="I26" s="144" t="s">
        <v>172</v>
      </c>
      <c r="J26" s="145" t="s">
        <v>172</v>
      </c>
      <c r="K26" s="153">
        <v>1.014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1.0389999999999999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0.92500000000000004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4.4400000000000004</v>
      </c>
      <c r="F28" s="158" t="s">
        <v>172</v>
      </c>
      <c r="G28" s="159" t="s">
        <v>172</v>
      </c>
      <c r="H28" s="234">
        <v>4.76</v>
      </c>
      <c r="I28" s="158" t="s">
        <v>172</v>
      </c>
      <c r="J28" s="159" t="s">
        <v>172</v>
      </c>
      <c r="K28" s="234">
        <v>4.3499999999999996</v>
      </c>
      <c r="L28" s="158" t="s">
        <v>172</v>
      </c>
      <c r="M28" s="159" t="s">
        <v>172</v>
      </c>
      <c r="N28" s="234">
        <v>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1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9.3087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2.5992000000000002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3.0785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6.9382000000000001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3.4708000000000001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3" zoomScale="85" zoomScaleNormal="85" workbookViewId="0">
      <selection activeCell="M35" sqref="M35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44095</v>
      </c>
      <c r="E2" s="49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0.6547665445475096</v>
      </c>
      <c r="C6" s="103" t="s">
        <v>172</v>
      </c>
      <c r="D6" s="104" t="s">
        <v>172</v>
      </c>
      <c r="E6" s="102">
        <f>E20/$B$33</f>
        <v>0.69374074362771854</v>
      </c>
      <c r="F6" s="103" t="s">
        <v>172</v>
      </c>
      <c r="G6" s="104" t="s">
        <v>172</v>
      </c>
      <c r="H6" s="102">
        <f>H20/$B$33</f>
        <v>0.74830462234001094</v>
      </c>
      <c r="I6" s="103" t="s">
        <v>172</v>
      </c>
      <c r="J6" s="104" t="s">
        <v>172</v>
      </c>
      <c r="K6" s="102">
        <f>K20/$B$33</f>
        <v>0.69374074362771854</v>
      </c>
      <c r="L6" s="103" t="s">
        <v>172</v>
      </c>
      <c r="M6" s="104" t="s">
        <v>172</v>
      </c>
      <c r="N6" s="102">
        <f>N20/$B$33</f>
        <v>0.36635747135396368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0.57377161119339004</v>
      </c>
      <c r="C7" s="107">
        <f t="shared" ref="C7:C12" si="0">B7-B$6</f>
        <v>-8.0994933354119558E-2</v>
      </c>
      <c r="D7" s="108">
        <f t="shared" ref="D7:D12" si="1">B7/B$6*100</f>
        <v>87.629952380952375</v>
      </c>
      <c r="E7" s="102">
        <f>E21*$B$36/100/$B$33</f>
        <v>0.63402829526853233</v>
      </c>
      <c r="F7" s="107">
        <f t="shared" ref="F7:F15" si="2">E7-E$6</f>
        <v>-5.971244835918621E-2</v>
      </c>
      <c r="G7" s="108">
        <f t="shared" ref="G7:G15" si="3">E7/E$6*100</f>
        <v>91.392685393258432</v>
      </c>
      <c r="H7" s="102">
        <f>H21*$B$36/100/$B$33</f>
        <v>0.70641630290747526</v>
      </c>
      <c r="I7" s="107">
        <f t="shared" ref="I7:I15" si="4">H7-H$6</f>
        <v>-4.1888319432535681E-2</v>
      </c>
      <c r="J7" s="108">
        <f t="shared" ref="J7:J15" si="5">H7/H$6*100</f>
        <v>94.402236979166659</v>
      </c>
      <c r="K7" s="102">
        <f>K21*$B$36/100/$B$33</f>
        <v>0.63082882531763973</v>
      </c>
      <c r="L7" s="107">
        <f t="shared" ref="L7:L15" si="6">K7-K$6</f>
        <v>-6.2911918310078807E-2</v>
      </c>
      <c r="M7" s="108">
        <f t="shared" ref="M7:M15" si="7">K7/K$6*100</f>
        <v>90.931494382022464</v>
      </c>
      <c r="N7" s="102">
        <f>N21*$B$36/100/$B$33</f>
        <v>0.33087851742146701</v>
      </c>
      <c r="O7" s="107">
        <f t="shared" ref="O7:O15" si="8">N7-N$6</f>
        <v>-3.5478953932496671E-2</v>
      </c>
      <c r="P7" s="108">
        <f t="shared" ref="P7:P15" si="9">N7/N$6*100</f>
        <v>90.315755319148934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0.57817088237586722</v>
      </c>
      <c r="C8" s="107">
        <f t="shared" si="0"/>
        <v>-7.6595662171642376E-2</v>
      </c>
      <c r="D8" s="108">
        <f t="shared" si="1"/>
        <v>88.301836309523807</v>
      </c>
      <c r="E8" s="102">
        <f>E22*$B$36/100/$B$33</f>
        <v>0.62416326291994706</v>
      </c>
      <c r="F8" s="107">
        <f t="shared" si="2"/>
        <v>-6.9577480707771477E-2</v>
      </c>
      <c r="G8" s="108">
        <f t="shared" si="3"/>
        <v>89.9706797752809</v>
      </c>
      <c r="H8" s="102">
        <f>H22*$B$36/100/$B$33</f>
        <v>0.69121882064073581</v>
      </c>
      <c r="I8" s="107">
        <f t="shared" si="4"/>
        <v>-5.7085801699275129E-2</v>
      </c>
      <c r="J8" s="108">
        <f t="shared" si="5"/>
        <v>92.371315104166669</v>
      </c>
      <c r="K8" s="102">
        <f>K22*$B$36/100/$B$33</f>
        <v>0.61656452178657739</v>
      </c>
      <c r="L8" s="107">
        <f t="shared" si="6"/>
        <v>-7.7176221841141146E-2</v>
      </c>
      <c r="M8" s="108">
        <f t="shared" si="7"/>
        <v>88.875351123595507</v>
      </c>
      <c r="N8" s="102">
        <f>N22*$B$36/100/$B$33</f>
        <v>0.32794566996648222</v>
      </c>
      <c r="O8" s="107">
        <f t="shared" si="8"/>
        <v>-3.8411801387481459E-2</v>
      </c>
      <c r="P8" s="108">
        <f t="shared" si="9"/>
        <v>89.515212765957457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0.58177028607062131</v>
      </c>
      <c r="C9" s="107">
        <f t="shared" si="0"/>
        <v>-7.2996258476888287E-2</v>
      </c>
      <c r="D9" s="108">
        <f t="shared" si="1"/>
        <v>88.851559523809527</v>
      </c>
      <c r="E9" s="102">
        <f>E23*$B$36/100/$B$33</f>
        <v>0.62376332917608546</v>
      </c>
      <c r="F9" s="107">
        <f t="shared" si="2"/>
        <v>-6.997741445163308E-2</v>
      </c>
      <c r="G9" s="108">
        <f t="shared" si="3"/>
        <v>89.9130308988764</v>
      </c>
      <c r="H9" s="102">
        <f>H23*$B$36/100/$B$33</f>
        <v>0.69188537688050522</v>
      </c>
      <c r="I9" s="107">
        <f t="shared" si="4"/>
        <v>-5.6419245459505718E-2</v>
      </c>
      <c r="J9" s="108">
        <f t="shared" si="5"/>
        <v>92.460390625000016</v>
      </c>
      <c r="K9" s="102">
        <f>K23*$B$36/100/$B$33</f>
        <v>0.61869750175383897</v>
      </c>
      <c r="L9" s="107">
        <f t="shared" si="6"/>
        <v>-7.5043241873879563E-2</v>
      </c>
      <c r="M9" s="108">
        <f t="shared" si="7"/>
        <v>89.182811797752805</v>
      </c>
      <c r="N9" s="102">
        <f>N23*$B$36/100/$B$33</f>
        <v>0.33594434484371349</v>
      </c>
      <c r="O9" s="107">
        <f t="shared" si="8"/>
        <v>-3.0413126510250188E-2</v>
      </c>
      <c r="P9" s="108">
        <f t="shared" si="9"/>
        <v>91.698510638297876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0.57003889625068205</v>
      </c>
      <c r="C10" s="107">
        <f t="shared" si="0"/>
        <v>-8.4727648296827551E-2</v>
      </c>
      <c r="D10" s="108">
        <f t="shared" si="1"/>
        <v>87.059869047619046</v>
      </c>
      <c r="E10" s="102">
        <f>E24*$B$36/100/$B$33</f>
        <v>0.61029889313274621</v>
      </c>
      <c r="F10" s="107">
        <f t="shared" si="2"/>
        <v>-8.3441850494972325E-2</v>
      </c>
      <c r="G10" s="108">
        <f t="shared" si="3"/>
        <v>87.972185393258428</v>
      </c>
      <c r="H10" s="102">
        <f>H24*$B$36/100/$B$33</f>
        <v>0.69975074050978259</v>
      </c>
      <c r="I10" s="107">
        <f t="shared" si="4"/>
        <v>-4.8553881830228351E-2</v>
      </c>
      <c r="J10" s="108">
        <f t="shared" si="5"/>
        <v>93.511481770833342</v>
      </c>
      <c r="K10" s="102">
        <f>K24*$B$36/100/$B$33</f>
        <v>0.63976067893054811</v>
      </c>
      <c r="L10" s="107">
        <f t="shared" si="6"/>
        <v>-5.3980064697170427E-2</v>
      </c>
      <c r="M10" s="108">
        <f t="shared" si="7"/>
        <v>92.218985955056183</v>
      </c>
      <c r="N10" s="102">
        <f>N24*$B$36/100/$B$33</f>
        <v>0.30061686413594202</v>
      </c>
      <c r="O10" s="107">
        <f t="shared" si="8"/>
        <v>-6.5740607218021663E-2</v>
      </c>
      <c r="P10" s="108">
        <f t="shared" si="9"/>
        <v>82.055611702127663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0.57593791897264013</v>
      </c>
      <c r="C11" s="236">
        <f t="shared" si="0"/>
        <v>-7.8828625574869471E-2</v>
      </c>
      <c r="D11" s="237">
        <f t="shared" si="1"/>
        <v>87.960804315476182</v>
      </c>
      <c r="E11" s="235">
        <f>AVERAGE(E7:E10)</f>
        <v>0.62306344512432776</v>
      </c>
      <c r="F11" s="236">
        <f t="shared" si="2"/>
        <v>-7.0677298503390773E-2</v>
      </c>
      <c r="G11" s="237">
        <f t="shared" si="3"/>
        <v>89.812145365168533</v>
      </c>
      <c r="H11" s="235">
        <f>AVERAGE(H7:H10)</f>
        <v>0.69731781023462469</v>
      </c>
      <c r="I11" s="236">
        <f t="shared" si="4"/>
        <v>-5.0986812105386248E-2</v>
      </c>
      <c r="J11" s="237">
        <f t="shared" si="5"/>
        <v>93.186356119791668</v>
      </c>
      <c r="K11" s="235">
        <f>AVERAGE(K7:K10)</f>
        <v>0.62646288194715105</v>
      </c>
      <c r="L11" s="236">
        <f t="shared" si="6"/>
        <v>-6.7277861680567486E-2</v>
      </c>
      <c r="M11" s="237">
        <f t="shared" si="7"/>
        <v>90.302160814606736</v>
      </c>
      <c r="N11" s="235">
        <f>AVERAGE(N7:N10)</f>
        <v>0.32384634909190119</v>
      </c>
      <c r="O11" s="236">
        <f t="shared" si="8"/>
        <v>-4.2511122262062495E-2</v>
      </c>
      <c r="P11" s="237">
        <f t="shared" si="9"/>
        <v>88.396272606382979</v>
      </c>
      <c r="Q11" s="109"/>
    </row>
    <row r="12" spans="1:19" s="96" customFormat="1" ht="15.75" x14ac:dyDescent="0.25">
      <c r="A12" s="110" t="s">
        <v>24</v>
      </c>
      <c r="B12" s="102">
        <f>B25*$B$32/100/$B$33</f>
        <v>0.82528529113726712</v>
      </c>
      <c r="C12" s="107">
        <f t="shared" si="0"/>
        <v>0.17051874658975752</v>
      </c>
      <c r="D12" s="108">
        <f t="shared" si="1"/>
        <v>126.04267857142857</v>
      </c>
      <c r="E12" s="102">
        <f>E25*$B$32/100/$B$33</f>
        <v>0.8671707381713305</v>
      </c>
      <c r="F12" s="107">
        <f t="shared" si="2"/>
        <v>0.17342999454361196</v>
      </c>
      <c r="G12" s="108">
        <f t="shared" si="3"/>
        <v>124.99925168539323</v>
      </c>
      <c r="H12" s="102">
        <f>H25*$B$32/100/$B$33</f>
        <v>0.98643777379374853</v>
      </c>
      <c r="I12" s="107">
        <f t="shared" si="4"/>
        <v>0.23813315145373759</v>
      </c>
      <c r="J12" s="108">
        <f t="shared" si="5"/>
        <v>131.82302291666664</v>
      </c>
      <c r="K12" s="102">
        <f>K25*$B$32/100/$B$33</f>
        <v>0.8249303297217242</v>
      </c>
      <c r="L12" s="107">
        <f t="shared" si="6"/>
        <v>0.13118958609400566</v>
      </c>
      <c r="M12" s="108">
        <f t="shared" si="7"/>
        <v>118.9104629213483</v>
      </c>
      <c r="N12" s="102">
        <f>N25*$B$32/100/$B$33</f>
        <v>0.38300336737080054</v>
      </c>
      <c r="O12" s="107">
        <f t="shared" si="8"/>
        <v>1.6645896016836859E-2</v>
      </c>
      <c r="P12" s="108">
        <f t="shared" si="9"/>
        <v>104.54362127659576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1.3204924779795777</v>
      </c>
      <c r="F13" s="107">
        <f t="shared" si="2"/>
        <v>0.62675173435185916</v>
      </c>
      <c r="G13" s="108">
        <f t="shared" si="3"/>
        <v>190.343797752809</v>
      </c>
      <c r="H13" s="102">
        <f>H26*$B$34/$B$33</f>
        <v>1.3975409618832333</v>
      </c>
      <c r="I13" s="107">
        <f t="shared" si="4"/>
        <v>0.64923633954322235</v>
      </c>
      <c r="J13" s="108">
        <f t="shared" si="5"/>
        <v>186.76096874999999</v>
      </c>
      <c r="K13" s="102">
        <f>K26*$B$34/$B$33</f>
        <v>1.1782491230805208</v>
      </c>
      <c r="L13" s="107">
        <f t="shared" si="6"/>
        <v>0.48450837945280223</v>
      </c>
      <c r="M13" s="108">
        <f t="shared" si="7"/>
        <v>169.83997752808989</v>
      </c>
      <c r="N13" s="102">
        <f>N26*$B$34/$B$33</f>
        <v>0.59860745186686415</v>
      </c>
      <c r="O13" s="107">
        <f t="shared" si="8"/>
        <v>0.23224998051290047</v>
      </c>
      <c r="P13" s="108">
        <f t="shared" si="9"/>
        <v>163.39436170212767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1.2315903811676669</v>
      </c>
      <c r="F14" s="107">
        <f t="shared" si="2"/>
        <v>0.53784963753994841</v>
      </c>
      <c r="G14" s="108">
        <f t="shared" si="3"/>
        <v>177.52891011235951</v>
      </c>
      <c r="H14" s="102">
        <f>H27*$B$34/$B$33</f>
        <v>1.3560533167043416</v>
      </c>
      <c r="I14" s="107">
        <f t="shared" si="4"/>
        <v>0.60774869436433065</v>
      </c>
      <c r="J14" s="108">
        <f t="shared" si="5"/>
        <v>181.21674999999996</v>
      </c>
      <c r="K14" s="102">
        <f>K27*$B$34/$B$33</f>
        <v>1.0846055811053084</v>
      </c>
      <c r="L14" s="107">
        <f t="shared" si="6"/>
        <v>0.39086483747758982</v>
      </c>
      <c r="M14" s="108">
        <f t="shared" si="7"/>
        <v>156.34162921348315</v>
      </c>
      <c r="N14" s="102">
        <f>N27*$B$34/$B$33</f>
        <v>0.59149528412191132</v>
      </c>
      <c r="O14" s="107">
        <f t="shared" si="8"/>
        <v>0.22513781276794764</v>
      </c>
      <c r="P14" s="108">
        <f t="shared" si="9"/>
        <v>161.45304255319149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1.1816581183256685</v>
      </c>
      <c r="F15" s="119">
        <f t="shared" si="2"/>
        <v>0.48791737469794993</v>
      </c>
      <c r="G15" s="120">
        <f t="shared" si="3"/>
        <v>170.33137078651683</v>
      </c>
      <c r="H15" s="118">
        <f>H28*$B$35/10/$B$33</f>
        <v>1.2508543144438382</v>
      </c>
      <c r="I15" s="119">
        <f t="shared" si="4"/>
        <v>0.50254969210382727</v>
      </c>
      <c r="J15" s="120">
        <f t="shared" si="5"/>
        <v>167.15843749999999</v>
      </c>
      <c r="K15" s="118">
        <f>K28*$B$35/10/$B$33</f>
        <v>1.1550441967417568</v>
      </c>
      <c r="L15" s="119">
        <f t="shared" si="6"/>
        <v>0.46130345311403831</v>
      </c>
      <c r="M15" s="120">
        <f t="shared" si="7"/>
        <v>166.49507865168536</v>
      </c>
      <c r="N15" s="118">
        <f>N28*$B$35/10/$B$33</f>
        <v>0.5216328630446645</v>
      </c>
      <c r="O15" s="119">
        <f t="shared" si="8"/>
        <v>0.15527539169070081</v>
      </c>
      <c r="P15" s="120">
        <f t="shared" si="9"/>
        <v>142.38357446808513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15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15" t="s">
        <v>214</v>
      </c>
      <c r="X19" s="415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43.04</v>
      </c>
      <c r="C21" s="144" t="s">
        <v>172</v>
      </c>
      <c r="D21" s="145" t="s">
        <v>172</v>
      </c>
      <c r="E21" s="143">
        <v>47.56</v>
      </c>
      <c r="F21" s="144" t="s">
        <v>172</v>
      </c>
      <c r="G21" s="145" t="s">
        <v>172</v>
      </c>
      <c r="H21" s="143">
        <v>52.99</v>
      </c>
      <c r="I21" s="144" t="s">
        <v>172</v>
      </c>
      <c r="J21" s="145" t="s">
        <v>172</v>
      </c>
      <c r="K21" s="143">
        <v>47.32</v>
      </c>
      <c r="L21" s="144" t="s">
        <v>172</v>
      </c>
      <c r="M21" s="145" t="s">
        <v>172</v>
      </c>
      <c r="N21" s="143">
        <v>24.82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43.37</v>
      </c>
      <c r="C22" s="144" t="s">
        <v>172</v>
      </c>
      <c r="D22" s="145" t="s">
        <v>172</v>
      </c>
      <c r="E22" s="143">
        <v>46.82</v>
      </c>
      <c r="F22" s="144" t="s">
        <v>172</v>
      </c>
      <c r="G22" s="145" t="s">
        <v>172</v>
      </c>
      <c r="H22" s="143">
        <v>51.85</v>
      </c>
      <c r="I22" s="144" t="s">
        <v>172</v>
      </c>
      <c r="J22" s="145" t="s">
        <v>172</v>
      </c>
      <c r="K22" s="143">
        <v>46.25</v>
      </c>
      <c r="L22" s="144" t="s">
        <v>172</v>
      </c>
      <c r="M22" s="145" t="s">
        <v>172</v>
      </c>
      <c r="N22" s="143">
        <v>24.6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46.41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42.76</v>
      </c>
      <c r="C24" s="144" t="s">
        <v>172</v>
      </c>
      <c r="D24" s="145" t="s">
        <v>172</v>
      </c>
      <c r="E24" s="143">
        <v>45.78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47.99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1.1140000000000001</v>
      </c>
      <c r="F26" s="144" t="s">
        <v>172</v>
      </c>
      <c r="G26" s="145" t="s">
        <v>172</v>
      </c>
      <c r="H26" s="153">
        <v>1.179</v>
      </c>
      <c r="I26" s="144" t="s">
        <v>172</v>
      </c>
      <c r="J26" s="145" t="s">
        <v>172</v>
      </c>
      <c r="K26" s="153">
        <v>0.99399999999999999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1.0389999999999999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0.91500000000000004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4.4400000000000004</v>
      </c>
      <c r="F28" s="158" t="s">
        <v>172</v>
      </c>
      <c r="G28" s="159" t="s">
        <v>172</v>
      </c>
      <c r="H28" s="234">
        <v>4.7</v>
      </c>
      <c r="I28" s="158" t="s">
        <v>172</v>
      </c>
      <c r="J28" s="159" t="s">
        <v>172</v>
      </c>
      <c r="K28" s="234">
        <v>4.34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14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9.1075999999999997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2.5657999999999999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3.0413999999999999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6.8285999999999998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3.4205000000000001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4" zoomScale="85" zoomScaleNormal="85" workbookViewId="0">
      <selection activeCell="K32" sqref="K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44102</v>
      </c>
      <c r="E2" s="493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0.64635272391505072</v>
      </c>
      <c r="C6" s="103" t="s">
        <v>172</v>
      </c>
      <c r="D6" s="104" t="s">
        <v>172</v>
      </c>
      <c r="E6" s="102">
        <f>E20/$B$33</f>
        <v>0.68482610033856572</v>
      </c>
      <c r="F6" s="103" t="s">
        <v>172</v>
      </c>
      <c r="G6" s="104" t="s">
        <v>172</v>
      </c>
      <c r="H6" s="102">
        <f>H20/$B$33</f>
        <v>0.73868882733148655</v>
      </c>
      <c r="I6" s="103" t="s">
        <v>172</v>
      </c>
      <c r="J6" s="104" t="s">
        <v>172</v>
      </c>
      <c r="K6" s="102">
        <f>K20/$B$33</f>
        <v>0.68482610033856572</v>
      </c>
      <c r="L6" s="103" t="s">
        <v>172</v>
      </c>
      <c r="M6" s="104" t="s">
        <v>172</v>
      </c>
      <c r="N6" s="102">
        <f>N20/$B$33</f>
        <v>0.36164973838104025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0.55964729916897504</v>
      </c>
      <c r="C7" s="107">
        <f t="shared" ref="C7:C12" si="0">B7-B$6</f>
        <v>-8.6705424746075677E-2</v>
      </c>
      <c r="D7" s="108">
        <f t="shared" ref="D7:D12" si="1">B7/B$6*100</f>
        <v>86.585432142857144</v>
      </c>
      <c r="E7" s="102">
        <f>E21*$B$36/100/$B$33</f>
        <v>0.61844799168975062</v>
      </c>
      <c r="F7" s="107">
        <f t="shared" ref="F7:F15" si="2">E7-E$6</f>
        <v>-6.6378108648815104E-2</v>
      </c>
      <c r="G7" s="108">
        <f t="shared" ref="G7:G15" si="3">E7/E$6*100</f>
        <v>90.307304494382009</v>
      </c>
      <c r="H7" s="102">
        <f>H21*$B$36/100/$B$33</f>
        <v>0.68284255540166205</v>
      </c>
      <c r="I7" s="107">
        <f t="shared" ref="I7:I15" si="4">H7-H$6</f>
        <v>-5.5846271929824498E-2</v>
      </c>
      <c r="J7" s="108">
        <f t="shared" ref="J7:J15" si="5">H7/H$6*100</f>
        <v>92.439810937500013</v>
      </c>
      <c r="K7" s="102">
        <f>K21*$B$36/100/$B$33</f>
        <v>0.6155860110803324</v>
      </c>
      <c r="L7" s="107">
        <f t="shared" ref="L7:L15" si="6">K7-K$6</f>
        <v>-6.9240089258233328E-2</v>
      </c>
      <c r="M7" s="108">
        <f t="shared" ref="M7:M15" si="7">K7/K$6*100</f>
        <v>89.889391011235958</v>
      </c>
      <c r="N7" s="102">
        <f>N21*$B$36/100/$B$33</f>
        <v>0.32288344875346259</v>
      </c>
      <c r="O7" s="107">
        <f t="shared" ref="O7:O15" si="8">N7-N$6</f>
        <v>-3.8766289627577666E-2</v>
      </c>
      <c r="P7" s="108">
        <f t="shared" ref="P7:P15" si="9">N7/N$6*100</f>
        <v>89.280708510638306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0.56341990997229918</v>
      </c>
      <c r="C8" s="107">
        <f t="shared" si="0"/>
        <v>-8.2932813942751538E-2</v>
      </c>
      <c r="D8" s="108">
        <f t="shared" si="1"/>
        <v>87.169108928571433</v>
      </c>
      <c r="E8" s="102">
        <f>E22*$B$36/100/$B$33</f>
        <v>0.60778060941828249</v>
      </c>
      <c r="F8" s="107">
        <f t="shared" si="2"/>
        <v>-7.7045490920283233E-2</v>
      </c>
      <c r="G8" s="108">
        <f t="shared" si="3"/>
        <v>88.749626966292126</v>
      </c>
      <c r="H8" s="102">
        <f>H22*$B$36/100/$B$33</f>
        <v>0.6738663434903045</v>
      </c>
      <c r="I8" s="107">
        <f t="shared" si="4"/>
        <v>-6.4822483841182055E-2</v>
      </c>
      <c r="J8" s="108">
        <f t="shared" si="5"/>
        <v>91.224656249999981</v>
      </c>
      <c r="K8" s="102">
        <f>K22*$B$36/100/$B$33</f>
        <v>0.60179646814404431</v>
      </c>
      <c r="L8" s="107">
        <f t="shared" si="6"/>
        <v>-8.3029632194521419E-2</v>
      </c>
      <c r="M8" s="108">
        <f t="shared" si="7"/>
        <v>87.875807865168525</v>
      </c>
      <c r="N8" s="102">
        <f>N22*$B$36/100/$B$33</f>
        <v>0.32197281855955673</v>
      </c>
      <c r="O8" s="107">
        <f t="shared" si="8"/>
        <v>-3.9676919821483525E-2</v>
      </c>
      <c r="P8" s="108">
        <f t="shared" si="9"/>
        <v>89.028909574468088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0.56758279085872565</v>
      </c>
      <c r="C9" s="107">
        <f t="shared" si="0"/>
        <v>-7.876993305632507E-2</v>
      </c>
      <c r="D9" s="108">
        <f t="shared" si="1"/>
        <v>87.813166071428554</v>
      </c>
      <c r="E9" s="102">
        <f>E23*$B$36/100/$B$33</f>
        <v>0.6086912396121883</v>
      </c>
      <c r="F9" s="107">
        <f t="shared" si="2"/>
        <v>-7.6134860726377429E-2</v>
      </c>
      <c r="G9" s="108">
        <f t="shared" si="3"/>
        <v>88.882599438202234</v>
      </c>
      <c r="H9" s="102">
        <f>H23*$B$36/100/$B$33</f>
        <v>0.67646814404432132</v>
      </c>
      <c r="I9" s="107">
        <f t="shared" si="4"/>
        <v>-6.2220683287165235E-2</v>
      </c>
      <c r="J9" s="108">
        <f t="shared" si="5"/>
        <v>91.576875000000001</v>
      </c>
      <c r="K9" s="102">
        <f>K23*$B$36/100/$B$33</f>
        <v>0.60374781855955673</v>
      </c>
      <c r="L9" s="107">
        <f t="shared" si="6"/>
        <v>-8.1078281779008998E-2</v>
      </c>
      <c r="M9" s="108">
        <f t="shared" si="7"/>
        <v>88.160748876404483</v>
      </c>
      <c r="N9" s="102">
        <f>N23*$B$36/100/$B$33</f>
        <v>0.32782686980609416</v>
      </c>
      <c r="O9" s="107">
        <f t="shared" si="8"/>
        <v>-3.3822868574946097E-2</v>
      </c>
      <c r="P9" s="108">
        <f t="shared" si="9"/>
        <v>90.647617021276602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0.55691540858725752</v>
      </c>
      <c r="C10" s="107">
        <f t="shared" si="0"/>
        <v>-8.9437315327793199E-2</v>
      </c>
      <c r="D10" s="108">
        <f t="shared" si="1"/>
        <v>86.162769642857143</v>
      </c>
      <c r="E10" s="102">
        <f>E24*$B$36/100/$B$33</f>
        <v>0.59633268698060948</v>
      </c>
      <c r="F10" s="107">
        <f t="shared" si="2"/>
        <v>-8.8493413357956241E-2</v>
      </c>
      <c r="G10" s="108">
        <f t="shared" si="3"/>
        <v>87.077973033707877</v>
      </c>
      <c r="H10" s="102">
        <f>H24*$B$36/100/$B$33</f>
        <v>0.68284255540166205</v>
      </c>
      <c r="I10" s="107">
        <f t="shared" si="4"/>
        <v>-5.5846271929824498E-2</v>
      </c>
      <c r="J10" s="108">
        <f t="shared" si="5"/>
        <v>92.439810937500013</v>
      </c>
      <c r="K10" s="102">
        <f>K24*$B$36/100/$B$33</f>
        <v>0.62456222299168962</v>
      </c>
      <c r="L10" s="107">
        <f t="shared" si="6"/>
        <v>-6.0263877346876105E-2</v>
      </c>
      <c r="M10" s="108">
        <f t="shared" si="7"/>
        <v>91.200119662921324</v>
      </c>
      <c r="N10" s="102">
        <f>N24*$B$36/100/$B$33</f>
        <v>0.29335301246537393</v>
      </c>
      <c r="O10" s="107">
        <f t="shared" si="8"/>
        <v>-6.8296725915666323E-2</v>
      </c>
      <c r="P10" s="108">
        <f t="shared" si="9"/>
        <v>81.115228723404272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0.5618913521468144</v>
      </c>
      <c r="C11" s="236">
        <f t="shared" si="0"/>
        <v>-8.4461371768236315E-2</v>
      </c>
      <c r="D11" s="237">
        <f t="shared" si="1"/>
        <v>86.93261919642859</v>
      </c>
      <c r="E11" s="235">
        <f>AVERAGE(E7:E10)</f>
        <v>0.60781313192520769</v>
      </c>
      <c r="F11" s="236">
        <f t="shared" si="2"/>
        <v>-7.7012968413358029E-2</v>
      </c>
      <c r="G11" s="237">
        <f t="shared" si="3"/>
        <v>88.754375983146062</v>
      </c>
      <c r="H11" s="235">
        <f>AVERAGE(H7:H10)</f>
        <v>0.6790048995844874</v>
      </c>
      <c r="I11" s="236">
        <f t="shared" si="4"/>
        <v>-5.9683927746999155E-2</v>
      </c>
      <c r="J11" s="237">
        <f t="shared" si="5"/>
        <v>91.920288281249981</v>
      </c>
      <c r="K11" s="235">
        <f>AVERAGE(K7:K10)</f>
        <v>0.61142313019390582</v>
      </c>
      <c r="L11" s="236">
        <f t="shared" si="6"/>
        <v>-7.3402970144659907E-2</v>
      </c>
      <c r="M11" s="237">
        <f t="shared" si="7"/>
        <v>89.281516853932587</v>
      </c>
      <c r="N11" s="235">
        <f>AVERAGE(N7:N10)</f>
        <v>0.31650903739612191</v>
      </c>
      <c r="O11" s="236">
        <f t="shared" si="8"/>
        <v>-4.5140700984918347E-2</v>
      </c>
      <c r="P11" s="237">
        <f t="shared" si="9"/>
        <v>87.518115957446824</v>
      </c>
      <c r="Q11" s="109"/>
    </row>
    <row r="12" spans="1:19" s="96" customFormat="1" ht="15.75" x14ac:dyDescent="0.25">
      <c r="A12" s="110" t="s">
        <v>24</v>
      </c>
      <c r="B12" s="102">
        <f>B25*$B$32/100/$B$33</f>
        <v>0.82233725761772847</v>
      </c>
      <c r="C12" s="107">
        <f t="shared" si="0"/>
        <v>0.17598453370267775</v>
      </c>
      <c r="D12" s="108">
        <f t="shared" si="1"/>
        <v>127.22732142857143</v>
      </c>
      <c r="E12" s="102">
        <f>E25*$B$32/100/$B$33</f>
        <v>0.86407308402585392</v>
      </c>
      <c r="F12" s="107">
        <f t="shared" si="2"/>
        <v>0.1792469836872882</v>
      </c>
      <c r="G12" s="108">
        <f t="shared" si="3"/>
        <v>126.17408764044941</v>
      </c>
      <c r="H12" s="102">
        <f>H25*$B$32/100/$B$33</f>
        <v>0.98291408125577084</v>
      </c>
      <c r="I12" s="107">
        <f t="shared" si="4"/>
        <v>0.24422525392428429</v>
      </c>
      <c r="J12" s="108">
        <f t="shared" si="5"/>
        <v>133.06199375</v>
      </c>
      <c r="K12" s="102">
        <f>K25*$B$32/100/$B$33</f>
        <v>0.81349492151431191</v>
      </c>
      <c r="L12" s="107">
        <f t="shared" si="6"/>
        <v>0.12866882117574618</v>
      </c>
      <c r="M12" s="108">
        <f t="shared" si="7"/>
        <v>118.78853932584266</v>
      </c>
      <c r="N12" s="102">
        <f>N25*$B$32/100/$B$33</f>
        <v>0.38163522622345331</v>
      </c>
      <c r="O12" s="107">
        <f t="shared" si="8"/>
        <v>1.9985487842413052E-2</v>
      </c>
      <c r="P12" s="108">
        <f t="shared" si="9"/>
        <v>105.52619999999999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1.2994095106186518</v>
      </c>
      <c r="F13" s="107">
        <f t="shared" si="2"/>
        <v>0.61458341028008612</v>
      </c>
      <c r="G13" s="108">
        <f t="shared" si="3"/>
        <v>189.74298876404495</v>
      </c>
      <c r="H13" s="102">
        <f>H26*$B$34/$B$33</f>
        <v>1.37522783933518</v>
      </c>
      <c r="I13" s="107">
        <f t="shared" si="4"/>
        <v>0.63653901200369345</v>
      </c>
      <c r="J13" s="108">
        <f t="shared" si="5"/>
        <v>186.17146875</v>
      </c>
      <c r="K13" s="102">
        <f>K26*$B$34/$B$33</f>
        <v>1.1594372114496767</v>
      </c>
      <c r="L13" s="107">
        <f t="shared" si="6"/>
        <v>0.47461111111111098</v>
      </c>
      <c r="M13" s="108">
        <f t="shared" si="7"/>
        <v>169.3038876404494</v>
      </c>
      <c r="N13" s="102">
        <f>N26*$B$34/$B$33</f>
        <v>0.58905009233610339</v>
      </c>
      <c r="O13" s="107">
        <f t="shared" si="8"/>
        <v>0.22740035395506314</v>
      </c>
      <c r="P13" s="108">
        <f t="shared" si="9"/>
        <v>162.87861702127663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1.2119268236380423</v>
      </c>
      <c r="F14" s="107">
        <f t="shared" si="2"/>
        <v>0.52710072329947655</v>
      </c>
      <c r="G14" s="108">
        <f t="shared" si="3"/>
        <v>176.96855056179771</v>
      </c>
      <c r="H14" s="102">
        <f>H27*$B$34/$B$33</f>
        <v>1.3344025854108954</v>
      </c>
      <c r="I14" s="107">
        <f t="shared" si="4"/>
        <v>0.59571375807940885</v>
      </c>
      <c r="J14" s="108">
        <f t="shared" si="5"/>
        <v>180.64474999999999</v>
      </c>
      <c r="K14" s="102">
        <f>K27*$B$34/$B$33</f>
        <v>1.0672887811634348</v>
      </c>
      <c r="L14" s="107">
        <f t="shared" si="6"/>
        <v>0.38246268082486912</v>
      </c>
      <c r="M14" s="108">
        <f t="shared" si="7"/>
        <v>155.84814606741574</v>
      </c>
      <c r="N14" s="102">
        <f>N27*$B$34/$B$33</f>
        <v>0.58205147737765461</v>
      </c>
      <c r="O14" s="107">
        <f t="shared" si="8"/>
        <v>0.22040173899661436</v>
      </c>
      <c r="P14" s="108">
        <f t="shared" si="9"/>
        <v>160.94342553191493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1.1411676669744537</v>
      </c>
      <c r="F15" s="119">
        <f t="shared" si="2"/>
        <v>0.45634156663588799</v>
      </c>
      <c r="G15" s="120">
        <f t="shared" si="3"/>
        <v>166.63612359550561</v>
      </c>
      <c r="H15" s="118">
        <f>H28*$B$35/10/$B$33</f>
        <v>1.2076931363496459</v>
      </c>
      <c r="I15" s="119">
        <f t="shared" si="4"/>
        <v>0.46900430901815937</v>
      </c>
      <c r="J15" s="120">
        <f t="shared" si="5"/>
        <v>163.49145833333333</v>
      </c>
      <c r="K15" s="118">
        <f>K28*$B$35/10/$B$33</f>
        <v>1.1104636041859033</v>
      </c>
      <c r="L15" s="119">
        <f t="shared" si="6"/>
        <v>0.42563750384733756</v>
      </c>
      <c r="M15" s="120">
        <f t="shared" si="7"/>
        <v>162.15264044943817</v>
      </c>
      <c r="N15" s="118">
        <f>N28*$B$35/10/$B$33</f>
        <v>0.50149969221298851</v>
      </c>
      <c r="O15" s="119">
        <f t="shared" si="8"/>
        <v>0.13984995383194826</v>
      </c>
      <c r="P15" s="120">
        <f t="shared" si="9"/>
        <v>138.67000000000002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1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17" t="s">
        <v>214</v>
      </c>
      <c r="X19" s="41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47.54</v>
      </c>
      <c r="F21" s="144" t="s">
        <v>172</v>
      </c>
      <c r="G21" s="145" t="s">
        <v>172</v>
      </c>
      <c r="H21" s="143">
        <v>52.49</v>
      </c>
      <c r="I21" s="144" t="s">
        <v>172</v>
      </c>
      <c r="J21" s="145" t="s">
        <v>172</v>
      </c>
      <c r="K21" s="143">
        <v>47.32</v>
      </c>
      <c r="L21" s="144" t="s">
        <v>172</v>
      </c>
      <c r="M21" s="145" t="s">
        <v>172</v>
      </c>
      <c r="N21" s="143">
        <v>24.82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43.31</v>
      </c>
      <c r="C22" s="144" t="s">
        <v>172</v>
      </c>
      <c r="D22" s="145" t="s">
        <v>172</v>
      </c>
      <c r="E22" s="143">
        <v>46.72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46.26</v>
      </c>
      <c r="L22" s="144" t="s">
        <v>172</v>
      </c>
      <c r="M22" s="145" t="s">
        <v>172</v>
      </c>
      <c r="N22" s="143">
        <v>24.75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52</v>
      </c>
      <c r="I23" s="144" t="s">
        <v>172</v>
      </c>
      <c r="J23" s="145" t="s">
        <v>172</v>
      </c>
      <c r="K23" s="143">
        <v>46.41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42.81</v>
      </c>
      <c r="C24" s="144" t="s">
        <v>172</v>
      </c>
      <c r="D24" s="145" t="s">
        <v>172</v>
      </c>
      <c r="E24" s="143">
        <v>45.84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48.01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27.79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1.1140000000000001</v>
      </c>
      <c r="F26" s="144" t="s">
        <v>172</v>
      </c>
      <c r="G26" s="145" t="s">
        <v>172</v>
      </c>
      <c r="H26" s="153">
        <v>1.179</v>
      </c>
      <c r="I26" s="144" t="s">
        <v>172</v>
      </c>
      <c r="J26" s="145" t="s">
        <v>172</v>
      </c>
      <c r="K26" s="153">
        <v>0.99399999999999999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1.0389999999999999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0.91500000000000004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4.46</v>
      </c>
      <c r="F28" s="158" t="s">
        <v>172</v>
      </c>
      <c r="G28" s="159" t="s">
        <v>172</v>
      </c>
      <c r="H28" s="234">
        <v>4.72</v>
      </c>
      <c r="I28" s="158" t="s">
        <v>172</v>
      </c>
      <c r="J28" s="159" t="s">
        <v>172</v>
      </c>
      <c r="K28" s="234">
        <v>4.34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1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9.1931999999999992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2.5992000000000002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3.0318000000000001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6.6505000000000001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3.3813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16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44109</v>
      </c>
      <c r="E2" s="493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0.64244741873804967</v>
      </c>
      <c r="C6" s="103" t="s">
        <v>172</v>
      </c>
      <c r="D6" s="104" t="s">
        <v>172</v>
      </c>
      <c r="E6" s="102">
        <f>E20/$B$33</f>
        <v>0.68068833652007643</v>
      </c>
      <c r="F6" s="103" t="s">
        <v>172</v>
      </c>
      <c r="G6" s="104" t="s">
        <v>172</v>
      </c>
      <c r="H6" s="102">
        <f>H20/$B$33</f>
        <v>0.73422562141491388</v>
      </c>
      <c r="I6" s="103" t="s">
        <v>172</v>
      </c>
      <c r="J6" s="104" t="s">
        <v>172</v>
      </c>
      <c r="K6" s="102">
        <f>K20/$B$33</f>
        <v>0.68068833652007643</v>
      </c>
      <c r="L6" s="103" t="s">
        <v>172</v>
      </c>
      <c r="M6" s="104" t="s">
        <v>172</v>
      </c>
      <c r="N6" s="102">
        <f>N20/$B$33</f>
        <v>0.3594646271510516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0.54947151051625231</v>
      </c>
      <c r="C7" s="107">
        <f t="shared" ref="C7:C12" si="0">B7-B$6</f>
        <v>-9.2975908221797354E-2</v>
      </c>
      <c r="D7" s="108">
        <f t="shared" ref="D7:D12" si="1">B7/B$6*100</f>
        <v>85.52785714285713</v>
      </c>
      <c r="E7" s="102">
        <f>E21*$B$36/100/$B$33</f>
        <v>0.60720305927342244</v>
      </c>
      <c r="F7" s="107">
        <f t="shared" ref="F7:F15" si="2">E7-E$6</f>
        <v>-7.3485277246653991E-2</v>
      </c>
      <c r="G7" s="108">
        <f t="shared" ref="G7:G15" si="3">E7/E$6*100</f>
        <v>89.204269662921334</v>
      </c>
      <c r="H7" s="102">
        <f>H21*$B$36/100/$B$33</f>
        <v>0.67668527724665384</v>
      </c>
      <c r="I7" s="107">
        <f t="shared" ref="I7:I15" si="4">H7-H$6</f>
        <v>-5.7540344168260038E-2</v>
      </c>
      <c r="J7" s="108">
        <f t="shared" ref="J7:J15" si="5">H7/H$6*100</f>
        <v>92.163125000000008</v>
      </c>
      <c r="K7" s="102">
        <f>K21*$B$36/100/$B$33</f>
        <v>0.60503173996175896</v>
      </c>
      <c r="L7" s="107">
        <f t="shared" ref="L7:L15" si="6">K7-K$6</f>
        <v>-7.5656596558317468E-2</v>
      </c>
      <c r="M7" s="108">
        <f t="shared" ref="M7:M15" si="7">K7/K$6*100</f>
        <v>88.885280898876402</v>
      </c>
      <c r="N7" s="102">
        <f>N21*$B$36/100/$B$33</f>
        <v>0.31637399617590817</v>
      </c>
      <c r="O7" s="107">
        <f t="shared" ref="O7:O15" si="8">N7-N$6</f>
        <v>-4.3090630975143429E-2</v>
      </c>
      <c r="P7" s="108">
        <f t="shared" ref="P7:P15" si="9">N7/N$6*100</f>
        <v>88.012553191489346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0.55368642447418726</v>
      </c>
      <c r="C8" s="107">
        <f t="shared" si="0"/>
        <v>-8.8760994263862414E-2</v>
      </c>
      <c r="D8" s="108">
        <f t="shared" si="1"/>
        <v>86.183928571428552</v>
      </c>
      <c r="E8" s="102">
        <f>E22*$B$36/100/$B$33</f>
        <v>0.59826233269598472</v>
      </c>
      <c r="F8" s="107">
        <f t="shared" si="2"/>
        <v>-8.2426003824091709E-2</v>
      </c>
      <c r="G8" s="108">
        <f t="shared" si="3"/>
        <v>87.89078651685395</v>
      </c>
      <c r="H8" s="102">
        <f>H22*$B$36/100/$B$33</f>
        <v>0.66225239005736125</v>
      </c>
      <c r="I8" s="107">
        <f t="shared" si="4"/>
        <v>-7.1973231357552625E-2</v>
      </c>
      <c r="J8" s="108">
        <f t="shared" si="5"/>
        <v>90.197395833333331</v>
      </c>
      <c r="K8" s="102">
        <f>K22*$B$36/100/$B$33</f>
        <v>0.59225927342256213</v>
      </c>
      <c r="L8" s="107">
        <f t="shared" si="6"/>
        <v>-8.8429063097514304E-2</v>
      </c>
      <c r="M8" s="108">
        <f t="shared" si="7"/>
        <v>87.008876404494387</v>
      </c>
      <c r="N8" s="102">
        <f>N22*$B$36/100/$B$33</f>
        <v>0.31611854684512419</v>
      </c>
      <c r="O8" s="107">
        <f t="shared" si="8"/>
        <v>-4.3346080305927404E-2</v>
      </c>
      <c r="P8" s="108">
        <f t="shared" si="9"/>
        <v>87.941489361702111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0.55751816443594648</v>
      </c>
      <c r="C9" s="107">
        <f t="shared" si="0"/>
        <v>-8.4929254302103185E-2</v>
      </c>
      <c r="D9" s="108">
        <f t="shared" si="1"/>
        <v>86.780357142857156</v>
      </c>
      <c r="E9" s="102">
        <f>E23*$B$36/100/$B$33</f>
        <v>0.59775143403441666</v>
      </c>
      <c r="F9" s="107">
        <f t="shared" si="2"/>
        <v>-8.2936902485659769E-2</v>
      </c>
      <c r="G9" s="108">
        <f t="shared" si="3"/>
        <v>87.815730337078634</v>
      </c>
      <c r="H9" s="102">
        <f>H23*$B$36/100/$B$33</f>
        <v>0.6628910133843211</v>
      </c>
      <c r="I9" s="107">
        <f t="shared" si="4"/>
        <v>-7.1334608030592772E-2</v>
      </c>
      <c r="J9" s="108">
        <f t="shared" si="5"/>
        <v>90.284374999999997</v>
      </c>
      <c r="K9" s="102">
        <f>K23*$B$36/100/$B$33</f>
        <v>0.59264244741873806</v>
      </c>
      <c r="L9" s="107">
        <f t="shared" si="6"/>
        <v>-8.804588910133837E-2</v>
      </c>
      <c r="M9" s="108">
        <f t="shared" si="7"/>
        <v>87.065168539325853</v>
      </c>
      <c r="N9" s="102">
        <f>N23*$B$36/100/$B$33</f>
        <v>0.32186615678776281</v>
      </c>
      <c r="O9" s="107">
        <f t="shared" si="8"/>
        <v>-3.7598470363288783E-2</v>
      </c>
      <c r="P9" s="108">
        <f t="shared" si="9"/>
        <v>89.540425531914877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0.546789292543021</v>
      </c>
      <c r="C10" s="107">
        <f t="shared" si="0"/>
        <v>-9.565812619502867E-2</v>
      </c>
      <c r="D10" s="108">
        <f t="shared" si="1"/>
        <v>85.11035714285714</v>
      </c>
      <c r="E10" s="102">
        <f>E24*$B$36/100/$B$33</f>
        <v>0.58548986615678777</v>
      </c>
      <c r="F10" s="107">
        <f t="shared" si="2"/>
        <v>-9.5198470363288656E-2</v>
      </c>
      <c r="G10" s="108">
        <f t="shared" si="3"/>
        <v>86.014382022471921</v>
      </c>
      <c r="H10" s="102">
        <f>H24*$B$36/100/$B$33</f>
        <v>0.67042676864244732</v>
      </c>
      <c r="I10" s="107">
        <f t="shared" si="4"/>
        <v>-6.3798852772466552E-2</v>
      </c>
      <c r="J10" s="108">
        <f t="shared" si="5"/>
        <v>91.310729166666661</v>
      </c>
      <c r="K10" s="102">
        <f>K24*$B$36/100/$B$33</f>
        <v>0.61333384321223694</v>
      </c>
      <c r="L10" s="107">
        <f t="shared" si="6"/>
        <v>-6.7354493307839491E-2</v>
      </c>
      <c r="M10" s="108">
        <f t="shared" si="7"/>
        <v>90.104943820224705</v>
      </c>
      <c r="N10" s="102">
        <f>N24*$B$36/100/$B$33</f>
        <v>0.28801912045889094</v>
      </c>
      <c r="O10" s="107">
        <f t="shared" si="8"/>
        <v>-7.1445506692160654E-2</v>
      </c>
      <c r="P10" s="108">
        <f t="shared" si="9"/>
        <v>80.124468085106372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0.55186634799235179</v>
      </c>
      <c r="C11" s="236">
        <f t="shared" si="0"/>
        <v>-9.0581070745697878E-2</v>
      </c>
      <c r="D11" s="237">
        <f t="shared" si="1"/>
        <v>85.900624999999991</v>
      </c>
      <c r="E11" s="235">
        <f>AVERAGE(E7:E10)</f>
        <v>0.59717667304015287</v>
      </c>
      <c r="F11" s="236">
        <f t="shared" si="2"/>
        <v>-8.3511663479923559E-2</v>
      </c>
      <c r="G11" s="237">
        <f t="shared" si="3"/>
        <v>87.731292134831449</v>
      </c>
      <c r="H11" s="235">
        <f>AVERAGE(H7:H10)</f>
        <v>0.66806386233269599</v>
      </c>
      <c r="I11" s="236">
        <f t="shared" si="4"/>
        <v>-6.6161759082217886E-2</v>
      </c>
      <c r="J11" s="237">
        <f t="shared" si="5"/>
        <v>90.988906250000014</v>
      </c>
      <c r="K11" s="235">
        <f>AVERAGE(K7:K10)</f>
        <v>0.60081682600382402</v>
      </c>
      <c r="L11" s="236">
        <f t="shared" si="6"/>
        <v>-7.9871510516252409E-2</v>
      </c>
      <c r="M11" s="237">
        <f t="shared" si="7"/>
        <v>88.266067415730333</v>
      </c>
      <c r="N11" s="235">
        <f>AVERAGE(N7:N10)</f>
        <v>0.31059445506692152</v>
      </c>
      <c r="O11" s="236">
        <f t="shared" si="8"/>
        <v>-4.8870172084130081E-2</v>
      </c>
      <c r="P11" s="237">
        <f t="shared" si="9"/>
        <v>86.404734042553173</v>
      </c>
      <c r="Q11" s="109"/>
    </row>
    <row r="12" spans="1:19" s="96" customFormat="1" ht="15.75" x14ac:dyDescent="0.25">
      <c r="A12" s="110" t="s">
        <v>24</v>
      </c>
      <c r="B12" s="102">
        <f>B25*$B$32/100/$B$33</f>
        <v>0.82038269598470359</v>
      </c>
      <c r="C12" s="107">
        <f t="shared" si="0"/>
        <v>0.17793527724665392</v>
      </c>
      <c r="D12" s="108">
        <f t="shared" si="1"/>
        <v>127.69647321428572</v>
      </c>
      <c r="E12" s="102">
        <f>E25*$B$32/100/$B$33</f>
        <v>0.86201932313575513</v>
      </c>
      <c r="F12" s="107">
        <f t="shared" si="2"/>
        <v>0.1813309866156787</v>
      </c>
      <c r="G12" s="108">
        <f t="shared" si="3"/>
        <v>126.63935561797753</v>
      </c>
      <c r="H12" s="102">
        <f>H25*$B$32/100/$B$33</f>
        <v>1.0070418126195027</v>
      </c>
      <c r="I12" s="107">
        <f t="shared" si="4"/>
        <v>0.27281619120458878</v>
      </c>
      <c r="J12" s="108">
        <f t="shared" si="5"/>
        <v>137.15699687499998</v>
      </c>
      <c r="K12" s="102">
        <f>K25*$B$32/100/$B$33</f>
        <v>0.81156137667304007</v>
      </c>
      <c r="L12" s="107">
        <f t="shared" si="6"/>
        <v>0.13087304015296364</v>
      </c>
      <c r="M12" s="108">
        <f t="shared" si="7"/>
        <v>119.22657303370787</v>
      </c>
      <c r="N12" s="102">
        <f>N25*$B$32/100/$B$33</f>
        <v>0.38072814149139572</v>
      </c>
      <c r="O12" s="107">
        <f t="shared" si="8"/>
        <v>2.1263514340344125E-2</v>
      </c>
      <c r="P12" s="108">
        <f t="shared" si="9"/>
        <v>105.91532872340423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1.2952896367112809</v>
      </c>
      <c r="F13" s="107">
        <f t="shared" si="2"/>
        <v>0.61460130019120451</v>
      </c>
      <c r="G13" s="108">
        <f t="shared" si="3"/>
        <v>190.29114606741572</v>
      </c>
      <c r="H13" s="102">
        <f>H26*$B$34/$B$33</f>
        <v>1.3656858126195026</v>
      </c>
      <c r="I13" s="107">
        <f t="shared" si="4"/>
        <v>0.63146019120458874</v>
      </c>
      <c r="J13" s="108">
        <f t="shared" si="5"/>
        <v>186.00356249999999</v>
      </c>
      <c r="K13" s="102">
        <f>K26*$B$34/$B$33</f>
        <v>1.1544972848948374</v>
      </c>
      <c r="L13" s="107">
        <f t="shared" si="6"/>
        <v>0.47380894837476095</v>
      </c>
      <c r="M13" s="108">
        <f t="shared" si="7"/>
        <v>169.60732584269661</v>
      </c>
      <c r="N13" s="102">
        <f>N26*$B$34/$B$33</f>
        <v>0.59250114722753333</v>
      </c>
      <c r="O13" s="107">
        <f t="shared" si="8"/>
        <v>0.23303652007648173</v>
      </c>
      <c r="P13" s="108">
        <f t="shared" si="9"/>
        <v>164.82877659574467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1.2260667304015294</v>
      </c>
      <c r="F14" s="107">
        <f t="shared" si="2"/>
        <v>0.54537839388145293</v>
      </c>
      <c r="G14" s="108">
        <f t="shared" si="3"/>
        <v>180.12160112359547</v>
      </c>
      <c r="H14" s="102">
        <f>H27*$B$34/$B$33</f>
        <v>1.3187550286806884</v>
      </c>
      <c r="I14" s="107">
        <f t="shared" si="4"/>
        <v>0.58452940726577451</v>
      </c>
      <c r="J14" s="108">
        <f t="shared" si="5"/>
        <v>179.61168750000002</v>
      </c>
      <c r="K14" s="102">
        <f>K27*$B$34/$B$33</f>
        <v>1.0618089866156788</v>
      </c>
      <c r="L14" s="107">
        <f t="shared" si="6"/>
        <v>0.38112065009560236</v>
      </c>
      <c r="M14" s="108">
        <f t="shared" si="7"/>
        <v>155.99047752808991</v>
      </c>
      <c r="N14" s="102">
        <f>N27*$B$34/$B$33</f>
        <v>0.58546152963671128</v>
      </c>
      <c r="O14" s="107">
        <f t="shared" si="8"/>
        <v>0.22599690248565968</v>
      </c>
      <c r="P14" s="108">
        <f t="shared" si="9"/>
        <v>162.87041489361704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1.1641538049713192</v>
      </c>
      <c r="F15" s="119">
        <f t="shared" si="2"/>
        <v>0.48346546845124272</v>
      </c>
      <c r="G15" s="120">
        <f t="shared" si="3"/>
        <v>171.02596629213483</v>
      </c>
      <c r="H15" s="118">
        <f>H28*$B$35/10/$B$33</f>
        <v>1.2137478011472276</v>
      </c>
      <c r="I15" s="119">
        <f t="shared" si="4"/>
        <v>0.4795221797323137</v>
      </c>
      <c r="J15" s="120">
        <f t="shared" si="5"/>
        <v>165.30992187500001</v>
      </c>
      <c r="K15" s="118">
        <f>K28*$B$35/10/$B$33</f>
        <v>1.1354414913957935</v>
      </c>
      <c r="L15" s="119">
        <f t="shared" si="6"/>
        <v>0.4547531548757171</v>
      </c>
      <c r="M15" s="120">
        <f t="shared" si="7"/>
        <v>166.80783707865169</v>
      </c>
      <c r="N15" s="118">
        <f>N28*$B$35/10/$B$33</f>
        <v>0.51943185468451236</v>
      </c>
      <c r="O15" s="119">
        <f t="shared" si="8"/>
        <v>0.15996722753346077</v>
      </c>
      <c r="P15" s="120">
        <f t="shared" si="9"/>
        <v>144.50152127659575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1" t="s">
        <v>214</v>
      </c>
      <c r="X19" s="421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47.54</v>
      </c>
      <c r="F21" s="144" t="s">
        <v>172</v>
      </c>
      <c r="G21" s="145" t="s">
        <v>172</v>
      </c>
      <c r="H21" s="143">
        <v>52.98</v>
      </c>
      <c r="I21" s="144" t="s">
        <v>172</v>
      </c>
      <c r="J21" s="145" t="s">
        <v>172</v>
      </c>
      <c r="K21" s="143">
        <v>47.37</v>
      </c>
      <c r="L21" s="144" t="s">
        <v>172</v>
      </c>
      <c r="M21" s="145" t="s">
        <v>172</v>
      </c>
      <c r="N21" s="143">
        <v>24.77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43.35</v>
      </c>
      <c r="C22" s="144" t="s">
        <v>172</v>
      </c>
      <c r="D22" s="145" t="s">
        <v>172</v>
      </c>
      <c r="E22" s="143">
        <v>46.84</v>
      </c>
      <c r="F22" s="144" t="s">
        <v>172</v>
      </c>
      <c r="G22" s="145" t="s">
        <v>172</v>
      </c>
      <c r="H22" s="143">
        <v>51.85</v>
      </c>
      <c r="I22" s="144" t="s">
        <v>172</v>
      </c>
      <c r="J22" s="145" t="s">
        <v>172</v>
      </c>
      <c r="K22" s="143">
        <v>46.37</v>
      </c>
      <c r="L22" s="144" t="s">
        <v>172</v>
      </c>
      <c r="M22" s="145" t="s">
        <v>172</v>
      </c>
      <c r="N22" s="143">
        <v>24.75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43.65</v>
      </c>
      <c r="C23" s="144" t="s">
        <v>172</v>
      </c>
      <c r="D23" s="145" t="s">
        <v>172</v>
      </c>
      <c r="E23" s="143">
        <v>46.8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46.4</v>
      </c>
      <c r="L23" s="144" t="s">
        <v>172</v>
      </c>
      <c r="M23" s="145" t="s">
        <v>172</v>
      </c>
      <c r="N23" s="143">
        <v>25.2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42.81</v>
      </c>
      <c r="C24" s="144" t="s">
        <v>172</v>
      </c>
      <c r="D24" s="145" t="s">
        <v>172</v>
      </c>
      <c r="E24" s="143">
        <v>45.84</v>
      </c>
      <c r="F24" s="144" t="s">
        <v>172</v>
      </c>
      <c r="G24" s="145" t="s">
        <v>172</v>
      </c>
      <c r="H24" s="143">
        <v>52.49</v>
      </c>
      <c r="I24" s="144" t="s">
        <v>172</v>
      </c>
      <c r="J24" s="145" t="s">
        <v>172</v>
      </c>
      <c r="K24" s="143">
        <v>48.02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10.79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1.1040000000000001</v>
      </c>
      <c r="F26" s="144" t="s">
        <v>172</v>
      </c>
      <c r="G26" s="145" t="s">
        <v>172</v>
      </c>
      <c r="H26" s="153">
        <v>1.1639999999999999</v>
      </c>
      <c r="I26" s="144" t="s">
        <v>172</v>
      </c>
      <c r="J26" s="145" t="s">
        <v>172</v>
      </c>
      <c r="K26" s="153">
        <v>0.98399999999999999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1.0449999999999999</v>
      </c>
      <c r="F27" s="144" t="s">
        <v>172</v>
      </c>
      <c r="G27" s="145" t="s">
        <v>172</v>
      </c>
      <c r="H27" s="153">
        <v>1.1240000000000001</v>
      </c>
      <c r="I27" s="144" t="s">
        <v>172</v>
      </c>
      <c r="J27" s="145" t="s">
        <v>172</v>
      </c>
      <c r="K27" s="153">
        <v>0.90500000000000003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4.46</v>
      </c>
      <c r="F28" s="158" t="s">
        <v>172</v>
      </c>
      <c r="G28" s="159" t="s">
        <v>172</v>
      </c>
      <c r="H28" s="234">
        <v>4.6500000000000004</v>
      </c>
      <c r="I28" s="158" t="s">
        <v>172</v>
      </c>
      <c r="J28" s="159" t="s">
        <v>172</v>
      </c>
      <c r="K28" s="234">
        <v>4.3499999999999996</v>
      </c>
      <c r="L28" s="158" t="s">
        <v>172</v>
      </c>
      <c r="M28" s="159" t="s">
        <v>172</v>
      </c>
      <c r="N28" s="234">
        <v>1.99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9.2271000000000001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2.6150000000000002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3.0680999999999998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6.8257000000000003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3"/>
  <sheetViews>
    <sheetView zoomScale="85" zoomScaleNormal="85" workbookViewId="0">
      <selection activeCell="H31" sqref="H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customWidth="1" outlineLevel="1"/>
    <col min="18" max="18" width="44.7109375" customWidth="1" outlineLevel="1"/>
    <col min="19" max="19" width="28.42578125" customWidth="1" outlineLevel="1"/>
    <col min="20" max="20" width="43" customWidth="1" outlineLevel="1"/>
    <col min="21" max="21" width="28.28515625" customWidth="1" outlineLevel="1"/>
    <col min="22" max="22" width="29" customWidth="1" outlineLevel="1"/>
    <col min="23" max="23" width="42.28515625" customWidth="1" outlineLevel="1"/>
    <col min="24" max="24" width="44.28515625" customWidth="1" outlineLevel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44116</v>
      </c>
      <c r="E2" s="493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0.6516679596586501</v>
      </c>
      <c r="C6" s="103" t="s">
        <v>172</v>
      </c>
      <c r="D6" s="104" t="s">
        <v>172</v>
      </c>
      <c r="E6" s="102">
        <f>E20/$B$33</f>
        <v>0.69045771916214127</v>
      </c>
      <c r="F6" s="103" t="s">
        <v>172</v>
      </c>
      <c r="G6" s="104" t="s">
        <v>172</v>
      </c>
      <c r="H6" s="102">
        <f>H20/$B$33</f>
        <v>0.74476338246702867</v>
      </c>
      <c r="I6" s="103" t="s">
        <v>172</v>
      </c>
      <c r="J6" s="104" t="s">
        <v>172</v>
      </c>
      <c r="K6" s="102">
        <f>K20/$B$33</f>
        <v>0.69045771916214127</v>
      </c>
      <c r="L6" s="103" t="s">
        <v>172</v>
      </c>
      <c r="M6" s="104" t="s">
        <v>172</v>
      </c>
      <c r="N6" s="102">
        <f>N20/$B$33</f>
        <v>0.36462373933281611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0.55896155934833203</v>
      </c>
      <c r="C7" s="107">
        <f t="shared" ref="C7:C12" si="0">B7-B$6</f>
        <v>-9.2706400310318071E-2</v>
      </c>
      <c r="D7" s="108">
        <f t="shared" ref="D7:D12" si="1">B7/B$6*100</f>
        <v>85.773982142857136</v>
      </c>
      <c r="E7" s="102">
        <f>E21*$B$36/100/$B$33</f>
        <v>0.61776545771916225</v>
      </c>
      <c r="F7" s="107">
        <f t="shared" ref="F7:F15" si="2">E7-E$6</f>
        <v>-7.2692261442979023E-2</v>
      </c>
      <c r="G7" s="108">
        <f t="shared" ref="G7:G15" si="3">E7/E$6*100</f>
        <v>89.471873595505627</v>
      </c>
      <c r="H7" s="102">
        <f>H21*$B$36/100/$B$33</f>
        <v>0.67371353762606667</v>
      </c>
      <c r="I7" s="107">
        <f t="shared" ref="I7:I15" si="4">H7-H$6</f>
        <v>-7.1049844840961995E-2</v>
      </c>
      <c r="J7" s="108">
        <f t="shared" ref="J7:J15" si="5">H7/H$6*100</f>
        <v>90.460078124999995</v>
      </c>
      <c r="K7" s="102">
        <f>K21*$B$36/100/$B$33</f>
        <v>0.61439039953452279</v>
      </c>
      <c r="L7" s="107">
        <f t="shared" ref="L7:L15" si="6">K7-K$6</f>
        <v>-7.6067319627618479E-2</v>
      </c>
      <c r="M7" s="108">
        <f t="shared" ref="M7:M15" si="7">K7/K$6*100</f>
        <v>88.983058988764014</v>
      </c>
      <c r="N7" s="102">
        <f>N21*$B$36/100/$B$33</f>
        <v>0.32439501551590377</v>
      </c>
      <c r="O7" s="107">
        <f t="shared" ref="O7:O15" si="8">N7-N$6</f>
        <v>-4.0228723816912337E-2</v>
      </c>
      <c r="P7" s="108">
        <f t="shared" ref="P7:P15" si="9">N7/N$6*100</f>
        <v>88.967058510638296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0.56207699767261443</v>
      </c>
      <c r="C8" s="107">
        <f t="shared" si="0"/>
        <v>-8.9590961986035667E-2</v>
      </c>
      <c r="D8" s="108">
        <f t="shared" si="1"/>
        <v>86.252053571428576</v>
      </c>
      <c r="E8" s="102">
        <f>E22*$B$36/100/$B$33</f>
        <v>0.60634218386345995</v>
      </c>
      <c r="F8" s="107">
        <f t="shared" si="2"/>
        <v>-8.4115535298681321E-2</v>
      </c>
      <c r="G8" s="108">
        <f t="shared" si="3"/>
        <v>87.81742415730335</v>
      </c>
      <c r="H8" s="102">
        <f>H22*$B$36/100/$B$33</f>
        <v>0.6724154383242823</v>
      </c>
      <c r="I8" s="107">
        <f t="shared" si="4"/>
        <v>-7.2347944142746368E-2</v>
      </c>
      <c r="J8" s="108">
        <f t="shared" si="5"/>
        <v>90.285781249999999</v>
      </c>
      <c r="K8" s="102">
        <f>K22*$B$36/100/$B$33</f>
        <v>0.6012795965865011</v>
      </c>
      <c r="L8" s="107">
        <f t="shared" si="6"/>
        <v>-8.9178122575640173E-2</v>
      </c>
      <c r="M8" s="108">
        <f t="shared" si="7"/>
        <v>87.084202247190987</v>
      </c>
      <c r="N8" s="102">
        <f>N22*$B$36/100/$B$33</f>
        <v>0.32192862684251361</v>
      </c>
      <c r="O8" s="107">
        <f t="shared" si="8"/>
        <v>-4.26951124903025E-2</v>
      </c>
      <c r="P8" s="108">
        <f t="shared" si="9"/>
        <v>88.290638297872363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0.56649053529868121</v>
      </c>
      <c r="C9" s="107">
        <f t="shared" si="0"/>
        <v>-8.517742435996889E-2</v>
      </c>
      <c r="D9" s="108">
        <f t="shared" si="1"/>
        <v>86.929321428571441</v>
      </c>
      <c r="E9" s="102">
        <f>E23*$B$36/100/$B$33</f>
        <v>0.60738066330488749</v>
      </c>
      <c r="F9" s="107">
        <f t="shared" si="2"/>
        <v>-8.3077055857253779E-2</v>
      </c>
      <c r="G9" s="108">
        <f t="shared" si="3"/>
        <v>87.96782865168538</v>
      </c>
      <c r="H9" s="102">
        <f>H23*$B$36/100/$B$33</f>
        <v>0.67371353762606667</v>
      </c>
      <c r="I9" s="107">
        <f t="shared" si="4"/>
        <v>-7.1049844840961995E-2</v>
      </c>
      <c r="J9" s="108">
        <f t="shared" si="5"/>
        <v>90.460078124999995</v>
      </c>
      <c r="K9" s="102">
        <f>K23*$B$36/100/$B$33</f>
        <v>0.60244788595810705</v>
      </c>
      <c r="L9" s="107">
        <f t="shared" si="6"/>
        <v>-8.8009833204034216E-2</v>
      </c>
      <c r="M9" s="108">
        <f t="shared" si="7"/>
        <v>87.253407303370778</v>
      </c>
      <c r="N9" s="102">
        <f>N23*$B$36/100/$B$33</f>
        <v>0.34269821567106279</v>
      </c>
      <c r="O9" s="107">
        <f t="shared" si="8"/>
        <v>-2.1925523661753321E-2</v>
      </c>
      <c r="P9" s="108">
        <f t="shared" si="9"/>
        <v>93.986808510638284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0.55662498060512022</v>
      </c>
      <c r="C10" s="107">
        <f t="shared" si="0"/>
        <v>-9.5042979053529875E-2</v>
      </c>
      <c r="D10" s="108">
        <f t="shared" si="1"/>
        <v>85.415428571428578</v>
      </c>
      <c r="E10" s="102">
        <f>E24*$B$36/100/$B$33</f>
        <v>0.595827579519007</v>
      </c>
      <c r="F10" s="107">
        <f t="shared" si="2"/>
        <v>-9.463013964313427E-2</v>
      </c>
      <c r="G10" s="108">
        <f t="shared" si="3"/>
        <v>86.294578651685384</v>
      </c>
      <c r="H10" s="102">
        <f>H24*$B$36/100/$B$33</f>
        <v>0.67890593483320405</v>
      </c>
      <c r="I10" s="107">
        <f t="shared" si="4"/>
        <v>-6.5857447633824617E-2</v>
      </c>
      <c r="J10" s="108">
        <f t="shared" si="5"/>
        <v>91.157265625000008</v>
      </c>
      <c r="K10" s="102">
        <f>K24*$B$36/100/$B$33</f>
        <v>0.62321747478665634</v>
      </c>
      <c r="L10" s="107">
        <f t="shared" si="6"/>
        <v>-6.7240244375484925E-2</v>
      </c>
      <c r="M10" s="108">
        <f t="shared" si="7"/>
        <v>90.26149719101123</v>
      </c>
      <c r="N10" s="102">
        <f>N24*$B$36/100/$B$33</f>
        <v>0.29272139255236618</v>
      </c>
      <c r="O10" s="107">
        <f t="shared" si="8"/>
        <v>-7.1902346780449933E-2</v>
      </c>
      <c r="P10" s="108">
        <f t="shared" si="9"/>
        <v>80.280398936170215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0.561038518231187</v>
      </c>
      <c r="C11" s="236">
        <f t="shared" si="0"/>
        <v>-9.0629441427463098E-2</v>
      </c>
      <c r="D11" s="237">
        <f t="shared" si="1"/>
        <v>86.092696428571429</v>
      </c>
      <c r="E11" s="235">
        <f>AVERAGE(E7:E10)</f>
        <v>0.60682897110162914</v>
      </c>
      <c r="F11" s="236">
        <f t="shared" si="2"/>
        <v>-8.3628748060512126E-2</v>
      </c>
      <c r="G11" s="237">
        <f t="shared" si="3"/>
        <v>87.887926264044935</v>
      </c>
      <c r="H11" s="235">
        <f>AVERAGE(H7:H10)</f>
        <v>0.67468711210240495</v>
      </c>
      <c r="I11" s="236">
        <f t="shared" si="4"/>
        <v>-7.0076270364623716E-2</v>
      </c>
      <c r="J11" s="237">
        <f t="shared" si="5"/>
        <v>90.590800781249996</v>
      </c>
      <c r="K11" s="235">
        <f>AVERAGE(K7:K10)</f>
        <v>0.61033383921644679</v>
      </c>
      <c r="L11" s="236">
        <f t="shared" si="6"/>
        <v>-8.0123879945694476E-2</v>
      </c>
      <c r="M11" s="237">
        <f t="shared" si="7"/>
        <v>88.395541432584253</v>
      </c>
      <c r="N11" s="235">
        <f>AVERAGE(N7:N10)</f>
        <v>0.32043581264546156</v>
      </c>
      <c r="O11" s="236">
        <f t="shared" si="8"/>
        <v>-4.4187926687354551E-2</v>
      </c>
      <c r="P11" s="237">
        <f t="shared" si="9"/>
        <v>87.881226063829786</v>
      </c>
      <c r="Q11" s="109"/>
    </row>
    <row r="12" spans="1:19" s="96" customFormat="1" ht="15.75" x14ac:dyDescent="0.25">
      <c r="A12" s="110" t="s">
        <v>24</v>
      </c>
      <c r="B12" s="102">
        <f>B25*$B$32/100/$B$33</f>
        <v>0.82386889061287816</v>
      </c>
      <c r="C12" s="107">
        <f t="shared" si="0"/>
        <v>0.17220093095422806</v>
      </c>
      <c r="D12" s="108">
        <f t="shared" si="1"/>
        <v>126.42464285714286</v>
      </c>
      <c r="E12" s="102">
        <f>E25*$B$32/100/$B$33</f>
        <v>0.86568245151280077</v>
      </c>
      <c r="F12" s="107">
        <f t="shared" si="2"/>
        <v>0.1752247323506595</v>
      </c>
      <c r="G12" s="108">
        <f t="shared" si="3"/>
        <v>125.37805393258428</v>
      </c>
      <c r="H12" s="102">
        <f>H25*$B$32/100/$B$33</f>
        <v>1.0113212102404965</v>
      </c>
      <c r="I12" s="107">
        <f t="shared" si="4"/>
        <v>0.26655782777346781</v>
      </c>
      <c r="J12" s="108">
        <f t="shared" si="5"/>
        <v>135.79094166666667</v>
      </c>
      <c r="K12" s="102">
        <f>K25*$B$32/100/$B$33</f>
        <v>0.81501008533747077</v>
      </c>
      <c r="L12" s="107">
        <f t="shared" si="6"/>
        <v>0.1245523661753295</v>
      </c>
      <c r="M12" s="108">
        <f t="shared" si="7"/>
        <v>118.03910112359549</v>
      </c>
      <c r="N12" s="102">
        <f>N25*$B$32/100/$B$33</f>
        <v>0.39120484096198604</v>
      </c>
      <c r="O12" s="107">
        <f t="shared" si="8"/>
        <v>2.6581101629169934E-2</v>
      </c>
      <c r="P12" s="108">
        <f t="shared" si="9"/>
        <v>107.2900085106383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1.2902240496508923</v>
      </c>
      <c r="F13" s="107">
        <f t="shared" si="2"/>
        <v>0.59976633048875105</v>
      </c>
      <c r="G13" s="108">
        <f t="shared" si="3"/>
        <v>186.86503370786517</v>
      </c>
      <c r="H13" s="102">
        <f>H26*$B$34/$B$33</f>
        <v>1.3609858805275408</v>
      </c>
      <c r="I13" s="107">
        <f t="shared" si="4"/>
        <v>0.6162224980605121</v>
      </c>
      <c r="J13" s="108">
        <f t="shared" si="5"/>
        <v>182.74070833333334</v>
      </c>
      <c r="K13" s="102">
        <f>K26*$B$34/$B$33</f>
        <v>1.1404448409619861</v>
      </c>
      <c r="L13" s="107">
        <f t="shared" si="6"/>
        <v>0.44998712179984479</v>
      </c>
      <c r="M13" s="108">
        <f t="shared" si="7"/>
        <v>165.17229213483145</v>
      </c>
      <c r="N13" s="102">
        <f>N26*$B$34/$B$33</f>
        <v>0.59557874321179205</v>
      </c>
      <c r="O13" s="107">
        <f t="shared" si="8"/>
        <v>0.23095500387897594</v>
      </c>
      <c r="P13" s="108">
        <f t="shared" si="9"/>
        <v>163.34063829787232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1.2418701318851824</v>
      </c>
      <c r="F14" s="107">
        <f t="shared" si="2"/>
        <v>0.55141241272304109</v>
      </c>
      <c r="G14" s="108">
        <f t="shared" si="3"/>
        <v>179.86186516853931</v>
      </c>
      <c r="H14" s="102">
        <f>H27*$B$34/$B$33</f>
        <v>1.3350398758727695</v>
      </c>
      <c r="I14" s="107">
        <f t="shared" si="4"/>
        <v>0.59027649340574084</v>
      </c>
      <c r="J14" s="108">
        <f t="shared" si="5"/>
        <v>179.25691666666665</v>
      </c>
      <c r="K14" s="102">
        <f>K27*$B$34/$B$33</f>
        <v>1.0720417377812259</v>
      </c>
      <c r="L14" s="107">
        <f t="shared" si="6"/>
        <v>0.38158401861908464</v>
      </c>
      <c r="M14" s="108">
        <f t="shared" si="7"/>
        <v>155.26537078651685</v>
      </c>
      <c r="N14" s="102">
        <f>N27*$B$34/$B$33</f>
        <v>0.58850256012412727</v>
      </c>
      <c r="O14" s="107">
        <f t="shared" si="8"/>
        <v>0.22387882079131116</v>
      </c>
      <c r="P14" s="108">
        <f t="shared" si="9"/>
        <v>161.39995744680851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1.1558573700543058</v>
      </c>
      <c r="F15" s="119">
        <f t="shared" si="2"/>
        <v>0.46539965089216451</v>
      </c>
      <c r="G15" s="120">
        <f t="shared" si="3"/>
        <v>167.40451123595506</v>
      </c>
      <c r="H15" s="118">
        <f>H28*$B$35/10/$B$33</f>
        <v>1.237478277734678</v>
      </c>
      <c r="I15" s="119">
        <f t="shared" si="4"/>
        <v>0.49271489526764933</v>
      </c>
      <c r="J15" s="120">
        <f t="shared" si="5"/>
        <v>166.15723958333334</v>
      </c>
      <c r="K15" s="118">
        <f>K28*$B$35/10/$B$33</f>
        <v>1.1295280449961211</v>
      </c>
      <c r="L15" s="119">
        <f t="shared" si="6"/>
        <v>0.43907032583397987</v>
      </c>
      <c r="M15" s="120">
        <f t="shared" si="7"/>
        <v>163.5911966292135</v>
      </c>
      <c r="N15" s="118">
        <f>N28*$B$35/10/$B$33</f>
        <v>0.51605477114041898</v>
      </c>
      <c r="O15" s="119">
        <f t="shared" si="8"/>
        <v>0.15143103180760287</v>
      </c>
      <c r="P15" s="120">
        <f t="shared" si="9"/>
        <v>141.53076595744682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3" t="s">
        <v>214</v>
      </c>
      <c r="X19" s="423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43.06</v>
      </c>
      <c r="C21" s="144" t="s">
        <v>172</v>
      </c>
      <c r="D21" s="145" t="s">
        <v>172</v>
      </c>
      <c r="E21" s="143">
        <v>47.59</v>
      </c>
      <c r="F21" s="144" t="s">
        <v>172</v>
      </c>
      <c r="G21" s="145" t="s">
        <v>172</v>
      </c>
      <c r="H21" s="143">
        <v>51.9</v>
      </c>
      <c r="I21" s="144" t="s">
        <v>172</v>
      </c>
      <c r="J21" s="145" t="s">
        <v>172</v>
      </c>
      <c r="K21" s="143">
        <v>47.33</v>
      </c>
      <c r="L21" s="144" t="s">
        <v>172</v>
      </c>
      <c r="M21" s="145" t="s">
        <v>172</v>
      </c>
      <c r="N21" s="143">
        <v>24.99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</v>
      </c>
      <c r="C22" s="144" t="s">
        <v>172</v>
      </c>
      <c r="D22" s="145" t="s">
        <v>172</v>
      </c>
      <c r="E22" s="143">
        <v>46.71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46.32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51.9</v>
      </c>
      <c r="I23" s="144" t="s">
        <v>172</v>
      </c>
      <c r="J23" s="145" t="s">
        <v>172</v>
      </c>
      <c r="K23" s="143">
        <v>46.41</v>
      </c>
      <c r="L23" s="144" t="s">
        <v>172</v>
      </c>
      <c r="M23" s="145" t="s">
        <v>172</v>
      </c>
      <c r="N23" s="143">
        <v>26.4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42.88</v>
      </c>
      <c r="C24" s="144" t="s">
        <v>172</v>
      </c>
      <c r="D24" s="145" t="s">
        <v>172</v>
      </c>
      <c r="E24" s="143">
        <v>45.9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48.01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11.04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0.96699999999999997</v>
      </c>
      <c r="L26" s="144" t="s">
        <v>172</v>
      </c>
      <c r="M26" s="145" t="s">
        <v>172</v>
      </c>
      <c r="N26" s="153">
        <v>0.505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1.0529999999999999</v>
      </c>
      <c r="F27" s="144" t="s">
        <v>172</v>
      </c>
      <c r="G27" s="145" t="s">
        <v>172</v>
      </c>
      <c r="H27" s="153">
        <v>1.1319999999999999</v>
      </c>
      <c r="I27" s="144" t="s">
        <v>172</v>
      </c>
      <c r="J27" s="145" t="s">
        <v>172</v>
      </c>
      <c r="K27" s="153">
        <v>0.90900000000000003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4.3899999999999997</v>
      </c>
      <c r="F28" s="158" t="s">
        <v>172</v>
      </c>
      <c r="G28" s="159" t="s">
        <v>172</v>
      </c>
      <c r="H28" s="234">
        <v>4.7</v>
      </c>
      <c r="I28" s="158" t="s">
        <v>172</v>
      </c>
      <c r="J28" s="159" t="s">
        <v>172</v>
      </c>
      <c r="K28" s="234">
        <v>4.29</v>
      </c>
      <c r="L28" s="158" t="s">
        <v>172</v>
      </c>
      <c r="M28" s="159" t="s">
        <v>172</v>
      </c>
      <c r="N28" s="234">
        <v>1.96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9.1351999999999993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2.5779999999999998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3.0404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6.7877000000000001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3.3464999999999998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44123</v>
      </c>
      <c r="E2" s="493"/>
      <c r="F2" s="425"/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0.65295969528547548</v>
      </c>
      <c r="C6" s="103" t="s">
        <v>172</v>
      </c>
      <c r="D6" s="104" t="s">
        <v>172</v>
      </c>
      <c r="E6" s="102">
        <f>E20/$B$33</f>
        <v>0.6918263438143728</v>
      </c>
      <c r="F6" s="103" t="s">
        <v>172</v>
      </c>
      <c r="G6" s="104" t="s">
        <v>172</v>
      </c>
      <c r="H6" s="102">
        <f>H20/$B$33</f>
        <v>0.74623965175482909</v>
      </c>
      <c r="I6" s="103" t="s">
        <v>172</v>
      </c>
      <c r="J6" s="104" t="s">
        <v>172</v>
      </c>
      <c r="K6" s="102">
        <f>K20/$B$33</f>
        <v>0.6918263438143728</v>
      </c>
      <c r="L6" s="103" t="s">
        <v>172</v>
      </c>
      <c r="M6" s="104" t="s">
        <v>172</v>
      </c>
      <c r="N6" s="102">
        <f>N20/$B$33</f>
        <v>0.36534649617163506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0.55074883983054135</v>
      </c>
      <c r="C7" s="107">
        <f t="shared" ref="C7:C12" si="0">B7-B$6</f>
        <v>-0.10221085545493414</v>
      </c>
      <c r="D7" s="108">
        <f t="shared" ref="D7:D12" si="1">B7/B$6*100</f>
        <v>84.346529166666656</v>
      </c>
      <c r="E7" s="102">
        <f>E21*$B$36/100/$B$33</f>
        <v>0.6084255859147264</v>
      </c>
      <c r="F7" s="107">
        <f t="shared" ref="F7:F15" si="2">E7-E$6</f>
        <v>-8.3400757899646405E-2</v>
      </c>
      <c r="G7" s="108">
        <f t="shared" ref="G7:G15" si="3">E7/E$6*100</f>
        <v>87.944842134831447</v>
      </c>
      <c r="H7" s="102">
        <f>H21*$B$36/100/$B$33</f>
        <v>0.65879661082824825</v>
      </c>
      <c r="I7" s="107">
        <f t="shared" ref="I7:I15" si="4">H7-H$6</f>
        <v>-8.7443040926580839E-2</v>
      </c>
      <c r="J7" s="108">
        <f t="shared" ref="J7:J15" si="5">H7/H$6*100</f>
        <v>88.282177083333337</v>
      </c>
      <c r="K7" s="102">
        <f>K21*$B$36/100/$B$33</f>
        <v>0.60599034552450537</v>
      </c>
      <c r="L7" s="107">
        <f t="shared" ref="L7:L15" si="6">K7-K$6</f>
        <v>-8.5835998289867432E-2</v>
      </c>
      <c r="M7" s="108">
        <f t="shared" ref="M7:M15" si="7">K7/K$6*100</f>
        <v>87.592840449438199</v>
      </c>
      <c r="N7" s="102">
        <f>N21*$B$36/100/$B$33</f>
        <v>0.31722210346301832</v>
      </c>
      <c r="O7" s="107">
        <f t="shared" ref="O7:O15" si="8">N7-N$6</f>
        <v>-4.8124392708616737E-2</v>
      </c>
      <c r="P7" s="108">
        <f t="shared" ref="P7:P15" si="9">N7/N$6*100</f>
        <v>86.827739361702129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0.5549784678767149</v>
      </c>
      <c r="C8" s="107">
        <f t="shared" si="0"/>
        <v>-9.7981227408760585E-2</v>
      </c>
      <c r="D8" s="108">
        <f t="shared" si="1"/>
        <v>84.994291666666655</v>
      </c>
      <c r="E8" s="102">
        <f>E22*$B$36/100/$B$33</f>
        <v>0.59868462435384184</v>
      </c>
      <c r="F8" s="107">
        <f t="shared" si="2"/>
        <v>-9.3141719460530958E-2</v>
      </c>
      <c r="G8" s="108">
        <f t="shared" si="3"/>
        <v>86.536835393258414</v>
      </c>
      <c r="H8" s="102">
        <f>H22*$B$36/100/$B$33</f>
        <v>0.66392343270239795</v>
      </c>
      <c r="I8" s="107">
        <f t="shared" si="4"/>
        <v>-8.2316219052431139E-2</v>
      </c>
      <c r="J8" s="108">
        <f t="shared" si="5"/>
        <v>88.969197916666658</v>
      </c>
      <c r="K8" s="102">
        <f>K22*$B$36/100/$B$33</f>
        <v>0.5936859730265458</v>
      </c>
      <c r="L8" s="107">
        <f t="shared" si="6"/>
        <v>-9.8140370787827003E-2</v>
      </c>
      <c r="M8" s="108">
        <f t="shared" si="7"/>
        <v>85.814305617977524</v>
      </c>
      <c r="N8" s="102">
        <f>N22*$B$36/100/$B$33</f>
        <v>0.31786295619728711</v>
      </c>
      <c r="O8" s="107">
        <f t="shared" si="8"/>
        <v>-4.7483539974347955E-2</v>
      </c>
      <c r="P8" s="108">
        <f t="shared" si="9"/>
        <v>87.00314893617022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0.55933626646974233</v>
      </c>
      <c r="C9" s="107">
        <f t="shared" si="0"/>
        <v>-9.3623428815733156E-2</v>
      </c>
      <c r="D9" s="108">
        <f t="shared" si="1"/>
        <v>85.661683333333343</v>
      </c>
      <c r="E9" s="102">
        <f>E23*$B$36/100/$B$33</f>
        <v>0.59970998872867176</v>
      </c>
      <c r="F9" s="107">
        <f t="shared" si="2"/>
        <v>-9.211635508570104E-2</v>
      </c>
      <c r="G9" s="108">
        <f t="shared" si="3"/>
        <v>86.685046629213474</v>
      </c>
      <c r="H9" s="102">
        <f>H23*$B$36/100/$B$33</f>
        <v>0.66661501418632663</v>
      </c>
      <c r="I9" s="107">
        <f t="shared" si="4"/>
        <v>-7.9624637568502465E-2</v>
      </c>
      <c r="J9" s="108">
        <f t="shared" si="5"/>
        <v>89.329883854166667</v>
      </c>
      <c r="K9" s="102">
        <f>K23*$B$36/100/$B$33</f>
        <v>0.59483950794822948</v>
      </c>
      <c r="L9" s="107">
        <f t="shared" si="6"/>
        <v>-9.6986835866143317E-2</v>
      </c>
      <c r="M9" s="108">
        <f t="shared" si="7"/>
        <v>85.981043258426965</v>
      </c>
      <c r="N9" s="102">
        <f>N23*$B$36/100/$B$33</f>
        <v>0.33837024369388619</v>
      </c>
      <c r="O9" s="107">
        <f t="shared" si="8"/>
        <v>-2.6976252477748874E-2</v>
      </c>
      <c r="P9" s="108">
        <f t="shared" si="9"/>
        <v>92.61625531914892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0.5494671343620039</v>
      </c>
      <c r="C10" s="107">
        <f t="shared" si="0"/>
        <v>-0.10349256092347159</v>
      </c>
      <c r="D10" s="108">
        <f t="shared" si="1"/>
        <v>84.150237499999989</v>
      </c>
      <c r="E10" s="102">
        <f>E24*$B$36/100/$B$33</f>
        <v>0.58843098060554233</v>
      </c>
      <c r="F10" s="107">
        <f t="shared" si="2"/>
        <v>-0.10339536320883047</v>
      </c>
      <c r="G10" s="108">
        <f t="shared" si="3"/>
        <v>85.054723033707873</v>
      </c>
      <c r="H10" s="102">
        <f>H24*$B$36/100/$B$33</f>
        <v>0.67033196004508522</v>
      </c>
      <c r="I10" s="107">
        <f t="shared" si="4"/>
        <v>-7.5907691709743874E-2</v>
      </c>
      <c r="J10" s="108">
        <f t="shared" si="5"/>
        <v>89.827973958333331</v>
      </c>
      <c r="K10" s="102">
        <f>K24*$B$36/100/$B$33</f>
        <v>0.6154749659916825</v>
      </c>
      <c r="L10" s="107">
        <f t="shared" si="6"/>
        <v>-7.6351377822690303E-2</v>
      </c>
      <c r="M10" s="108">
        <f t="shared" si="7"/>
        <v>88.963794382022471</v>
      </c>
      <c r="N10" s="102">
        <f>N24*$B$36/100/$B$33</f>
        <v>0.28902458315519453</v>
      </c>
      <c r="O10" s="107">
        <f t="shared" si="8"/>
        <v>-7.6321913016440535E-2</v>
      </c>
      <c r="P10" s="108">
        <f t="shared" si="9"/>
        <v>79.109718085106394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0.55363267713475062</v>
      </c>
      <c r="C11" s="236">
        <f t="shared" si="0"/>
        <v>-9.9327018150724866E-2</v>
      </c>
      <c r="D11" s="237">
        <f t="shared" si="1"/>
        <v>84.788185416666664</v>
      </c>
      <c r="E11" s="235">
        <f>AVERAGE(E7:E10)</f>
        <v>0.59881279490069561</v>
      </c>
      <c r="F11" s="236">
        <f t="shared" si="2"/>
        <v>-9.3013548913677191E-2</v>
      </c>
      <c r="G11" s="237">
        <f t="shared" si="3"/>
        <v>86.555361797752809</v>
      </c>
      <c r="H11" s="235">
        <f>AVERAGE(H7:H10)</f>
        <v>0.66491675444051446</v>
      </c>
      <c r="I11" s="236">
        <f t="shared" si="4"/>
        <v>-8.1322897314314635E-2</v>
      </c>
      <c r="J11" s="237">
        <f t="shared" si="5"/>
        <v>89.102308203124991</v>
      </c>
      <c r="K11" s="235">
        <f>AVERAGE(K7:K10)</f>
        <v>0.60249769812274079</v>
      </c>
      <c r="L11" s="236">
        <f t="shared" si="6"/>
        <v>-8.9328645691632014E-2</v>
      </c>
      <c r="M11" s="237">
        <f t="shared" si="7"/>
        <v>87.087995926966286</v>
      </c>
      <c r="N11" s="235">
        <f>AVERAGE(N7:N10)</f>
        <v>0.31561997162734656</v>
      </c>
      <c r="O11" s="236">
        <f t="shared" si="8"/>
        <v>-4.9726524544288497E-2</v>
      </c>
      <c r="P11" s="237">
        <f t="shared" si="9"/>
        <v>86.38921542553193</v>
      </c>
      <c r="Q11" s="109"/>
    </row>
    <row r="12" spans="1:19" s="96" customFormat="1" ht="15.75" x14ac:dyDescent="0.25">
      <c r="A12" s="110" t="s">
        <v>24</v>
      </c>
      <c r="B12" s="102">
        <f>B25*$B$32/100/$B$33</f>
        <v>0.81976378794356553</v>
      </c>
      <c r="C12" s="107">
        <f t="shared" si="0"/>
        <v>0.16680409265809004</v>
      </c>
      <c r="D12" s="108">
        <f t="shared" si="1"/>
        <v>125.54584821428571</v>
      </c>
      <c r="E12" s="102">
        <f>E25*$B$32/100/$B$33</f>
        <v>0.86136900384779813</v>
      </c>
      <c r="F12" s="107">
        <f t="shared" si="2"/>
        <v>0.16954266003342533</v>
      </c>
      <c r="G12" s="108">
        <f t="shared" si="3"/>
        <v>124.50653426966292</v>
      </c>
      <c r="H12" s="102">
        <f>H25*$B$32/100/$B$33</f>
        <v>1.006282086361693</v>
      </c>
      <c r="I12" s="107">
        <f t="shared" si="4"/>
        <v>0.26004243460686394</v>
      </c>
      <c r="J12" s="108">
        <f t="shared" si="5"/>
        <v>134.84704062500001</v>
      </c>
      <c r="K12" s="102">
        <f>K25*$B$32/100/$B$33</f>
        <v>0.8109491235570756</v>
      </c>
      <c r="L12" s="107">
        <f t="shared" si="6"/>
        <v>0.1191227797427028</v>
      </c>
      <c r="M12" s="108">
        <f t="shared" si="7"/>
        <v>117.21859550561797</v>
      </c>
      <c r="N12" s="102">
        <f>N25*$B$32/100/$B$33</f>
        <v>0.38925557930739629</v>
      </c>
      <c r="O12" s="107">
        <f t="shared" si="8"/>
        <v>2.3909083135761233E-2</v>
      </c>
      <c r="P12" s="108">
        <f t="shared" si="9"/>
        <v>106.54422127659575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1.2806207781103036</v>
      </c>
      <c r="F13" s="107">
        <f t="shared" si="2"/>
        <v>0.58879443429593081</v>
      </c>
      <c r="G13" s="108">
        <f t="shared" si="3"/>
        <v>185.10725842696633</v>
      </c>
      <c r="H13" s="102">
        <f>H26*$B$34/$B$33</f>
        <v>1.3508559213339033</v>
      </c>
      <c r="I13" s="107">
        <f t="shared" si="4"/>
        <v>0.60461626957907422</v>
      </c>
      <c r="J13" s="108">
        <f t="shared" si="5"/>
        <v>181.02172916666669</v>
      </c>
      <c r="K13" s="102">
        <f>K26*$B$34/$B$33</f>
        <v>1.1319563916203503</v>
      </c>
      <c r="L13" s="107">
        <f t="shared" si="6"/>
        <v>0.44013004780597753</v>
      </c>
      <c r="M13" s="108">
        <f t="shared" si="7"/>
        <v>163.61857303370786</v>
      </c>
      <c r="N13" s="102">
        <f>N26*$B$34/$B$33</f>
        <v>0.60285164600256513</v>
      </c>
      <c r="O13" s="107">
        <f t="shared" si="8"/>
        <v>0.23750514983093007</v>
      </c>
      <c r="P13" s="108">
        <f t="shared" si="9"/>
        <v>165.00819148936174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1.1928268490808036</v>
      </c>
      <c r="F14" s="107">
        <f t="shared" si="2"/>
        <v>0.50100050526643081</v>
      </c>
      <c r="G14" s="108">
        <f t="shared" si="3"/>
        <v>172.41708988764043</v>
      </c>
      <c r="H14" s="102">
        <f>H27*$B$34/$B$33</f>
        <v>1.3157383497221036</v>
      </c>
      <c r="I14" s="107">
        <f t="shared" si="4"/>
        <v>0.56949869796727448</v>
      </c>
      <c r="J14" s="108">
        <f t="shared" si="5"/>
        <v>176.31579166666671</v>
      </c>
      <c r="K14" s="102">
        <f>K27*$B$34/$B$33</f>
        <v>1.0254330910645573</v>
      </c>
      <c r="L14" s="107">
        <f t="shared" si="6"/>
        <v>0.33360674725018447</v>
      </c>
      <c r="M14" s="108">
        <f t="shared" si="7"/>
        <v>148.22116853932584</v>
      </c>
      <c r="N14" s="102">
        <f>N27*$B$34/$B$33</f>
        <v>0.58412227447627196</v>
      </c>
      <c r="O14" s="107">
        <f t="shared" si="8"/>
        <v>0.2187757783046369</v>
      </c>
      <c r="P14" s="108">
        <f t="shared" si="9"/>
        <v>159.88172340425535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1.1283112441214196</v>
      </c>
      <c r="F15" s="119">
        <f t="shared" si="2"/>
        <v>0.43648490030704679</v>
      </c>
      <c r="G15" s="120">
        <f t="shared" si="3"/>
        <v>163.09168539325847</v>
      </c>
      <c r="H15" s="118">
        <f>H28*$B$35/10/$B$33</f>
        <v>1.1949841812740487</v>
      </c>
      <c r="I15" s="119">
        <f t="shared" si="4"/>
        <v>0.44874452951921961</v>
      </c>
      <c r="J15" s="120">
        <f t="shared" si="5"/>
        <v>160.1341041666667</v>
      </c>
      <c r="K15" s="118">
        <f>K28*$B$35/10/$B$33</f>
        <v>1.0898460880718257</v>
      </c>
      <c r="L15" s="119">
        <f t="shared" si="6"/>
        <v>0.3980197442574529</v>
      </c>
      <c r="M15" s="120">
        <f t="shared" si="7"/>
        <v>157.53174157303377</v>
      </c>
      <c r="N15" s="118">
        <f>N28*$B$35/10/$B$33</f>
        <v>0.51543309106455748</v>
      </c>
      <c r="O15" s="119">
        <f t="shared" si="8"/>
        <v>0.15008659489292242</v>
      </c>
      <c r="P15" s="120">
        <f t="shared" si="9"/>
        <v>141.08061702127662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7" t="s">
        <v>214</v>
      </c>
      <c r="X19" s="427" t="s">
        <v>214</v>
      </c>
    </row>
    <row r="20" spans="1:24" s="141" customFormat="1" ht="15.75" x14ac:dyDescent="0.25">
      <c r="A20" s="133" t="s">
        <v>185</v>
      </c>
      <c r="B20" s="134">
        <v>1.68</v>
      </c>
      <c r="C20" s="135" t="s">
        <v>172</v>
      </c>
      <c r="D20" s="136" t="s">
        <v>172</v>
      </c>
      <c r="E20" s="134">
        <v>1.78</v>
      </c>
      <c r="F20" s="135" t="s">
        <v>172</v>
      </c>
      <c r="G20" s="136" t="s">
        <v>172</v>
      </c>
      <c r="H20" s="134">
        <v>1.92</v>
      </c>
      <c r="I20" s="135" t="s">
        <v>172</v>
      </c>
      <c r="J20" s="136" t="s">
        <v>172</v>
      </c>
      <c r="K20" s="134">
        <v>1.78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42.97</v>
      </c>
      <c r="C21" s="144" t="s">
        <v>172</v>
      </c>
      <c r="D21" s="145" t="s">
        <v>172</v>
      </c>
      <c r="E21" s="143">
        <v>47.47</v>
      </c>
      <c r="F21" s="144" t="s">
        <v>172</v>
      </c>
      <c r="G21" s="145" t="s">
        <v>172</v>
      </c>
      <c r="H21" s="143">
        <v>51.4</v>
      </c>
      <c r="I21" s="144" t="s">
        <v>172</v>
      </c>
      <c r="J21" s="145" t="s">
        <v>172</v>
      </c>
      <c r="K21" s="143">
        <v>47.28</v>
      </c>
      <c r="L21" s="144" t="s">
        <v>172</v>
      </c>
      <c r="M21" s="145" t="s">
        <v>172</v>
      </c>
      <c r="N21" s="143">
        <v>24.75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</v>
      </c>
      <c r="C22" s="144" t="s">
        <v>172</v>
      </c>
      <c r="D22" s="145" t="s">
        <v>172</v>
      </c>
      <c r="E22" s="143">
        <v>46.71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46.32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52.01</v>
      </c>
      <c r="I23" s="144" t="s">
        <v>172</v>
      </c>
      <c r="J23" s="145" t="s">
        <v>172</v>
      </c>
      <c r="K23" s="143">
        <v>46.41</v>
      </c>
      <c r="L23" s="144" t="s">
        <v>172</v>
      </c>
      <c r="M23" s="145" t="s">
        <v>172</v>
      </c>
      <c r="N23" s="143">
        <v>26.4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42.87</v>
      </c>
      <c r="C24" s="144" t="s">
        <v>172</v>
      </c>
      <c r="D24" s="145" t="s">
        <v>172</v>
      </c>
      <c r="E24" s="143">
        <v>45.91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48.02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11.04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0.96699999999999997</v>
      </c>
      <c r="L26" s="144" t="s">
        <v>172</v>
      </c>
      <c r="M26" s="145" t="s">
        <v>172</v>
      </c>
      <c r="N26" s="153">
        <v>0.51500000000000001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1.0189999999999999</v>
      </c>
      <c r="F27" s="144" t="s">
        <v>172</v>
      </c>
      <c r="G27" s="145" t="s">
        <v>172</v>
      </c>
      <c r="H27" s="153">
        <v>1.1240000000000001</v>
      </c>
      <c r="I27" s="144" t="s">
        <v>172</v>
      </c>
      <c r="J27" s="145" t="s">
        <v>172</v>
      </c>
      <c r="K27" s="153">
        <v>0.876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4.4000000000000004</v>
      </c>
      <c r="F28" s="158" t="s">
        <v>172</v>
      </c>
      <c r="G28" s="159" t="s">
        <v>172</v>
      </c>
      <c r="H28" s="234">
        <v>4.66</v>
      </c>
      <c r="I28" s="158" t="s">
        <v>172</v>
      </c>
      <c r="J28" s="159" t="s">
        <v>172</v>
      </c>
      <c r="K28" s="234">
        <v>4.25</v>
      </c>
      <c r="L28" s="158" t="s">
        <v>172</v>
      </c>
      <c r="M28" s="159" t="s">
        <v>172</v>
      </c>
      <c r="N28" s="234">
        <v>2.0099999999999998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9.0716999999999999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2.5729000000000002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3.0118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6.5978000000000003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3.2976999999999999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P28" sqref="P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44130</v>
      </c>
      <c r="E2" s="493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  <c r="Q2" s="430"/>
      <c r="R2" s="43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0.66538052679239346</v>
      </c>
      <c r="C6" s="103" t="s">
        <v>172</v>
      </c>
      <c r="D6" s="104" t="s">
        <v>172</v>
      </c>
      <c r="E6" s="102">
        <f>E20/$B$33</f>
        <v>0.70475215559667714</v>
      </c>
      <c r="F6" s="103" t="s">
        <v>172</v>
      </c>
      <c r="G6" s="104" t="s">
        <v>172</v>
      </c>
      <c r="H6" s="102">
        <f>H20/$B$33</f>
        <v>0.75987243592267417</v>
      </c>
      <c r="I6" s="103" t="s">
        <v>172</v>
      </c>
      <c r="J6" s="104" t="s">
        <v>172</v>
      </c>
      <c r="K6" s="102">
        <f>K20/$B$33</f>
        <v>0.70475215559667714</v>
      </c>
      <c r="L6" s="103" t="s">
        <v>172</v>
      </c>
      <c r="M6" s="104" t="s">
        <v>172</v>
      </c>
      <c r="N6" s="102">
        <f>N20/$B$33</f>
        <v>0.37009331076026614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0.56279557462892238</v>
      </c>
      <c r="C7" s="107">
        <f t="shared" ref="C7:C12" si="0">B7-B$6</f>
        <v>-0.10258495216347108</v>
      </c>
      <c r="D7" s="108">
        <f t="shared" ref="D7:D12" si="1">B7/B$6*100</f>
        <v>84.582513609467441</v>
      </c>
      <c r="E7" s="102">
        <f>E21*$B$36/100/$B$33</f>
        <v>0.62176880979566118</v>
      </c>
      <c r="F7" s="107">
        <f t="shared" ref="F7:F15" si="2">E7-E$6</f>
        <v>-8.2983345801015962E-2</v>
      </c>
      <c r="G7" s="108">
        <f t="shared" ref="G7:G15" si="3">E7/E$6*100</f>
        <v>88.225173184357516</v>
      </c>
      <c r="H7" s="102">
        <f>H21*$B$36/100/$B$33</f>
        <v>0.69290282294578542</v>
      </c>
      <c r="I7" s="107">
        <f t="shared" ref="I7:I15" si="4">H7-H$6</f>
        <v>-6.6969612976888748E-2</v>
      </c>
      <c r="J7" s="108">
        <f t="shared" ref="J7:J15" si="5">H7/H$6*100</f>
        <v>91.186729533678772</v>
      </c>
      <c r="K7" s="102">
        <f>K21*$B$36/100/$B$33</f>
        <v>0.61941511083113521</v>
      </c>
      <c r="L7" s="107">
        <f t="shared" ref="L7:L15" si="6">K7-K$6</f>
        <v>-8.5337044765541936E-2</v>
      </c>
      <c r="M7" s="108">
        <f t="shared" ref="M7:M15" si="7">K7/K$6*100</f>
        <v>87.891197765363131</v>
      </c>
      <c r="N7" s="102">
        <f>N21*$B$36/100/$B$33</f>
        <v>0.33409449190913032</v>
      </c>
      <c r="O7" s="107">
        <f t="shared" ref="O7:O15" si="8">N7-N$6</f>
        <v>-3.5998818851135816E-2</v>
      </c>
      <c r="P7" s="108">
        <f t="shared" ref="P7:P15" si="9">N7/N$6*100</f>
        <v>90.273042553191502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0.56632612307571162</v>
      </c>
      <c r="C8" s="107">
        <f t="shared" si="0"/>
        <v>-9.9054403716681838E-2</v>
      </c>
      <c r="D8" s="108">
        <f t="shared" si="1"/>
        <v>85.113119526627216</v>
      </c>
      <c r="E8" s="102">
        <f>E22*$B$36/100/$B$33</f>
        <v>0.61078488129453912</v>
      </c>
      <c r="F8" s="107">
        <f t="shared" si="2"/>
        <v>-9.3967274302138026E-2</v>
      </c>
      <c r="G8" s="108">
        <f t="shared" si="3"/>
        <v>86.66662122905025</v>
      </c>
      <c r="H8" s="102">
        <f>H22*$B$36/100/$B$33</f>
        <v>0.67734225756919575</v>
      </c>
      <c r="I8" s="107">
        <f t="shared" si="4"/>
        <v>-8.2530178353478423E-2</v>
      </c>
      <c r="J8" s="108">
        <f t="shared" si="5"/>
        <v>89.13894300518136</v>
      </c>
      <c r="K8" s="102">
        <f>K22*$B$36/100/$B$33</f>
        <v>0.60581596125831727</v>
      </c>
      <c r="L8" s="107">
        <f t="shared" si="6"/>
        <v>-9.8936194338359873E-2</v>
      </c>
      <c r="M8" s="108">
        <f t="shared" si="7"/>
        <v>85.961562011173172</v>
      </c>
      <c r="N8" s="102">
        <f>N22*$B$36/100/$B$33</f>
        <v>0.32428741289027135</v>
      </c>
      <c r="O8" s="107">
        <f t="shared" si="8"/>
        <v>-4.5805897869994783E-2</v>
      </c>
      <c r="P8" s="108">
        <f t="shared" si="9"/>
        <v>87.623148936170239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0.57064123784400966</v>
      </c>
      <c r="C9" s="107">
        <f t="shared" si="0"/>
        <v>-9.4739288948383793E-2</v>
      </c>
      <c r="D9" s="108">
        <f t="shared" si="1"/>
        <v>85.761637869822479</v>
      </c>
      <c r="E9" s="102">
        <f>E23*$B$36/100/$B$33</f>
        <v>0.61183096972321738</v>
      </c>
      <c r="F9" s="107">
        <f t="shared" si="2"/>
        <v>-9.2921185873459766E-2</v>
      </c>
      <c r="G9" s="108">
        <f t="shared" si="3"/>
        <v>86.81505474860333</v>
      </c>
      <c r="H9" s="102">
        <f>H23*$B$36/100/$B$33</f>
        <v>0.68008823969447618</v>
      </c>
      <c r="I9" s="107">
        <f t="shared" si="4"/>
        <v>-7.978419622819799E-2</v>
      </c>
      <c r="J9" s="108">
        <f t="shared" si="5"/>
        <v>89.500317098445592</v>
      </c>
      <c r="K9" s="102">
        <f>K23*$B$36/100/$B$33</f>
        <v>0.60686204968699553</v>
      </c>
      <c r="L9" s="107">
        <f t="shared" si="6"/>
        <v>-9.7890105909681613E-2</v>
      </c>
      <c r="M9" s="108">
        <f t="shared" si="7"/>
        <v>86.109995530726238</v>
      </c>
      <c r="N9" s="102">
        <f>N23*$B$36/100/$B$33</f>
        <v>0.34520918146383722</v>
      </c>
      <c r="O9" s="107">
        <f t="shared" si="8"/>
        <v>-2.4884129296428914E-2</v>
      </c>
      <c r="P9" s="108">
        <f t="shared" si="9"/>
        <v>93.276255319148959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0.56044187566439629</v>
      </c>
      <c r="C10" s="107">
        <f t="shared" si="0"/>
        <v>-0.10493865112799716</v>
      </c>
      <c r="D10" s="108">
        <f t="shared" si="1"/>
        <v>84.228776331360947</v>
      </c>
      <c r="E10" s="102">
        <f>E24*$B$36/100/$B$33</f>
        <v>0.60032399700775618</v>
      </c>
      <c r="F10" s="107">
        <f t="shared" si="2"/>
        <v>-0.10442815858892096</v>
      </c>
      <c r="G10" s="108">
        <f t="shared" si="3"/>
        <v>85.182286033519546</v>
      </c>
      <c r="H10" s="102">
        <f>H24*$B$36/100/$B$33</f>
        <v>0.68388031024843499</v>
      </c>
      <c r="I10" s="107">
        <f t="shared" si="4"/>
        <v>-7.5992125674239186E-2</v>
      </c>
      <c r="J10" s="108">
        <f t="shared" si="5"/>
        <v>89.999357512953367</v>
      </c>
      <c r="K10" s="102">
        <f>K24*$B$36/100/$B$33</f>
        <v>0.62778381826056151</v>
      </c>
      <c r="L10" s="107">
        <f t="shared" si="6"/>
        <v>-7.6968337336115633E-2</v>
      </c>
      <c r="M10" s="108">
        <f t="shared" si="7"/>
        <v>89.078665921787703</v>
      </c>
      <c r="N10" s="102">
        <f>N24*$B$36/100/$B$33</f>
        <v>0.29486617583369429</v>
      </c>
      <c r="O10" s="107">
        <f t="shared" si="8"/>
        <v>-7.5227134926571848E-2</v>
      </c>
      <c r="P10" s="108">
        <f t="shared" si="9"/>
        <v>79.673468085106407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0.56505120280325993</v>
      </c>
      <c r="C11" s="236">
        <f t="shared" si="0"/>
        <v>-0.10032932398913352</v>
      </c>
      <c r="D11" s="237">
        <f t="shared" si="1"/>
        <v>84.921511834319517</v>
      </c>
      <c r="E11" s="235">
        <f>AVERAGE(E7:E10)</f>
        <v>0.61117716445529346</v>
      </c>
      <c r="F11" s="236">
        <f t="shared" si="2"/>
        <v>-9.3574991141383679E-2</v>
      </c>
      <c r="G11" s="237">
        <f t="shared" si="3"/>
        <v>86.722283798882657</v>
      </c>
      <c r="H11" s="235">
        <f>AVERAGE(H7:H10)</f>
        <v>0.68355340761447314</v>
      </c>
      <c r="I11" s="236">
        <f t="shared" si="4"/>
        <v>-7.6319028308201031E-2</v>
      </c>
      <c r="J11" s="237">
        <f t="shared" si="5"/>
        <v>89.95633678756478</v>
      </c>
      <c r="K11" s="235">
        <f>AVERAGE(K7:K10)</f>
        <v>0.61496923500925238</v>
      </c>
      <c r="L11" s="236">
        <f t="shared" si="6"/>
        <v>-8.9782920587424764E-2</v>
      </c>
      <c r="M11" s="237">
        <f t="shared" si="7"/>
        <v>87.260355307262557</v>
      </c>
      <c r="N11" s="235">
        <f>AVERAGE(N7:N10)</f>
        <v>0.32461431552423331</v>
      </c>
      <c r="O11" s="236">
        <f t="shared" si="8"/>
        <v>-4.5478995236032826E-2</v>
      </c>
      <c r="P11" s="237">
        <f t="shared" si="9"/>
        <v>87.711478723404284</v>
      </c>
      <c r="Q11" s="109"/>
    </row>
    <row r="12" spans="1:19" s="96" customFormat="1" ht="15.75" x14ac:dyDescent="0.25">
      <c r="A12" s="110" t="s">
        <v>24</v>
      </c>
      <c r="B12" s="102">
        <f>B25*$B$32/100/$B$33</f>
        <v>0.82157201070908303</v>
      </c>
      <c r="C12" s="107">
        <f t="shared" si="0"/>
        <v>0.15619148391668958</v>
      </c>
      <c r="D12" s="108">
        <f t="shared" si="1"/>
        <v>123.47400887573963</v>
      </c>
      <c r="E12" s="102">
        <f>E25*$B$32/100/$B$33</f>
        <v>0.86326899877947949</v>
      </c>
      <c r="F12" s="107">
        <f t="shared" si="2"/>
        <v>0.15851684318280235</v>
      </c>
      <c r="G12" s="108">
        <f t="shared" si="3"/>
        <v>122.49256592178767</v>
      </c>
      <c r="H12" s="102">
        <f>H25*$B$32/100/$B$33</f>
        <v>1.0085017284145044</v>
      </c>
      <c r="I12" s="107">
        <f t="shared" si="4"/>
        <v>0.24862929249183019</v>
      </c>
      <c r="J12" s="108">
        <f t="shared" si="5"/>
        <v>132.71987253886007</v>
      </c>
      <c r="K12" s="102">
        <f>K25*$B$32/100/$B$33</f>
        <v>0.81273790306704974</v>
      </c>
      <c r="L12" s="107">
        <f t="shared" si="6"/>
        <v>0.1079857474703726</v>
      </c>
      <c r="M12" s="108">
        <f t="shared" si="7"/>
        <v>115.32251396648041</v>
      </c>
      <c r="N12" s="102">
        <f>N25*$B$32/100/$B$33</f>
        <v>0.39541465805740378</v>
      </c>
      <c r="O12" s="107">
        <f t="shared" si="8"/>
        <v>2.5321347297137642E-2</v>
      </c>
      <c r="P12" s="108">
        <f t="shared" si="9"/>
        <v>106.84188191489361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1.2934259616520336</v>
      </c>
      <c r="F13" s="107">
        <f t="shared" si="2"/>
        <v>0.58867380605535646</v>
      </c>
      <c r="G13" s="108">
        <f t="shared" si="3"/>
        <v>183.52919553072624</v>
      </c>
      <c r="H13" s="102">
        <f>H26*$B$34/$B$33</f>
        <v>1.3643634001338636</v>
      </c>
      <c r="I13" s="107">
        <f t="shared" si="4"/>
        <v>0.60449096421118942</v>
      </c>
      <c r="J13" s="108">
        <f t="shared" si="5"/>
        <v>179.55163730569947</v>
      </c>
      <c r="K13" s="102">
        <f>K26*$B$34/$B$33</f>
        <v>1.1432750501988269</v>
      </c>
      <c r="L13" s="107">
        <f t="shared" si="6"/>
        <v>0.43852289460214977</v>
      </c>
      <c r="M13" s="108">
        <f t="shared" si="7"/>
        <v>162.22370391061455</v>
      </c>
      <c r="N13" s="102">
        <f>N26*$B$34/$B$33</f>
        <v>0.60887968030237416</v>
      </c>
      <c r="O13" s="107">
        <f t="shared" si="8"/>
        <v>0.23878636954210802</v>
      </c>
      <c r="P13" s="108">
        <f t="shared" si="9"/>
        <v>164.52058510638301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1.1917489664947438</v>
      </c>
      <c r="F14" s="107">
        <f t="shared" si="2"/>
        <v>0.48699681089806668</v>
      </c>
      <c r="G14" s="108">
        <f t="shared" si="3"/>
        <v>169.1018547486033</v>
      </c>
      <c r="H14" s="102">
        <f>H27*$B$34/$B$33</f>
        <v>1.3265300996102209</v>
      </c>
      <c r="I14" s="107">
        <f t="shared" si="4"/>
        <v>0.56665766368754678</v>
      </c>
      <c r="J14" s="108">
        <f t="shared" si="5"/>
        <v>174.57273575129534</v>
      </c>
      <c r="K14" s="102">
        <f>K27*$B$34/$B$33</f>
        <v>1.0214991141383518</v>
      </c>
      <c r="L14" s="107">
        <f t="shared" si="6"/>
        <v>0.31674695854167467</v>
      </c>
      <c r="M14" s="108">
        <f t="shared" si="7"/>
        <v>144.94444692737426</v>
      </c>
      <c r="N14" s="102">
        <f>N27*$B$34/$B$33</f>
        <v>0.58996303004055284</v>
      </c>
      <c r="O14" s="107">
        <f t="shared" si="8"/>
        <v>0.2198697192802867</v>
      </c>
      <c r="P14" s="108">
        <f t="shared" si="9"/>
        <v>159.40926595744682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1.1438505452970591</v>
      </c>
      <c r="F15" s="119">
        <f t="shared" si="2"/>
        <v>0.43909838970038195</v>
      </c>
      <c r="G15" s="120">
        <f t="shared" si="3"/>
        <v>162.30536312849162</v>
      </c>
      <c r="H15" s="118">
        <f>H28*$B$35/10/$B$33</f>
        <v>1.1956084885231704</v>
      </c>
      <c r="I15" s="119">
        <f t="shared" si="4"/>
        <v>0.43573605260049619</v>
      </c>
      <c r="J15" s="120">
        <f t="shared" si="5"/>
        <v>157.34331606217617</v>
      </c>
      <c r="K15" s="118">
        <f>K28*$B$35/10/$B$33</f>
        <v>1.0998562935548646</v>
      </c>
      <c r="L15" s="119">
        <f t="shared" si="6"/>
        <v>0.39510413795818744</v>
      </c>
      <c r="M15" s="120">
        <f t="shared" si="7"/>
        <v>156.06284916201119</v>
      </c>
      <c r="N15" s="118">
        <f>N28*$B$35/10/$B$33</f>
        <v>0.53569471239025168</v>
      </c>
      <c r="O15" s="119">
        <f t="shared" si="8"/>
        <v>0.16560140162998555</v>
      </c>
      <c r="P15" s="120">
        <f t="shared" si="9"/>
        <v>144.74585106382983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9" t="s">
        <v>214</v>
      </c>
      <c r="X19" s="429" t="s">
        <v>214</v>
      </c>
    </row>
    <row r="20" spans="1:24" s="141" customFormat="1" ht="15.75" x14ac:dyDescent="0.25">
      <c r="A20" s="133" t="s">
        <v>185</v>
      </c>
      <c r="B20" s="134">
        <v>1.69</v>
      </c>
      <c r="C20" s="135" t="s">
        <v>172</v>
      </c>
      <c r="D20" s="136" t="s">
        <v>172</v>
      </c>
      <c r="E20" s="134">
        <v>1.79</v>
      </c>
      <c r="F20" s="135" t="s">
        <v>172</v>
      </c>
      <c r="G20" s="136" t="s">
        <v>172</v>
      </c>
      <c r="H20" s="134">
        <v>1.93</v>
      </c>
      <c r="I20" s="135" t="s">
        <v>172</v>
      </c>
      <c r="J20" s="136" t="s">
        <v>172</v>
      </c>
      <c r="K20" s="134">
        <v>1.79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43.04</v>
      </c>
      <c r="C21" s="144" t="s">
        <v>172</v>
      </c>
      <c r="D21" s="145" t="s">
        <v>172</v>
      </c>
      <c r="E21" s="143">
        <v>47.55</v>
      </c>
      <c r="F21" s="144" t="s">
        <v>172</v>
      </c>
      <c r="G21" s="145" t="s">
        <v>172</v>
      </c>
      <c r="H21" s="143">
        <v>52.99</v>
      </c>
      <c r="I21" s="144" t="s">
        <v>172</v>
      </c>
      <c r="J21" s="145" t="s">
        <v>172</v>
      </c>
      <c r="K21" s="143">
        <v>47.37</v>
      </c>
      <c r="L21" s="144" t="s">
        <v>172</v>
      </c>
      <c r="M21" s="145" t="s">
        <v>172</v>
      </c>
      <c r="N21" s="143">
        <v>25.55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43.31</v>
      </c>
      <c r="C22" s="144" t="s">
        <v>172</v>
      </c>
      <c r="D22" s="145" t="s">
        <v>172</v>
      </c>
      <c r="E22" s="143">
        <v>46.71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46.33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52.01</v>
      </c>
      <c r="I23" s="144" t="s">
        <v>172</v>
      </c>
      <c r="J23" s="145" t="s">
        <v>172</v>
      </c>
      <c r="K23" s="143">
        <v>46.41</v>
      </c>
      <c r="L23" s="144" t="s">
        <v>172</v>
      </c>
      <c r="M23" s="145" t="s">
        <v>172</v>
      </c>
      <c r="N23" s="143">
        <v>26.4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42.86</v>
      </c>
      <c r="C24" s="144" t="s">
        <v>172</v>
      </c>
      <c r="D24" s="145" t="s">
        <v>172</v>
      </c>
      <c r="E24" s="143">
        <v>45.91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48.01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24.43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11.19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0.96699999999999997</v>
      </c>
      <c r="L26" s="144" t="s">
        <v>172</v>
      </c>
      <c r="M26" s="145" t="s">
        <v>172</v>
      </c>
      <c r="N26" s="153">
        <v>0.51500000000000001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1.008</v>
      </c>
      <c r="F27" s="144" t="s">
        <v>172</v>
      </c>
      <c r="G27" s="145" t="s">
        <v>172</v>
      </c>
      <c r="H27" s="153">
        <v>1.1220000000000001</v>
      </c>
      <c r="I27" s="144" t="s">
        <v>172</v>
      </c>
      <c r="J27" s="145" t="s">
        <v>172</v>
      </c>
      <c r="K27" s="153">
        <v>0.86399999999999999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4.42</v>
      </c>
      <c r="F28" s="158" t="s">
        <v>172</v>
      </c>
      <c r="G28" s="159" t="s">
        <v>172</v>
      </c>
      <c r="H28" s="234">
        <v>4.62</v>
      </c>
      <c r="I28" s="158" t="s">
        <v>172</v>
      </c>
      <c r="J28" s="159" t="s">
        <v>172</v>
      </c>
      <c r="K28" s="234">
        <v>4.25</v>
      </c>
      <c r="L28" s="158" t="s">
        <v>172</v>
      </c>
      <c r="M28" s="159" t="s">
        <v>172</v>
      </c>
      <c r="N28" s="234">
        <v>2.0699999999999998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8.9750999999999994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2.5398999999999998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3.0028999999999999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6.5730000000000004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3.3212000000000002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P28" sqref="P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44137</v>
      </c>
      <c r="E2" s="493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  <c r="Q2" s="430"/>
      <c r="R2" s="43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0.64511232544019426</v>
      </c>
      <c r="C6" s="103" t="s">
        <v>172</v>
      </c>
      <c r="D6" s="104" t="s">
        <v>172</v>
      </c>
      <c r="E6" s="102">
        <f>E20/$B$33</f>
        <v>0.68306010928961747</v>
      </c>
      <c r="F6" s="103" t="s">
        <v>172</v>
      </c>
      <c r="G6" s="104" t="s">
        <v>172</v>
      </c>
      <c r="H6" s="102">
        <f>H20/$B$33</f>
        <v>0.73618700667880987</v>
      </c>
      <c r="I6" s="103" t="s">
        <v>172</v>
      </c>
      <c r="J6" s="104" t="s">
        <v>172</v>
      </c>
      <c r="K6" s="102">
        <f>K20/$B$33</f>
        <v>0.68306010928961747</v>
      </c>
      <c r="L6" s="103" t="s">
        <v>172</v>
      </c>
      <c r="M6" s="104" t="s">
        <v>172</v>
      </c>
      <c r="N6" s="102">
        <f>N20/$B$33</f>
        <v>0.35670916818457798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0.54333746964177287</v>
      </c>
      <c r="C7" s="107">
        <f t="shared" ref="C7:C12" si="0">B7-B$6</f>
        <v>-0.10177485579842138</v>
      </c>
      <c r="D7" s="108">
        <f t="shared" ref="D7:D12" si="1">B7/B$6*100</f>
        <v>84.223700000000008</v>
      </c>
      <c r="E7" s="102">
        <f>E21*$B$36/100/$B$33</f>
        <v>0.60056413175470547</v>
      </c>
      <c r="F7" s="107">
        <f t="shared" ref="F7:F15" si="2">E7-E$6</f>
        <v>-8.2495977534912002E-2</v>
      </c>
      <c r="G7" s="108">
        <f t="shared" ref="G7:G15" si="3">E7/E$6*100</f>
        <v>87.922588888888882</v>
      </c>
      <c r="H7" s="102">
        <f>H21*$B$36/100/$B$33</f>
        <v>0.64174711596842737</v>
      </c>
      <c r="I7" s="107">
        <f t="shared" ref="I7:I15" si="4">H7-H$6</f>
        <v>-9.4439890710382501E-2</v>
      </c>
      <c r="J7" s="108">
        <f t="shared" ref="J7:J15" si="5">H7/H$6*100</f>
        <v>87.17175257731958</v>
      </c>
      <c r="K7" s="102">
        <f>K21*$B$36/100/$B$33</f>
        <v>0.59765858378870673</v>
      </c>
      <c r="L7" s="107">
        <f t="shared" ref="L7:L15" si="6">K7-K$6</f>
        <v>-8.5401525500910735E-2</v>
      </c>
      <c r="M7" s="108">
        <f t="shared" ref="M7:M15" si="7">K7/K$6*100</f>
        <v>87.49721666666666</v>
      </c>
      <c r="N7" s="102">
        <f>N21*$B$36/100/$B$33</f>
        <v>0.33893848664238008</v>
      </c>
      <c r="O7" s="107">
        <f t="shared" ref="O7:O15" si="8">N7-N$6</f>
        <v>-1.7770681542197908E-2</v>
      </c>
      <c r="P7" s="108">
        <f t="shared" ref="P7:P15" si="9">N7/N$6*100</f>
        <v>95.0181595744681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0.54712731481481491</v>
      </c>
      <c r="C8" s="107">
        <f t="shared" si="0"/>
        <v>-9.7985010625379343E-2</v>
      </c>
      <c r="D8" s="108">
        <f t="shared" si="1"/>
        <v>84.811170588235314</v>
      </c>
      <c r="E8" s="102">
        <f>E22*$B$36/100/$B$33</f>
        <v>0.59020522161505762</v>
      </c>
      <c r="F8" s="107">
        <f t="shared" si="2"/>
        <v>-9.2854887674559849E-2</v>
      </c>
      <c r="G8" s="108">
        <f t="shared" si="3"/>
        <v>86.406044444444447</v>
      </c>
      <c r="H8" s="102">
        <f>H22*$B$36/100/$B$33</f>
        <v>0.65501157407407407</v>
      </c>
      <c r="I8" s="107">
        <f t="shared" si="4"/>
        <v>-8.1175432604735809E-2</v>
      </c>
      <c r="J8" s="108">
        <f t="shared" si="5"/>
        <v>88.973530927835071</v>
      </c>
      <c r="K8" s="102">
        <f>K22*$B$36/100/$B$33</f>
        <v>0.58527842289010323</v>
      </c>
      <c r="L8" s="107">
        <f t="shared" si="6"/>
        <v>-9.7781686399514234E-2</v>
      </c>
      <c r="M8" s="108">
        <f t="shared" si="7"/>
        <v>85.684761111111115</v>
      </c>
      <c r="N8" s="102">
        <f>N22*$B$36/100/$B$33</f>
        <v>0.31266222677595629</v>
      </c>
      <c r="O8" s="107">
        <f t="shared" si="8"/>
        <v>-4.4046941408621698E-2</v>
      </c>
      <c r="P8" s="108">
        <f t="shared" si="9"/>
        <v>87.651861702127661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0.55142247267759559</v>
      </c>
      <c r="C9" s="107">
        <f t="shared" si="0"/>
        <v>-9.3689852762598669E-2</v>
      </c>
      <c r="D9" s="108">
        <f t="shared" si="1"/>
        <v>85.476970588235289</v>
      </c>
      <c r="E9" s="102">
        <f>E23*$B$36/100/$B$33</f>
        <v>0.59121584699453555</v>
      </c>
      <c r="F9" s="107">
        <f t="shared" si="2"/>
        <v>-9.1844262295081913E-2</v>
      </c>
      <c r="G9" s="108">
        <f t="shared" si="3"/>
        <v>86.554000000000002</v>
      </c>
      <c r="H9" s="102">
        <f>H23*$B$36/100/$B$33</f>
        <v>0.66195962355798421</v>
      </c>
      <c r="I9" s="107">
        <f t="shared" si="4"/>
        <v>-7.4227383120825663E-2</v>
      </c>
      <c r="J9" s="108">
        <f t="shared" si="5"/>
        <v>89.917319587628867</v>
      </c>
      <c r="K9" s="102">
        <f>K23*$B$36/100/$B$33</f>
        <v>0.5857837355798422</v>
      </c>
      <c r="L9" s="107">
        <f t="shared" si="6"/>
        <v>-9.7276373709775266E-2</v>
      </c>
      <c r="M9" s="108">
        <f t="shared" si="7"/>
        <v>85.7587388888889</v>
      </c>
      <c r="N9" s="102">
        <f>N23*$B$36/100/$B$33</f>
        <v>0.33350637522768667</v>
      </c>
      <c r="O9" s="107">
        <f t="shared" si="8"/>
        <v>-2.3202792956891316E-2</v>
      </c>
      <c r="P9" s="108">
        <f t="shared" si="9"/>
        <v>93.495319148936176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0.54194785974499082</v>
      </c>
      <c r="C10" s="107">
        <f t="shared" si="0"/>
        <v>-0.10316446569520343</v>
      </c>
      <c r="D10" s="108">
        <f t="shared" si="1"/>
        <v>84.008294117647054</v>
      </c>
      <c r="E10" s="102">
        <f>E24*$B$36/100/$B$33</f>
        <v>0.580225295992714</v>
      </c>
      <c r="F10" s="107">
        <f t="shared" si="2"/>
        <v>-0.10283481329690347</v>
      </c>
      <c r="G10" s="108">
        <f t="shared" si="3"/>
        <v>84.94498333333334</v>
      </c>
      <c r="H10" s="102">
        <f>H24*$B$36/100/$B$33</f>
        <v>0.66069634183363679</v>
      </c>
      <c r="I10" s="107">
        <f t="shared" si="4"/>
        <v>-7.5490664845173083E-2</v>
      </c>
      <c r="J10" s="108">
        <f t="shared" si="5"/>
        <v>89.745721649484537</v>
      </c>
      <c r="K10" s="102">
        <f>K24*$B$36/100/$B$33</f>
        <v>0.60688054037644201</v>
      </c>
      <c r="L10" s="107">
        <f t="shared" si="6"/>
        <v>-7.6179568913175455E-2</v>
      </c>
      <c r="M10" s="108">
        <f t="shared" si="7"/>
        <v>88.847311111111111</v>
      </c>
      <c r="N10" s="102">
        <f>N24*$B$36/100/$B$33</f>
        <v>0.29346034456587733</v>
      </c>
      <c r="O10" s="107">
        <f t="shared" si="8"/>
        <v>-6.3248823618700656E-2</v>
      </c>
      <c r="P10" s="108">
        <f t="shared" si="9"/>
        <v>82.268797872340429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0.54595877921979352</v>
      </c>
      <c r="C11" s="236">
        <f t="shared" si="0"/>
        <v>-9.9153546220400735E-2</v>
      </c>
      <c r="D11" s="237">
        <f t="shared" si="1"/>
        <v>84.630033823529402</v>
      </c>
      <c r="E11" s="235">
        <f>AVERAGE(E7:E10)</f>
        <v>0.59055262408925313</v>
      </c>
      <c r="F11" s="236">
        <f t="shared" si="2"/>
        <v>-9.2507485200364337E-2</v>
      </c>
      <c r="G11" s="237">
        <f t="shared" si="3"/>
        <v>86.456904166666661</v>
      </c>
      <c r="H11" s="235">
        <f>AVERAGE(H7:H10)</f>
        <v>0.65485366385853061</v>
      </c>
      <c r="I11" s="236">
        <f t="shared" si="4"/>
        <v>-8.1333342820279264E-2</v>
      </c>
      <c r="J11" s="237">
        <f t="shared" si="5"/>
        <v>88.95208118556701</v>
      </c>
      <c r="K11" s="235">
        <f>AVERAGE(K7:K10)</f>
        <v>0.59390032065877352</v>
      </c>
      <c r="L11" s="236">
        <f t="shared" si="6"/>
        <v>-8.915978863084395E-2</v>
      </c>
      <c r="M11" s="237">
        <f t="shared" si="7"/>
        <v>86.947006944444453</v>
      </c>
      <c r="N11" s="235">
        <f>AVERAGE(N7:N10)</f>
        <v>0.31964185830297509</v>
      </c>
      <c r="O11" s="236">
        <f t="shared" si="8"/>
        <v>-3.7067309881602895E-2</v>
      </c>
      <c r="P11" s="237">
        <f t="shared" si="9"/>
        <v>89.608534574468095</v>
      </c>
      <c r="Q11" s="109"/>
    </row>
    <row r="12" spans="1:19" s="96" customFormat="1" ht="15.75" x14ac:dyDescent="0.25">
      <c r="A12" s="110" t="s">
        <v>24</v>
      </c>
      <c r="B12" s="102">
        <f>B25*$B$32/100/$B$33</f>
        <v>0.81744677823315115</v>
      </c>
      <c r="C12" s="107">
        <f t="shared" si="0"/>
        <v>0.17233445279295689</v>
      </c>
      <c r="D12" s="108">
        <f t="shared" si="1"/>
        <v>126.71386764705883</v>
      </c>
      <c r="E12" s="102">
        <f>E25*$B$32/100/$B$33</f>
        <v>0.8592859896782028</v>
      </c>
      <c r="F12" s="107">
        <f t="shared" si="2"/>
        <v>0.17622588038858533</v>
      </c>
      <c r="G12" s="108">
        <f t="shared" si="3"/>
        <v>125.79946888888888</v>
      </c>
      <c r="H12" s="102">
        <f>H25*$B$32/100/$B$33</f>
        <v>1.0034378946569518</v>
      </c>
      <c r="I12" s="107">
        <f t="shared" si="4"/>
        <v>0.26725088797814189</v>
      </c>
      <c r="J12" s="108">
        <f t="shared" si="5"/>
        <v>136.30203814432988</v>
      </c>
      <c r="K12" s="102">
        <f>K25*$B$32/100/$B$33</f>
        <v>0.80865702792956884</v>
      </c>
      <c r="L12" s="107">
        <f t="shared" si="6"/>
        <v>0.12559691863995137</v>
      </c>
      <c r="M12" s="108">
        <f t="shared" si="7"/>
        <v>118.38738888888889</v>
      </c>
      <c r="N12" s="102">
        <f>N25*$B$32/100/$B$33</f>
        <v>0.3969451237097753</v>
      </c>
      <c r="O12" s="107">
        <f t="shared" si="8"/>
        <v>4.023595552519732E-2</v>
      </c>
      <c r="P12" s="108">
        <f t="shared" si="9"/>
        <v>111.27976489361701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1.2777448391013964</v>
      </c>
      <c r="F13" s="107">
        <f t="shared" si="2"/>
        <v>0.59468472981177889</v>
      </c>
      <c r="G13" s="108">
        <f t="shared" si="3"/>
        <v>187.06184444444443</v>
      </c>
      <c r="H13" s="102">
        <f>H26*$B$34/$B$33</f>
        <v>1.3478222525804491</v>
      </c>
      <c r="I13" s="107">
        <f t="shared" si="4"/>
        <v>0.6116352459016392</v>
      </c>
      <c r="J13" s="108">
        <f t="shared" si="5"/>
        <v>183.08150515463916</v>
      </c>
      <c r="K13" s="102">
        <f>K26*$B$34/$B$33</f>
        <v>1.1294143139040678</v>
      </c>
      <c r="L13" s="107">
        <f t="shared" si="6"/>
        <v>0.4463542046144503</v>
      </c>
      <c r="M13" s="108">
        <f t="shared" si="7"/>
        <v>165.34625555555553</v>
      </c>
      <c r="N13" s="102">
        <f>N26*$B$34/$B$33</f>
        <v>0.60149779902853673</v>
      </c>
      <c r="O13" s="107">
        <f t="shared" si="8"/>
        <v>0.24478863084395874</v>
      </c>
      <c r="P13" s="108">
        <f t="shared" si="9"/>
        <v>168.62414893617023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1.1831403309046749</v>
      </c>
      <c r="F14" s="107">
        <f t="shared" si="2"/>
        <v>0.50008022161505739</v>
      </c>
      <c r="G14" s="108">
        <f t="shared" si="3"/>
        <v>173.21174444444441</v>
      </c>
      <c r="H14" s="102">
        <f>H27*$B$34/$B$33</f>
        <v>1.3221272009714629</v>
      </c>
      <c r="I14" s="107">
        <f t="shared" si="4"/>
        <v>0.58594019429265298</v>
      </c>
      <c r="J14" s="108">
        <f t="shared" si="5"/>
        <v>179.59121649484533</v>
      </c>
      <c r="K14" s="102">
        <f>K27*$B$34/$B$33</f>
        <v>1.0149545385549483</v>
      </c>
      <c r="L14" s="107">
        <f t="shared" si="6"/>
        <v>0.33189442926533086</v>
      </c>
      <c r="M14" s="108">
        <f t="shared" si="7"/>
        <v>148.58934444444444</v>
      </c>
      <c r="N14" s="102">
        <f>N27*$B$34/$B$33</f>
        <v>0.58281048876745589</v>
      </c>
      <c r="O14" s="107">
        <f t="shared" si="8"/>
        <v>0.22610132058287791</v>
      </c>
      <c r="P14" s="108">
        <f t="shared" si="9"/>
        <v>163.38534042553189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1.1094945355191255</v>
      </c>
      <c r="F15" s="119">
        <f t="shared" si="2"/>
        <v>0.426434426229508</v>
      </c>
      <c r="G15" s="120">
        <f t="shared" si="3"/>
        <v>162.42999999999995</v>
      </c>
      <c r="H15" s="118">
        <f>H28*$B$35/10/$B$33</f>
        <v>1.1625683060109289</v>
      </c>
      <c r="I15" s="119">
        <f t="shared" si="4"/>
        <v>0.42638129933211899</v>
      </c>
      <c r="J15" s="120">
        <f t="shared" si="5"/>
        <v>157.91752577319588</v>
      </c>
      <c r="K15" s="118">
        <f>K28*$B$35/10/$B$33</f>
        <v>1.0816939890710382</v>
      </c>
      <c r="L15" s="119">
        <f t="shared" si="6"/>
        <v>0.39863387978142073</v>
      </c>
      <c r="M15" s="120">
        <f t="shared" si="7"/>
        <v>158.35999999999999</v>
      </c>
      <c r="N15" s="118">
        <f>N28*$B$35/10/$B$33</f>
        <v>0.53326502732240433</v>
      </c>
      <c r="O15" s="119">
        <f t="shared" si="8"/>
        <v>0.17655585913782634</v>
      </c>
      <c r="P15" s="120">
        <f t="shared" si="9"/>
        <v>149.49574468085106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9" t="s">
        <v>214</v>
      </c>
      <c r="X19" s="429" t="s">
        <v>214</v>
      </c>
    </row>
    <row r="20" spans="1:24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43.01</v>
      </c>
      <c r="C21" s="144" t="s">
        <v>172</v>
      </c>
      <c r="D21" s="145" t="s">
        <v>172</v>
      </c>
      <c r="E21" s="143">
        <v>47.54</v>
      </c>
      <c r="F21" s="144" t="s">
        <v>172</v>
      </c>
      <c r="G21" s="145" t="s">
        <v>172</v>
      </c>
      <c r="H21" s="143">
        <v>50.8</v>
      </c>
      <c r="I21" s="144" t="s">
        <v>172</v>
      </c>
      <c r="J21" s="145" t="s">
        <v>172</v>
      </c>
      <c r="K21" s="143">
        <v>47.31</v>
      </c>
      <c r="L21" s="144" t="s">
        <v>172</v>
      </c>
      <c r="M21" s="145" t="s">
        <v>172</v>
      </c>
      <c r="N21" s="143">
        <v>26.83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43.31</v>
      </c>
      <c r="C22" s="144" t="s">
        <v>172</v>
      </c>
      <c r="D22" s="145" t="s">
        <v>172</v>
      </c>
      <c r="E22" s="143">
        <v>46.72</v>
      </c>
      <c r="F22" s="144" t="s">
        <v>172</v>
      </c>
      <c r="G22" s="145" t="s">
        <v>172</v>
      </c>
      <c r="H22" s="143">
        <v>51.85</v>
      </c>
      <c r="I22" s="144" t="s">
        <v>172</v>
      </c>
      <c r="J22" s="145" t="s">
        <v>172</v>
      </c>
      <c r="K22" s="143">
        <v>46.33</v>
      </c>
      <c r="L22" s="144" t="s">
        <v>172</v>
      </c>
      <c r="M22" s="145" t="s">
        <v>172</v>
      </c>
      <c r="N22" s="143">
        <v>24.75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43.65</v>
      </c>
      <c r="C23" s="144" t="s">
        <v>172</v>
      </c>
      <c r="D23" s="145" t="s">
        <v>172</v>
      </c>
      <c r="E23" s="143">
        <v>46.8</v>
      </c>
      <c r="F23" s="144" t="s">
        <v>172</v>
      </c>
      <c r="G23" s="145" t="s">
        <v>172</v>
      </c>
      <c r="H23" s="143">
        <v>52.4</v>
      </c>
      <c r="I23" s="144" t="s">
        <v>172</v>
      </c>
      <c r="J23" s="145" t="s">
        <v>172</v>
      </c>
      <c r="K23" s="143">
        <v>46.37</v>
      </c>
      <c r="L23" s="144" t="s">
        <v>172</v>
      </c>
      <c r="M23" s="145" t="s">
        <v>172</v>
      </c>
      <c r="N23" s="143">
        <v>26.4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42.9</v>
      </c>
      <c r="C24" s="144" t="s">
        <v>172</v>
      </c>
      <c r="D24" s="145" t="s">
        <v>172</v>
      </c>
      <c r="E24" s="143">
        <v>45.93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48.04</v>
      </c>
      <c r="L24" s="144" t="s">
        <v>172</v>
      </c>
      <c r="M24" s="145" t="s">
        <v>172</v>
      </c>
      <c r="N24" s="143">
        <v>23.23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0.96699999999999997</v>
      </c>
      <c r="L26" s="144" t="s">
        <v>172</v>
      </c>
      <c r="M26" s="145" t="s">
        <v>172</v>
      </c>
      <c r="N26" s="153">
        <v>0.51500000000000001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1.0129999999999999</v>
      </c>
      <c r="F27" s="144" t="s">
        <v>172</v>
      </c>
      <c r="G27" s="145" t="s">
        <v>172</v>
      </c>
      <c r="H27" s="153">
        <v>1.1319999999999999</v>
      </c>
      <c r="I27" s="144" t="s">
        <v>172</v>
      </c>
      <c r="J27" s="145" t="s">
        <v>172</v>
      </c>
      <c r="K27" s="153">
        <v>0.86899999999999999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4.3899999999999997</v>
      </c>
      <c r="F28" s="158" t="s">
        <v>172</v>
      </c>
      <c r="G28" s="159" t="s">
        <v>172</v>
      </c>
      <c r="H28" s="234">
        <v>4.5999999999999996</v>
      </c>
      <c r="I28" s="158" t="s">
        <v>172</v>
      </c>
      <c r="J28" s="159" t="s">
        <v>172</v>
      </c>
      <c r="K28" s="234">
        <v>4.28</v>
      </c>
      <c r="L28" s="158" t="s">
        <v>172</v>
      </c>
      <c r="M28" s="159" t="s">
        <v>172</v>
      </c>
      <c r="N28" s="234">
        <v>2.11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9.2651000000000003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2.6352000000000002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3.0777999999999999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6.66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3.3290000000000002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topLeftCell="A4" zoomScale="85" zoomScaleNormal="85" workbookViewId="0">
      <selection activeCell="H31" sqref="H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44144</v>
      </c>
      <c r="E2" s="493"/>
      <c r="F2" s="430"/>
      <c r="G2" s="430"/>
      <c r="H2" s="430"/>
      <c r="I2" s="430"/>
      <c r="J2" s="430"/>
      <c r="K2" s="430"/>
      <c r="L2" s="430"/>
      <c r="M2" s="430"/>
      <c r="N2" s="430"/>
      <c r="O2" s="430"/>
      <c r="P2" s="430"/>
      <c r="Q2" s="430"/>
      <c r="R2" s="430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0.65942591155934838</v>
      </c>
      <c r="C6" s="103" t="s">
        <v>172</v>
      </c>
      <c r="D6" s="104" t="s">
        <v>172</v>
      </c>
      <c r="E6" s="102">
        <f>E20/$B$33</f>
        <v>0.69821567106283944</v>
      </c>
      <c r="F6" s="103" t="s">
        <v>172</v>
      </c>
      <c r="G6" s="104" t="s">
        <v>172</v>
      </c>
      <c r="H6" s="102">
        <f>H20/$B$33</f>
        <v>0.75252133436772695</v>
      </c>
      <c r="I6" s="103" t="s">
        <v>172</v>
      </c>
      <c r="J6" s="104" t="s">
        <v>172</v>
      </c>
      <c r="K6" s="102">
        <f>K20/$B$33</f>
        <v>0.69821567106283944</v>
      </c>
      <c r="L6" s="103" t="s">
        <v>172</v>
      </c>
      <c r="M6" s="104" t="s">
        <v>172</v>
      </c>
      <c r="N6" s="102">
        <f>N20/$B$33</f>
        <v>0.36462373933281611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0.55651474010861135</v>
      </c>
      <c r="C7" s="107">
        <f t="shared" ref="C7:C12" si="0">B7-B$6</f>
        <v>-0.10291117145073703</v>
      </c>
      <c r="D7" s="108">
        <f t="shared" ref="D7:D12" si="1">B7/B$6*100</f>
        <v>84.393823529411762</v>
      </c>
      <c r="E7" s="102">
        <f>E21*$B$36/100/$B$33</f>
        <v>0.61514292086889066</v>
      </c>
      <c r="F7" s="107">
        <f t="shared" ref="F7:F15" si="2">E7-E$6</f>
        <v>-8.3072750193948774E-2</v>
      </c>
      <c r="G7" s="108">
        <f t="shared" ref="G7:G15" si="3">E7/E$6*100</f>
        <v>88.102136111111122</v>
      </c>
      <c r="H7" s="102">
        <f>H21*$B$36/100/$B$33</f>
        <v>0.68567792862684251</v>
      </c>
      <c r="I7" s="107">
        <f t="shared" ref="I7:I15" si="4">H7-H$6</f>
        <v>-6.6843405740884432E-2</v>
      </c>
      <c r="J7" s="108">
        <f t="shared" ref="J7:J15" si="5">H7/H$6*100</f>
        <v>91.11740721649484</v>
      </c>
      <c r="K7" s="102">
        <f>K21*$B$36/100/$B$33</f>
        <v>0.61229563615205596</v>
      </c>
      <c r="L7" s="107">
        <f t="shared" ref="L7:L15" si="6">K7-K$6</f>
        <v>-8.5920034910783483E-2</v>
      </c>
      <c r="M7" s="108">
        <f t="shared" ref="M7:M15" si="7">K7/K$6*100</f>
        <v>87.694341666666674</v>
      </c>
      <c r="N7" s="102">
        <f>N21*$B$36/100/$B$33</f>
        <v>0.3438743405740885</v>
      </c>
      <c r="O7" s="107">
        <f t="shared" ref="O7:O15" si="8">N7-N$6</f>
        <v>-2.0749398758727611E-2</v>
      </c>
      <c r="P7" s="108">
        <f t="shared" ref="P7:P15" si="9">N7/N$6*100</f>
        <v>94.309367021276614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0.56052682311869673</v>
      </c>
      <c r="C8" s="107">
        <f t="shared" si="0"/>
        <v>-9.889908844065165E-2</v>
      </c>
      <c r="D8" s="108">
        <f t="shared" si="1"/>
        <v>85.002244117647066</v>
      </c>
      <c r="E8" s="102">
        <f>E22*$B$36/100/$B$33</f>
        <v>0.60453031419705194</v>
      </c>
      <c r="F8" s="107">
        <f t="shared" si="2"/>
        <v>-9.3685356865787495E-2</v>
      </c>
      <c r="G8" s="108">
        <f t="shared" si="3"/>
        <v>86.582174999999992</v>
      </c>
      <c r="H8" s="102">
        <f>H22*$B$36/100/$B$33</f>
        <v>0.67040612878200156</v>
      </c>
      <c r="I8" s="107">
        <f t="shared" si="4"/>
        <v>-8.2115205585725382E-2</v>
      </c>
      <c r="J8" s="108">
        <f t="shared" si="5"/>
        <v>89.087989690721642</v>
      </c>
      <c r="K8" s="102">
        <f>K22*$B$36/100/$B$33</f>
        <v>0.59935343289371612</v>
      </c>
      <c r="L8" s="107">
        <f t="shared" si="6"/>
        <v>-9.8862238169123318E-2</v>
      </c>
      <c r="M8" s="108">
        <f t="shared" si="7"/>
        <v>85.840730555555552</v>
      </c>
      <c r="N8" s="102">
        <f>N22*$B$36/100/$B$33</f>
        <v>0.32096664080682702</v>
      </c>
      <c r="O8" s="107">
        <f t="shared" si="8"/>
        <v>-4.3657098525989091E-2</v>
      </c>
      <c r="P8" s="108">
        <f t="shared" si="9"/>
        <v>88.026808510638304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0.56479775019394884</v>
      </c>
      <c r="C9" s="107">
        <f t="shared" si="0"/>
        <v>-9.4628161365399532E-2</v>
      </c>
      <c r="D9" s="108">
        <f t="shared" si="1"/>
        <v>85.649917647058828</v>
      </c>
      <c r="E9" s="102">
        <f>E23*$B$36/100/$B$33</f>
        <v>0.60556569045771924</v>
      </c>
      <c r="F9" s="107">
        <f t="shared" si="2"/>
        <v>-9.2649980605120197E-2</v>
      </c>
      <c r="G9" s="108">
        <f t="shared" si="3"/>
        <v>86.730463888888892</v>
      </c>
      <c r="H9" s="102">
        <f>H23*$B$36/100/$B$33</f>
        <v>0.67817145073700535</v>
      </c>
      <c r="I9" s="107">
        <f t="shared" si="4"/>
        <v>-7.4349883630721592E-2</v>
      </c>
      <c r="J9" s="108">
        <f t="shared" si="5"/>
        <v>90.119896907216486</v>
      </c>
      <c r="K9" s="102">
        <f>K23*$B$36/100/$B$33</f>
        <v>0.60491858029480228</v>
      </c>
      <c r="L9" s="107">
        <f t="shared" si="6"/>
        <v>-9.3297090768037161E-2</v>
      </c>
      <c r="M9" s="108">
        <f t="shared" si="7"/>
        <v>86.637783333333346</v>
      </c>
      <c r="N9" s="102">
        <f>N23*$B$36/100/$B$33</f>
        <v>0.34685104732350663</v>
      </c>
      <c r="O9" s="107">
        <f t="shared" si="8"/>
        <v>-1.7772692009309476E-2</v>
      </c>
      <c r="P9" s="108">
        <f t="shared" si="9"/>
        <v>95.125744680851071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0.55522051978277742</v>
      </c>
      <c r="C10" s="107">
        <f t="shared" si="0"/>
        <v>-0.10420539177657095</v>
      </c>
      <c r="D10" s="108">
        <f t="shared" si="1"/>
        <v>84.19755882352942</v>
      </c>
      <c r="E10" s="102">
        <f>E24*$B$36/100/$B$33</f>
        <v>0.59417655159038008</v>
      </c>
      <c r="F10" s="107">
        <f t="shared" si="2"/>
        <v>-0.10403911947245936</v>
      </c>
      <c r="G10" s="108">
        <f t="shared" si="3"/>
        <v>85.099286111111098</v>
      </c>
      <c r="H10" s="102">
        <f>H24*$B$36/100/$B$33</f>
        <v>0.67687723041117143</v>
      </c>
      <c r="I10" s="107">
        <f t="shared" si="4"/>
        <v>-7.564410395655552E-2</v>
      </c>
      <c r="J10" s="108">
        <f t="shared" si="5"/>
        <v>89.947912371134009</v>
      </c>
      <c r="K10" s="102">
        <f>K24*$B$36/100/$B$33</f>
        <v>0.62239055469356097</v>
      </c>
      <c r="L10" s="107">
        <f t="shared" si="6"/>
        <v>-7.5825116369278467E-2</v>
      </c>
      <c r="M10" s="108">
        <f t="shared" si="7"/>
        <v>89.140158333333346</v>
      </c>
      <c r="N10" s="102">
        <f>N24*$B$36/100/$B$33</f>
        <v>0.29184668347556247</v>
      </c>
      <c r="O10" s="107">
        <f t="shared" si="8"/>
        <v>-7.2777055857253636E-2</v>
      </c>
      <c r="P10" s="108">
        <f t="shared" si="9"/>
        <v>80.040505319148949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0.55926495830100864</v>
      </c>
      <c r="C11" s="236">
        <f t="shared" si="0"/>
        <v>-0.10016095325833974</v>
      </c>
      <c r="D11" s="237">
        <f t="shared" si="1"/>
        <v>84.810886029411776</v>
      </c>
      <c r="E11" s="235">
        <f>AVERAGE(E7:E10)</f>
        <v>0.60485386927851048</v>
      </c>
      <c r="F11" s="236">
        <f t="shared" si="2"/>
        <v>-9.3361801784328957E-2</v>
      </c>
      <c r="G11" s="237">
        <f t="shared" si="3"/>
        <v>86.62851527777778</v>
      </c>
      <c r="H11" s="235">
        <f>AVERAGE(H7:H10)</f>
        <v>0.67778318463925524</v>
      </c>
      <c r="I11" s="236">
        <f t="shared" si="4"/>
        <v>-7.4738149728471703E-2</v>
      </c>
      <c r="J11" s="237">
        <f t="shared" si="5"/>
        <v>90.068301546391751</v>
      </c>
      <c r="K11" s="235">
        <f>AVERAGE(K7:K10)</f>
        <v>0.60973955100853383</v>
      </c>
      <c r="L11" s="236">
        <f t="shared" si="6"/>
        <v>-8.8476120054305607E-2</v>
      </c>
      <c r="M11" s="237">
        <f t="shared" si="7"/>
        <v>87.328253472222229</v>
      </c>
      <c r="N11" s="235">
        <f>AVERAGE(N7:N10)</f>
        <v>0.32588467804499616</v>
      </c>
      <c r="O11" s="236">
        <f t="shared" si="8"/>
        <v>-3.8739061287819954E-2</v>
      </c>
      <c r="P11" s="237">
        <f t="shared" si="9"/>
        <v>89.375606382978745</v>
      </c>
      <c r="Q11" s="109"/>
    </row>
    <row r="12" spans="1:19" s="96" customFormat="1" ht="15.75" x14ac:dyDescent="0.25">
      <c r="A12" s="110" t="s">
        <v>24</v>
      </c>
      <c r="B12" s="102">
        <f>B25*$B$32/100/$B$33</f>
        <v>0.82707050038789764</v>
      </c>
      <c r="C12" s="107">
        <f t="shared" si="0"/>
        <v>0.16764458882854927</v>
      </c>
      <c r="D12" s="108">
        <f t="shared" si="1"/>
        <v>125.42280882352941</v>
      </c>
      <c r="E12" s="102">
        <f>E25*$B$32/100/$B$33</f>
        <v>0.86940228083785898</v>
      </c>
      <c r="F12" s="107">
        <f t="shared" si="2"/>
        <v>0.17118660977501954</v>
      </c>
      <c r="G12" s="108">
        <f t="shared" si="3"/>
        <v>124.51772666666669</v>
      </c>
      <c r="H12" s="102">
        <f>H25*$B$32/100/$B$33</f>
        <v>1.0152512723041118</v>
      </c>
      <c r="I12" s="107">
        <f t="shared" si="4"/>
        <v>0.26272993793638488</v>
      </c>
      <c r="J12" s="108">
        <f t="shared" si="5"/>
        <v>134.91328762886599</v>
      </c>
      <c r="K12" s="102">
        <f>K25*$B$32/100/$B$33</f>
        <v>0.81817726920093103</v>
      </c>
      <c r="L12" s="107">
        <f t="shared" si="6"/>
        <v>0.1199615981380916</v>
      </c>
      <c r="M12" s="108">
        <f t="shared" si="7"/>
        <v>117.18116666666667</v>
      </c>
      <c r="N12" s="102">
        <f>N25*$B$32/100/$B$33</f>
        <v>0.4016183204034135</v>
      </c>
      <c r="O12" s="107">
        <f t="shared" si="8"/>
        <v>3.6994581070597388E-2</v>
      </c>
      <c r="P12" s="108">
        <f t="shared" si="9"/>
        <v>110.14596063829789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1.2958680372381695</v>
      </c>
      <c r="F13" s="107">
        <f t="shared" si="2"/>
        <v>0.59765236617533002</v>
      </c>
      <c r="G13" s="108">
        <f t="shared" si="3"/>
        <v>185.59710000000004</v>
      </c>
      <c r="H13" s="102">
        <f>H26*$B$34/$B$33</f>
        <v>1.3669394103956556</v>
      </c>
      <c r="I13" s="107">
        <f t="shared" si="4"/>
        <v>0.61441807602792864</v>
      </c>
      <c r="J13" s="108">
        <f t="shared" si="5"/>
        <v>181.64792783505155</v>
      </c>
      <c r="K13" s="102">
        <f>K26*$B$34/$B$33</f>
        <v>1.1454336307214896</v>
      </c>
      <c r="L13" s="107">
        <f t="shared" si="6"/>
        <v>0.44721795965865019</v>
      </c>
      <c r="M13" s="108">
        <f t="shared" si="7"/>
        <v>164.05154999999999</v>
      </c>
      <c r="N13" s="102">
        <f>N26*$B$34/$B$33</f>
        <v>0.62187451512800629</v>
      </c>
      <c r="O13" s="107">
        <f t="shared" si="8"/>
        <v>0.25725077579519018</v>
      </c>
      <c r="P13" s="108">
        <f t="shared" si="9"/>
        <v>170.55239361702129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1.1987371605896044</v>
      </c>
      <c r="F14" s="107">
        <f t="shared" si="2"/>
        <v>0.50052148952676501</v>
      </c>
      <c r="G14" s="108">
        <f t="shared" si="3"/>
        <v>171.6858</v>
      </c>
      <c r="H14" s="102">
        <f>H27*$B$34/$B$33</f>
        <v>1.3325882467028705</v>
      </c>
      <c r="I14" s="107">
        <f t="shared" si="4"/>
        <v>0.58006691233514351</v>
      </c>
      <c r="J14" s="108">
        <f t="shared" si="5"/>
        <v>177.08311855670104</v>
      </c>
      <c r="K14" s="102">
        <f>K27*$B$34/$B$33</f>
        <v>1.028165865011637</v>
      </c>
      <c r="L14" s="107">
        <f t="shared" si="6"/>
        <v>0.32995019394879754</v>
      </c>
      <c r="M14" s="108">
        <f t="shared" si="7"/>
        <v>147.25619999999998</v>
      </c>
      <c r="N14" s="102">
        <f>N27*$B$34/$B$33</f>
        <v>0.59107692009309554</v>
      </c>
      <c r="O14" s="107">
        <f t="shared" si="8"/>
        <v>0.22645318076027943</v>
      </c>
      <c r="P14" s="108">
        <f t="shared" si="9"/>
        <v>162.10598936170217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1.1440314197051979</v>
      </c>
      <c r="F15" s="119">
        <f t="shared" si="2"/>
        <v>0.44581574864235851</v>
      </c>
      <c r="G15" s="120">
        <f t="shared" si="3"/>
        <v>163.85072222222223</v>
      </c>
      <c r="H15" s="118">
        <f>H28*$B$35/10/$B$33</f>
        <v>1.2199511249030257</v>
      </c>
      <c r="I15" s="119">
        <f t="shared" si="4"/>
        <v>0.46742979053529876</v>
      </c>
      <c r="J15" s="120">
        <f t="shared" si="5"/>
        <v>162.11515463917527</v>
      </c>
      <c r="K15" s="118">
        <f>K28*$B$35/10/$B$33</f>
        <v>1.1257059736229635</v>
      </c>
      <c r="L15" s="119">
        <f t="shared" si="6"/>
        <v>0.4274903025601241</v>
      </c>
      <c r="M15" s="120">
        <f t="shared" si="7"/>
        <v>161.22611111111112</v>
      </c>
      <c r="N15" s="118">
        <f>N28*$B$35/10/$B$33</f>
        <v>0.53929169899146623</v>
      </c>
      <c r="O15" s="119">
        <f t="shared" si="8"/>
        <v>0.17466795965865012</v>
      </c>
      <c r="P15" s="120">
        <f t="shared" si="9"/>
        <v>147.9036170212766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29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29" t="s">
        <v>214</v>
      </c>
      <c r="X19" s="429" t="s">
        <v>214</v>
      </c>
    </row>
    <row r="20" spans="1:24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</v>
      </c>
      <c r="C21" s="144" t="s">
        <v>172</v>
      </c>
      <c r="D21" s="145" t="s">
        <v>172</v>
      </c>
      <c r="E21" s="143">
        <v>47.53</v>
      </c>
      <c r="F21" s="144" t="s">
        <v>172</v>
      </c>
      <c r="G21" s="145" t="s">
        <v>172</v>
      </c>
      <c r="H21" s="143">
        <v>52.98</v>
      </c>
      <c r="I21" s="144" t="s">
        <v>172</v>
      </c>
      <c r="J21" s="145" t="s">
        <v>172</v>
      </c>
      <c r="K21" s="143">
        <v>47.31</v>
      </c>
      <c r="L21" s="144" t="s">
        <v>172</v>
      </c>
      <c r="M21" s="145" t="s">
        <v>172</v>
      </c>
      <c r="N21" s="143">
        <v>26.57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43.31</v>
      </c>
      <c r="C22" s="144" t="s">
        <v>172</v>
      </c>
      <c r="D22" s="145" t="s">
        <v>172</v>
      </c>
      <c r="E22" s="143">
        <v>46.71</v>
      </c>
      <c r="F22" s="144" t="s">
        <v>172</v>
      </c>
      <c r="G22" s="145" t="s">
        <v>172</v>
      </c>
      <c r="H22" s="143">
        <v>51.8</v>
      </c>
      <c r="I22" s="144" t="s">
        <v>172</v>
      </c>
      <c r="J22" s="145" t="s">
        <v>172</v>
      </c>
      <c r="K22" s="143">
        <v>46.31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46.79</v>
      </c>
      <c r="F23" s="144" t="s">
        <v>172</v>
      </c>
      <c r="G23" s="145" t="s">
        <v>172</v>
      </c>
      <c r="H23" s="143">
        <v>52.4</v>
      </c>
      <c r="I23" s="144" t="s">
        <v>172</v>
      </c>
      <c r="J23" s="145" t="s">
        <v>172</v>
      </c>
      <c r="K23" s="143">
        <v>46.74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42.9</v>
      </c>
      <c r="C24" s="144" t="s">
        <v>172</v>
      </c>
      <c r="D24" s="145" t="s">
        <v>172</v>
      </c>
      <c r="E24" s="143">
        <v>45.91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48.09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0.96699999999999997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1.012</v>
      </c>
      <c r="F27" s="144" t="s">
        <v>172</v>
      </c>
      <c r="G27" s="145" t="s">
        <v>172</v>
      </c>
      <c r="H27" s="153">
        <v>1.125</v>
      </c>
      <c r="I27" s="144" t="s">
        <v>172</v>
      </c>
      <c r="J27" s="145" t="s">
        <v>172</v>
      </c>
      <c r="K27" s="153">
        <v>0.86799999999999999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4.37</v>
      </c>
      <c r="F28" s="158" t="s">
        <v>172</v>
      </c>
      <c r="G28" s="159" t="s">
        <v>172</v>
      </c>
      <c r="H28" s="234">
        <v>4.66</v>
      </c>
      <c r="I28" s="158" t="s">
        <v>172</v>
      </c>
      <c r="J28" s="159" t="s">
        <v>172</v>
      </c>
      <c r="K28" s="234">
        <v>4.3</v>
      </c>
      <c r="L28" s="158" t="s">
        <v>172</v>
      </c>
      <c r="M28" s="159" t="s">
        <v>172</v>
      </c>
      <c r="N28" s="234">
        <v>2.06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28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9.1707000000000001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2.5779999999999998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3.0537000000000001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6.7489999999999997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3.3365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C31:E31"/>
    <mergeCell ref="C32:E36"/>
    <mergeCell ref="A38:E38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43"/>
  <sheetViews>
    <sheetView zoomScale="85" zoomScaleNormal="85" workbookViewId="0">
      <selection activeCell="I31" sqref="I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19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19" s="93" customFormat="1" ht="16.5" thickBot="1" x14ac:dyDescent="0.25">
      <c r="A2" s="492" t="s">
        <v>163</v>
      </c>
      <c r="B2" s="492"/>
      <c r="C2" s="492"/>
      <c r="D2" s="493">
        <v>44151</v>
      </c>
      <c r="E2" s="493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431"/>
      <c r="R2" s="431"/>
    </row>
    <row r="3" spans="1:19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</row>
    <row r="4" spans="1:19" s="96" customFormat="1" ht="15.75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</row>
    <row r="5" spans="1:19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</row>
    <row r="6" spans="1:19" s="96" customFormat="1" ht="15.75" x14ac:dyDescent="0.25">
      <c r="A6" s="101" t="s">
        <v>171</v>
      </c>
      <c r="B6" s="102">
        <f>B20/$B$33</f>
        <v>0.66230325697366366</v>
      </c>
      <c r="C6" s="103" t="s">
        <v>172</v>
      </c>
      <c r="D6" s="104" t="s">
        <v>172</v>
      </c>
      <c r="E6" s="102">
        <f>E20/$B$33</f>
        <v>0.70126227208976155</v>
      </c>
      <c r="F6" s="103" t="s">
        <v>172</v>
      </c>
      <c r="G6" s="104" t="s">
        <v>172</v>
      </c>
      <c r="H6" s="102">
        <f>H20/$B$33</f>
        <v>0.75580489325229849</v>
      </c>
      <c r="I6" s="103" t="s">
        <v>172</v>
      </c>
      <c r="J6" s="104" t="s">
        <v>172</v>
      </c>
      <c r="K6" s="102">
        <f>K20/$B$33</f>
        <v>0.70126227208976155</v>
      </c>
      <c r="L6" s="103" t="s">
        <v>172</v>
      </c>
      <c r="M6" s="104" t="s">
        <v>172</v>
      </c>
      <c r="N6" s="102">
        <f>N20/$B$33</f>
        <v>0.36621474209131988</v>
      </c>
      <c r="O6" s="103" t="s">
        <v>172</v>
      </c>
      <c r="P6" s="104" t="s">
        <v>172</v>
      </c>
      <c r="Q6" s="105" t="s">
        <v>173</v>
      </c>
      <c r="R6" s="95"/>
    </row>
    <row r="7" spans="1:19" s="96" customFormat="1" ht="15.75" x14ac:dyDescent="0.25">
      <c r="A7" s="106" t="s">
        <v>174</v>
      </c>
      <c r="B7" s="102">
        <f>B21*$B$36/100/$B$33</f>
        <v>0.55720659965716057</v>
      </c>
      <c r="C7" s="107">
        <f t="shared" ref="C7:C12" si="0">B7-B$6</f>
        <v>-0.10509665731650308</v>
      </c>
      <c r="D7" s="108">
        <f t="shared" ref="D7:D12" si="1">B7/B$6*100</f>
        <v>84.13164117647058</v>
      </c>
      <c r="E7" s="102">
        <f>E21*$B$36/100/$B$33</f>
        <v>0.61582587268193856</v>
      </c>
      <c r="F7" s="107">
        <f t="shared" ref="F7:F15" si="2">E7-E$6</f>
        <v>-8.5436399407822994E-2</v>
      </c>
      <c r="G7" s="108">
        <f t="shared" ref="G7:G15" si="3">E7/E$6*100</f>
        <v>87.816769444444446</v>
      </c>
      <c r="H7" s="102">
        <f>H21*$B$36/100/$B$33</f>
        <v>0.67276291491351092</v>
      </c>
      <c r="I7" s="107">
        <f t="shared" ref="I7:I15" si="4">H7-H$6</f>
        <v>-8.304197833878757E-2</v>
      </c>
      <c r="J7" s="108">
        <f t="shared" ref="J7:J15" si="5">H7/H$6*100</f>
        <v>89.01277577319587</v>
      </c>
      <c r="K7" s="102">
        <f>K21*$B$36/100/$B$33</f>
        <v>0.61259081346423561</v>
      </c>
      <c r="L7" s="107">
        <f t="shared" ref="L7:L15" si="6">K7-K$6</f>
        <v>-8.8671458625525945E-2</v>
      </c>
      <c r="M7" s="108">
        <f t="shared" ref="M7:M15" si="7">K7/K$6*100</f>
        <v>87.355450000000005</v>
      </c>
      <c r="N7" s="102">
        <f>N21*$B$36/100/$B$33</f>
        <v>0.33981062022752062</v>
      </c>
      <c r="O7" s="107">
        <f t="shared" ref="O7:O15" si="8">N7-N$6</f>
        <v>-2.6404121863799257E-2</v>
      </c>
      <c r="P7" s="108">
        <f t="shared" ref="P7:P15" si="9">N7/N$6*100</f>
        <v>92.789989361702126</v>
      </c>
      <c r="Q7" s="109" t="s">
        <v>175</v>
      </c>
      <c r="R7" s="95"/>
    </row>
    <row r="8" spans="1:19" s="96" customFormat="1" ht="15.75" x14ac:dyDescent="0.25">
      <c r="A8" s="110" t="s">
        <v>176</v>
      </c>
      <c r="B8" s="102">
        <f>B22*$B$36/100/$B$33</f>
        <v>0.56070046361227976</v>
      </c>
      <c r="C8" s="107">
        <f t="shared" si="0"/>
        <v>-0.10160279336138389</v>
      </c>
      <c r="D8" s="108">
        <f t="shared" si="1"/>
        <v>84.65917352941176</v>
      </c>
      <c r="E8" s="102">
        <f>E22*$B$36/100/$B$33</f>
        <v>0.60443846423562408</v>
      </c>
      <c r="F8" s="107">
        <f t="shared" si="2"/>
        <v>-9.6823807854137467E-2</v>
      </c>
      <c r="G8" s="108">
        <f t="shared" si="3"/>
        <v>86.192925000000002</v>
      </c>
      <c r="H8" s="102">
        <f>H22*$B$36/100/$B$33</f>
        <v>0.67677438834346271</v>
      </c>
      <c r="I8" s="107">
        <f t="shared" si="4"/>
        <v>-7.9030504908835786E-2</v>
      </c>
      <c r="J8" s="108">
        <f t="shared" si="5"/>
        <v>89.543530927835064</v>
      </c>
      <c r="K8" s="102">
        <f>K22*$B$36/100/$B$33</f>
        <v>0.59926236948729938</v>
      </c>
      <c r="L8" s="107">
        <f t="shared" si="6"/>
        <v>-0.10199990260246217</v>
      </c>
      <c r="M8" s="108">
        <f t="shared" si="7"/>
        <v>85.454813888888893</v>
      </c>
      <c r="N8" s="102">
        <f>N22*$B$36/100/$B$33</f>
        <v>0.32091787439613523</v>
      </c>
      <c r="O8" s="107">
        <f t="shared" si="8"/>
        <v>-4.5296867695184651E-2</v>
      </c>
      <c r="P8" s="108">
        <f t="shared" si="9"/>
        <v>87.631063829787237</v>
      </c>
      <c r="Q8" s="109" t="s">
        <v>175</v>
      </c>
    </row>
    <row r="9" spans="1:19" s="96" customFormat="1" ht="15.75" x14ac:dyDescent="0.25">
      <c r="A9" s="110" t="s">
        <v>177</v>
      </c>
      <c r="B9" s="102">
        <f>B23*$B$36/100/$B$33</f>
        <v>0.56471193704223144</v>
      </c>
      <c r="C9" s="107">
        <f t="shared" si="0"/>
        <v>-9.7591319931432219E-2</v>
      </c>
      <c r="D9" s="108">
        <f t="shared" si="1"/>
        <v>85.264858823529394</v>
      </c>
      <c r="E9" s="102">
        <f>E23*$B$36/100/$B$33</f>
        <v>0.60443846423562408</v>
      </c>
      <c r="F9" s="107">
        <f t="shared" si="2"/>
        <v>-9.6823807854137467E-2</v>
      </c>
      <c r="G9" s="108">
        <f t="shared" si="3"/>
        <v>86.192925000000002</v>
      </c>
      <c r="H9" s="102">
        <f>H23*$B$36/100/$B$33</f>
        <v>0.6845385304659497</v>
      </c>
      <c r="I9" s="107">
        <f t="shared" si="4"/>
        <v>-7.1266362786348791E-2</v>
      </c>
      <c r="J9" s="108">
        <f t="shared" si="5"/>
        <v>90.570798969072158</v>
      </c>
      <c r="K9" s="102">
        <f>K23*$B$36/100/$B$33</f>
        <v>0.60456786660433215</v>
      </c>
      <c r="L9" s="107">
        <f t="shared" si="6"/>
        <v>-9.6694405485429402E-2</v>
      </c>
      <c r="M9" s="108">
        <f t="shared" si="7"/>
        <v>86.21137777777777</v>
      </c>
      <c r="N9" s="102">
        <f>N23*$B$36/100/$B$33</f>
        <v>0.34679834813775906</v>
      </c>
      <c r="O9" s="107">
        <f t="shared" si="8"/>
        <v>-1.9416393953560818E-2</v>
      </c>
      <c r="P9" s="108">
        <f t="shared" si="9"/>
        <v>94.69808510638299</v>
      </c>
      <c r="Q9" s="109" t="s">
        <v>175</v>
      </c>
    </row>
    <row r="10" spans="1:19" s="96" customFormat="1" ht="15.75" x14ac:dyDescent="0.25">
      <c r="A10" s="110" t="s">
        <v>178</v>
      </c>
      <c r="B10" s="102">
        <f>B24*$B$36/100/$B$33</f>
        <v>0.55746540439457681</v>
      </c>
      <c r="C10" s="107">
        <f t="shared" si="0"/>
        <v>-0.10483785257908684</v>
      </c>
      <c r="D10" s="108">
        <f t="shared" si="1"/>
        <v>84.170717647058808</v>
      </c>
      <c r="E10" s="102">
        <f>E24*$B$36/100/$B$33</f>
        <v>0.5965449197444288</v>
      </c>
      <c r="F10" s="107">
        <f t="shared" si="2"/>
        <v>-0.10471735234533275</v>
      </c>
      <c r="G10" s="108">
        <f t="shared" si="3"/>
        <v>85.067305555555549</v>
      </c>
      <c r="H10" s="102">
        <f>H24*$B$36/100/$B$33</f>
        <v>0.67677438834346271</v>
      </c>
      <c r="I10" s="107">
        <f t="shared" si="4"/>
        <v>-7.9030504908835786E-2</v>
      </c>
      <c r="J10" s="108">
        <f t="shared" si="5"/>
        <v>89.543530927835064</v>
      </c>
      <c r="K10" s="102">
        <f>K24*$B$36/100/$B$33</f>
        <v>0.62359001480442566</v>
      </c>
      <c r="L10" s="107">
        <f t="shared" si="6"/>
        <v>-7.7672257285335888E-2</v>
      </c>
      <c r="M10" s="108">
        <f t="shared" si="7"/>
        <v>88.923936111111104</v>
      </c>
      <c r="N10" s="102">
        <f>N24*$B$36/100/$B$33</f>
        <v>0.2918023414368085</v>
      </c>
      <c r="O10" s="107">
        <f t="shared" si="8"/>
        <v>-7.4412400654511379E-2</v>
      </c>
      <c r="P10" s="108">
        <f t="shared" si="9"/>
        <v>79.680664893617035</v>
      </c>
      <c r="Q10" s="109" t="s">
        <v>175</v>
      </c>
    </row>
    <row r="11" spans="1:19" s="96" customFormat="1" ht="31.5" x14ac:dyDescent="0.25">
      <c r="A11" s="241" t="s">
        <v>229</v>
      </c>
      <c r="B11" s="235">
        <f>AVERAGE(B7:B10)</f>
        <v>0.56002110117656212</v>
      </c>
      <c r="C11" s="236">
        <f t="shared" si="0"/>
        <v>-0.10228215579710154</v>
      </c>
      <c r="D11" s="237">
        <f t="shared" si="1"/>
        <v>84.556597794117621</v>
      </c>
      <c r="E11" s="235">
        <f>AVERAGE(E7:E10)</f>
        <v>0.60531193022440388</v>
      </c>
      <c r="F11" s="236">
        <f t="shared" si="2"/>
        <v>-9.5950341865357669E-2</v>
      </c>
      <c r="G11" s="237">
        <f t="shared" si="3"/>
        <v>86.31748125</v>
      </c>
      <c r="H11" s="235">
        <f>AVERAGE(H7:H10)</f>
        <v>0.67771255551659648</v>
      </c>
      <c r="I11" s="236">
        <f t="shared" si="4"/>
        <v>-7.8092337735702011E-2</v>
      </c>
      <c r="J11" s="237">
        <f t="shared" si="5"/>
        <v>89.667659149484535</v>
      </c>
      <c r="K11" s="235">
        <f>AVERAGE(K7:K10)</f>
        <v>0.6100027660900732</v>
      </c>
      <c r="L11" s="236">
        <f t="shared" si="6"/>
        <v>-9.1259505999688351E-2</v>
      </c>
      <c r="M11" s="237">
        <f t="shared" si="7"/>
        <v>86.986394444444443</v>
      </c>
      <c r="N11" s="235">
        <f>AVERAGE(N7:N10)</f>
        <v>0.32483229604955582</v>
      </c>
      <c r="O11" s="236">
        <f t="shared" si="8"/>
        <v>-4.1382446041764054E-2</v>
      </c>
      <c r="P11" s="237">
        <f t="shared" si="9"/>
        <v>88.699950797872333</v>
      </c>
      <c r="Q11" s="109"/>
    </row>
    <row r="12" spans="1:19" s="96" customFormat="1" ht="15.75" x14ac:dyDescent="0.25">
      <c r="A12" s="110" t="s">
        <v>24</v>
      </c>
      <c r="B12" s="102">
        <f>B25*$B$32/100/$B$33</f>
        <v>0.82732789855072442</v>
      </c>
      <c r="C12" s="107">
        <f t="shared" si="0"/>
        <v>0.16502464157706076</v>
      </c>
      <c r="D12" s="108">
        <f t="shared" si="1"/>
        <v>124.91677941176469</v>
      </c>
      <c r="E12" s="102">
        <f>E25*$B$32/100/$B$33</f>
        <v>0.86967285335826694</v>
      </c>
      <c r="F12" s="107">
        <f t="shared" si="2"/>
        <v>0.16841058126850539</v>
      </c>
      <c r="G12" s="108">
        <f t="shared" si="3"/>
        <v>124.01534888888888</v>
      </c>
      <c r="H12" s="102">
        <f>H25*$B$32/100/$B$33</f>
        <v>1.0155672354682872</v>
      </c>
      <c r="I12" s="107">
        <f t="shared" si="4"/>
        <v>0.25976234221598871</v>
      </c>
      <c r="J12" s="108">
        <f t="shared" si="5"/>
        <v>134.36896804123711</v>
      </c>
      <c r="K12" s="102">
        <f>K25*$B$32/100/$B$33</f>
        <v>0.81843189964157692</v>
      </c>
      <c r="L12" s="107">
        <f t="shared" si="6"/>
        <v>0.11716962755181537</v>
      </c>
      <c r="M12" s="108">
        <f t="shared" si="7"/>
        <v>116.70838888888888</v>
      </c>
      <c r="N12" s="102">
        <f>N25*$B$32/100/$B$33</f>
        <v>0.40174331073710451</v>
      </c>
      <c r="O12" s="107">
        <f t="shared" si="8"/>
        <v>3.5528568645784631E-2</v>
      </c>
      <c r="P12" s="108">
        <f t="shared" si="9"/>
        <v>109.7015670212766</v>
      </c>
      <c r="Q12" s="109" t="s">
        <v>179</v>
      </c>
    </row>
    <row r="13" spans="1:19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1.2804190431665887</v>
      </c>
      <c r="F13" s="107">
        <f t="shared" si="2"/>
        <v>0.57915677107682717</v>
      </c>
      <c r="G13" s="108">
        <f t="shared" si="3"/>
        <v>182.58775555555556</v>
      </c>
      <c r="H13" s="102">
        <f>H26*$B$34/$B$33</f>
        <v>1.3512909459248867</v>
      </c>
      <c r="I13" s="107">
        <f t="shared" si="4"/>
        <v>0.59548605267258825</v>
      </c>
      <c r="J13" s="108">
        <f t="shared" si="5"/>
        <v>178.78832989690721</v>
      </c>
      <c r="K13" s="102">
        <f>K26*$B$34/$B$33</f>
        <v>1.1268632538569423</v>
      </c>
      <c r="L13" s="107">
        <f t="shared" si="6"/>
        <v>0.42560098176718075</v>
      </c>
      <c r="M13" s="108">
        <f t="shared" si="7"/>
        <v>160.69069999999999</v>
      </c>
      <c r="N13" s="102">
        <f>N26*$B$34/$B$33</f>
        <v>0.62012914913510975</v>
      </c>
      <c r="O13" s="107">
        <f t="shared" si="8"/>
        <v>0.25391440704378987</v>
      </c>
      <c r="P13" s="108">
        <f t="shared" si="9"/>
        <v>169.33484042553189</v>
      </c>
      <c r="Q13" s="109" t="s">
        <v>180</v>
      </c>
    </row>
    <row r="14" spans="1:19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1.2390770998909144</v>
      </c>
      <c r="F14" s="107">
        <f t="shared" si="2"/>
        <v>0.53781482780115286</v>
      </c>
      <c r="G14" s="108">
        <f t="shared" si="3"/>
        <v>176.6923944444444</v>
      </c>
      <c r="H14" s="102">
        <f>H27*$B$34/$B$33</f>
        <v>1.3607405329593265</v>
      </c>
      <c r="I14" s="107">
        <f t="shared" si="4"/>
        <v>0.60493563970702802</v>
      </c>
      <c r="J14" s="108">
        <f t="shared" si="5"/>
        <v>180.03859793814431</v>
      </c>
      <c r="K14" s="102">
        <f>K27*$B$34/$B$33</f>
        <v>1.0666221365123889</v>
      </c>
      <c r="L14" s="107">
        <f t="shared" si="6"/>
        <v>0.36535986442262736</v>
      </c>
      <c r="M14" s="108">
        <f t="shared" si="7"/>
        <v>152.10031666666666</v>
      </c>
      <c r="N14" s="102">
        <f>N27*$B$34/$B$33</f>
        <v>0.58941799127318051</v>
      </c>
      <c r="O14" s="107">
        <f t="shared" si="8"/>
        <v>0.22320324918186063</v>
      </c>
      <c r="P14" s="108">
        <f t="shared" si="9"/>
        <v>160.94873404255318</v>
      </c>
      <c r="Q14" s="109" t="s">
        <v>180</v>
      </c>
    </row>
    <row r="15" spans="1:19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1.1362300140252455</v>
      </c>
      <c r="F15" s="119">
        <f t="shared" si="2"/>
        <v>0.43496774193548393</v>
      </c>
      <c r="G15" s="120">
        <f t="shared" si="3"/>
        <v>162.02640000000002</v>
      </c>
      <c r="H15" s="118">
        <f>H28*$B$35/10/$B$33</f>
        <v>1.2177650381798346</v>
      </c>
      <c r="I15" s="119">
        <f t="shared" si="4"/>
        <v>0.46196014492753612</v>
      </c>
      <c r="J15" s="120">
        <f t="shared" si="5"/>
        <v>161.12161340206185</v>
      </c>
      <c r="K15" s="118">
        <f>K28*$B$35/10/$B$33</f>
        <v>1.1178188795387252</v>
      </c>
      <c r="L15" s="119">
        <f t="shared" si="6"/>
        <v>0.41655660744896361</v>
      </c>
      <c r="M15" s="120">
        <f t="shared" si="7"/>
        <v>159.40097222222221</v>
      </c>
      <c r="N15" s="118">
        <f>N28*$B$35/10/$B$33</f>
        <v>0.5418133863175939</v>
      </c>
      <c r="O15" s="119">
        <f t="shared" si="8"/>
        <v>0.17559864422627403</v>
      </c>
      <c r="P15" s="120">
        <f t="shared" si="9"/>
        <v>147.94963829787235</v>
      </c>
      <c r="Q15" s="121" t="s">
        <v>180</v>
      </c>
    </row>
    <row r="16" spans="1:19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</row>
    <row r="17" spans="1:24" s="96" customFormat="1" ht="15.75" x14ac:dyDescent="0.25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</row>
    <row r="18" spans="1:24" s="96" customFormat="1" ht="16.5" thickBot="1" x14ac:dyDescent="0.3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</row>
    <row r="19" spans="1:24" s="96" customFormat="1" ht="16.5" thickBot="1" x14ac:dyDescent="0.3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33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33" t="s">
        <v>214</v>
      </c>
      <c r="X19" s="433" t="s">
        <v>214</v>
      </c>
    </row>
    <row r="20" spans="1:24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</row>
    <row r="21" spans="1:24" s="141" customFormat="1" ht="15.75" x14ac:dyDescent="0.25">
      <c r="A21" s="142" t="s">
        <v>186</v>
      </c>
      <c r="B21" s="143">
        <v>43.06</v>
      </c>
      <c r="C21" s="144" t="s">
        <v>172</v>
      </c>
      <c r="D21" s="145" t="s">
        <v>172</v>
      </c>
      <c r="E21" s="143">
        <v>47.59</v>
      </c>
      <c r="F21" s="144" t="s">
        <v>172</v>
      </c>
      <c r="G21" s="145" t="s">
        <v>172</v>
      </c>
      <c r="H21" s="143">
        <v>51.99</v>
      </c>
      <c r="I21" s="144" t="s">
        <v>172</v>
      </c>
      <c r="J21" s="145" t="s">
        <v>172</v>
      </c>
      <c r="K21" s="143">
        <v>47.34</v>
      </c>
      <c r="L21" s="144" t="s">
        <v>172</v>
      </c>
      <c r="M21" s="145" t="s">
        <v>172</v>
      </c>
      <c r="N21" s="143">
        <v>26.26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</row>
    <row r="22" spans="1:24" s="141" customFormat="1" ht="15.75" x14ac:dyDescent="0.25">
      <c r="A22" s="142" t="s">
        <v>188</v>
      </c>
      <c r="B22" s="143">
        <v>43.33</v>
      </c>
      <c r="C22" s="144" t="s">
        <v>172</v>
      </c>
      <c r="D22" s="145" t="s">
        <v>172</v>
      </c>
      <c r="E22" s="143">
        <v>46.71</v>
      </c>
      <c r="F22" s="144" t="s">
        <v>172</v>
      </c>
      <c r="G22" s="145" t="s">
        <v>172</v>
      </c>
      <c r="H22" s="143">
        <v>52.3</v>
      </c>
      <c r="I22" s="144" t="s">
        <v>172</v>
      </c>
      <c r="J22" s="145" t="s">
        <v>172</v>
      </c>
      <c r="K22" s="143">
        <v>46.31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</row>
    <row r="23" spans="1:24" s="141" customFormat="1" ht="15.75" x14ac:dyDescent="0.25">
      <c r="A23" s="142" t="s">
        <v>190</v>
      </c>
      <c r="B23" s="143">
        <v>43.64</v>
      </c>
      <c r="C23" s="144" t="s">
        <v>172</v>
      </c>
      <c r="D23" s="145" t="s">
        <v>172</v>
      </c>
      <c r="E23" s="143">
        <v>46.71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46.72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</row>
    <row r="24" spans="1:24" s="141" customFormat="1" ht="15.75" x14ac:dyDescent="0.25">
      <c r="A24" s="142" t="s">
        <v>192</v>
      </c>
      <c r="B24" s="143">
        <v>43.08</v>
      </c>
      <c r="C24" s="144" t="s">
        <v>172</v>
      </c>
      <c r="D24" s="145" t="s">
        <v>172</v>
      </c>
      <c r="E24" s="143">
        <v>46.1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48.19</v>
      </c>
      <c r="L24" s="144" t="s">
        <v>172</v>
      </c>
      <c r="M24" s="145" t="s">
        <v>172</v>
      </c>
      <c r="N24" s="143">
        <v>22.55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</row>
    <row r="25" spans="1:24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</row>
    <row r="26" spans="1:24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1.0840000000000001</v>
      </c>
      <c r="F26" s="144" t="s">
        <v>172</v>
      </c>
      <c r="G26" s="145" t="s">
        <v>172</v>
      </c>
      <c r="H26" s="153">
        <v>1.1439999999999999</v>
      </c>
      <c r="I26" s="144" t="s">
        <v>172</v>
      </c>
      <c r="J26" s="145" t="s">
        <v>172</v>
      </c>
      <c r="K26" s="153">
        <v>0.95399999999999996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</row>
    <row r="27" spans="1:24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1.0489999999999999</v>
      </c>
      <c r="F27" s="144" t="s">
        <v>172</v>
      </c>
      <c r="G27" s="145" t="s">
        <v>172</v>
      </c>
      <c r="H27" s="153">
        <v>1.1519999999999999</v>
      </c>
      <c r="I27" s="144" t="s">
        <v>172</v>
      </c>
      <c r="J27" s="145" t="s">
        <v>172</v>
      </c>
      <c r="K27" s="153">
        <v>0.90300000000000002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</row>
    <row r="28" spans="1:24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4.32</v>
      </c>
      <c r="F28" s="158" t="s">
        <v>172</v>
      </c>
      <c r="G28" s="159" t="s">
        <v>172</v>
      </c>
      <c r="H28" s="234">
        <v>4.63</v>
      </c>
      <c r="I28" s="158" t="s">
        <v>172</v>
      </c>
      <c r="J28" s="159" t="s">
        <v>172</v>
      </c>
      <c r="K28" s="234">
        <v>4.25</v>
      </c>
      <c r="L28" s="158" t="s">
        <v>172</v>
      </c>
      <c r="M28" s="159" t="s">
        <v>172</v>
      </c>
      <c r="N28" s="234">
        <v>2.06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4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4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</row>
    <row r="31" spans="1:24" s="141" customFormat="1" ht="63.75" thickBot="1" x14ac:dyDescent="0.3">
      <c r="A31" s="130" t="s">
        <v>200</v>
      </c>
      <c r="B31" s="432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4" s="141" customFormat="1" ht="15.75" customHeight="1" x14ac:dyDescent="0.25">
      <c r="A32" s="207" t="s">
        <v>202</v>
      </c>
      <c r="B32" s="335">
        <v>9.1336999999999993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2.5668000000000002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3.0318999999999998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6.7511000000000001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3.3214999999999999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3"/>
  <sheetViews>
    <sheetView zoomScale="85" zoomScaleNormal="85" workbookViewId="0">
      <selection activeCell="B6" sqref="B6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</cols>
  <sheetData>
    <row r="1" spans="1:28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28" s="93" customFormat="1" ht="16.5" thickBot="1" x14ac:dyDescent="0.25">
      <c r="A2" s="492" t="s">
        <v>163</v>
      </c>
      <c r="B2" s="492"/>
      <c r="C2" s="492"/>
      <c r="D2" s="493">
        <v>44158</v>
      </c>
      <c r="E2" s="493"/>
      <c r="F2" s="434"/>
      <c r="G2" s="434"/>
      <c r="H2" s="434"/>
      <c r="I2" s="434"/>
      <c r="J2" s="434"/>
      <c r="K2" s="434"/>
      <c r="L2" s="434"/>
      <c r="M2" s="434"/>
      <c r="N2" s="434"/>
      <c r="O2" s="434"/>
      <c r="P2" s="434"/>
      <c r="Q2" s="434"/>
      <c r="R2" s="434"/>
    </row>
    <row r="3" spans="1:28" s="96" customFormat="1" ht="15.75" x14ac:dyDescent="0.2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  <c r="AB3" s="93"/>
    </row>
    <row r="4" spans="1:28" s="96" customFormat="1" ht="15.75" x14ac:dyDescent="0.2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AB4" s="93"/>
    </row>
    <row r="5" spans="1:28" s="96" customFormat="1" ht="16.5" thickBot="1" x14ac:dyDescent="0.25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  <c r="AB5" s="93"/>
    </row>
    <row r="6" spans="1:28" s="96" customFormat="1" ht="15.75" x14ac:dyDescent="0.2">
      <c r="A6" s="101" t="s">
        <v>171</v>
      </c>
      <c r="B6" s="102">
        <f>B20/$B$33</f>
        <v>0.66609199905963479</v>
      </c>
      <c r="C6" s="103" t="s">
        <v>172</v>
      </c>
      <c r="D6" s="104" t="s">
        <v>172</v>
      </c>
      <c r="E6" s="102">
        <f>E20/$B$33</f>
        <v>0.70527388135726043</v>
      </c>
      <c r="F6" s="103" t="s">
        <v>172</v>
      </c>
      <c r="G6" s="104" t="s">
        <v>172</v>
      </c>
      <c r="H6" s="102">
        <f>H20/$B$33</f>
        <v>0.76012851657393621</v>
      </c>
      <c r="I6" s="103" t="s">
        <v>172</v>
      </c>
      <c r="J6" s="104" t="s">
        <v>172</v>
      </c>
      <c r="K6" s="102">
        <f>K20/$B$33</f>
        <v>0.70527388135726043</v>
      </c>
      <c r="L6" s="103" t="s">
        <v>172</v>
      </c>
      <c r="M6" s="104" t="s">
        <v>172</v>
      </c>
      <c r="N6" s="102">
        <f>N20/$B$33</f>
        <v>0.3683096935976804</v>
      </c>
      <c r="O6" s="103" t="s">
        <v>172</v>
      </c>
      <c r="P6" s="104" t="s">
        <v>172</v>
      </c>
      <c r="Q6" s="105" t="s">
        <v>173</v>
      </c>
      <c r="R6" s="95"/>
      <c r="AB6" s="93"/>
    </row>
    <row r="7" spans="1:28" s="96" customFormat="1" ht="15.75" x14ac:dyDescent="0.2">
      <c r="A7" s="106" t="s">
        <v>174</v>
      </c>
      <c r="B7" s="102">
        <f>B21*$B$36/100/$B$33</f>
        <v>0.5654090588511872</v>
      </c>
      <c r="C7" s="107">
        <f t="shared" ref="C7:C12" si="0">B7-B$6</f>
        <v>-0.10068294020844759</v>
      </c>
      <c r="D7" s="108">
        <f t="shared" ref="D7:D12" si="1">B7/B$6*100</f>
        <v>84.884529411764703</v>
      </c>
      <c r="E7" s="102">
        <f>E21*$B$36/100/$B$33</f>
        <v>0.62497424574876581</v>
      </c>
      <c r="F7" s="107">
        <f t="shared" ref="F7:F15" si="2">E7-E$6</f>
        <v>-8.0299635608494624E-2</v>
      </c>
      <c r="G7" s="108">
        <f t="shared" ref="G7:G15" si="3">E7/E$6*100</f>
        <v>88.614403888888887</v>
      </c>
      <c r="H7" s="102">
        <f>H21*$B$36/100/$B$33</f>
        <v>0.69361227568372386</v>
      </c>
      <c r="I7" s="107">
        <f t="shared" ref="I7:I15" si="4">H7-H$6</f>
        <v>-6.6516240890212353E-2</v>
      </c>
      <c r="J7" s="108">
        <f t="shared" ref="J7:J15" si="5">H7/H$6*100</f>
        <v>91.249342783505156</v>
      </c>
      <c r="K7" s="102">
        <f>K21*$B$36/100/$B$33</f>
        <v>0.62181847425750336</v>
      </c>
      <c r="L7" s="107">
        <f t="shared" ref="L7:L15" si="6">K7-K$6</f>
        <v>-8.3455407099757073E-2</v>
      </c>
      <c r="M7" s="108">
        <f t="shared" ref="M7:M15" si="7">K7/K$6*100</f>
        <v>88.166950555555559</v>
      </c>
      <c r="N7" s="102">
        <f>N21*$B$36/100/$B$33</f>
        <v>0.34660890212365802</v>
      </c>
      <c r="O7" s="107">
        <f t="shared" ref="O7:O15" si="8">N7-N$6</f>
        <v>-2.1700791474022374E-2</v>
      </c>
      <c r="P7" s="108">
        <f t="shared" ref="P7:P15" si="9">N7/N$6*100</f>
        <v>94.108004255319159</v>
      </c>
      <c r="Q7" s="109" t="s">
        <v>175</v>
      </c>
      <c r="R7" s="95"/>
      <c r="AB7" s="93"/>
    </row>
    <row r="8" spans="1:28" s="96" customFormat="1" ht="15.75" x14ac:dyDescent="0.2">
      <c r="A8" s="110" t="s">
        <v>176</v>
      </c>
      <c r="B8" s="102">
        <f>B22*$B$36/100/$B$33</f>
        <v>0.5696167541728705</v>
      </c>
      <c r="C8" s="107">
        <f t="shared" si="0"/>
        <v>-9.6475244886764289E-2</v>
      </c>
      <c r="D8" s="108">
        <f t="shared" si="1"/>
        <v>85.516228235294122</v>
      </c>
      <c r="E8" s="102">
        <f>E22*$B$36/100/$B$33</f>
        <v>0.61432351696575493</v>
      </c>
      <c r="F8" s="107">
        <f t="shared" si="2"/>
        <v>-9.09503643915055E-2</v>
      </c>
      <c r="G8" s="108">
        <f t="shared" si="3"/>
        <v>87.104248888888876</v>
      </c>
      <c r="H8" s="102">
        <f>H22*$B$36/100/$B$33</f>
        <v>0.68769520413760665</v>
      </c>
      <c r="I8" s="107">
        <f t="shared" si="4"/>
        <v>-7.2433312436329556E-2</v>
      </c>
      <c r="J8" s="108">
        <f t="shared" si="5"/>
        <v>90.470912371134006</v>
      </c>
      <c r="K8" s="102">
        <f>K22*$B$36/100/$B$33</f>
        <v>0.60932687877125624</v>
      </c>
      <c r="L8" s="107">
        <f t="shared" si="6"/>
        <v>-9.5947002586004193E-2</v>
      </c>
      <c r="M8" s="108">
        <f t="shared" si="7"/>
        <v>86.39578111111112</v>
      </c>
      <c r="N8" s="102">
        <f>N22*$B$36/100/$B$33</f>
        <v>0.32609638743045216</v>
      </c>
      <c r="O8" s="107">
        <f t="shared" si="8"/>
        <v>-4.2213306167228237E-2</v>
      </c>
      <c r="P8" s="108">
        <f t="shared" si="9"/>
        <v>88.538638297872353</v>
      </c>
      <c r="Q8" s="109" t="s">
        <v>175</v>
      </c>
      <c r="AB8" s="93"/>
    </row>
    <row r="9" spans="1:28" s="96" customFormat="1" ht="15.75" x14ac:dyDescent="0.2">
      <c r="A9" s="110" t="s">
        <v>177</v>
      </c>
      <c r="B9" s="102">
        <f>B23*$B$36/100/$B$33</f>
        <v>0.57369295901575124</v>
      </c>
      <c r="C9" s="107">
        <f t="shared" si="0"/>
        <v>-9.2399040043883551E-2</v>
      </c>
      <c r="D9" s="108">
        <f t="shared" si="1"/>
        <v>86.128186470588247</v>
      </c>
      <c r="E9" s="102">
        <f>E23*$B$36/100/$B$33</f>
        <v>0.61406053600814992</v>
      </c>
      <c r="F9" s="107">
        <f t="shared" si="2"/>
        <v>-9.1213345349110519E-2</v>
      </c>
      <c r="G9" s="108">
        <f t="shared" si="3"/>
        <v>87.066961111111112</v>
      </c>
      <c r="H9" s="102">
        <f>H23*$B$36/100/$B$33</f>
        <v>0.69558463286576278</v>
      </c>
      <c r="I9" s="107">
        <f t="shared" si="4"/>
        <v>-6.4543883708173433E-2</v>
      </c>
      <c r="J9" s="108">
        <f t="shared" si="5"/>
        <v>91.508819587628849</v>
      </c>
      <c r="K9" s="102">
        <f>K23*$B$36/100/$B$33</f>
        <v>0.61669034558420177</v>
      </c>
      <c r="L9" s="107">
        <f t="shared" si="6"/>
        <v>-8.8583535773058664E-2</v>
      </c>
      <c r="M9" s="108">
        <f t="shared" si="7"/>
        <v>87.439838888888872</v>
      </c>
      <c r="N9" s="102">
        <f>N23*$B$36/100/$B$33</f>
        <v>0.35239448319097255</v>
      </c>
      <c r="O9" s="107">
        <f t="shared" si="8"/>
        <v>-1.5915210406707847E-2</v>
      </c>
      <c r="P9" s="108">
        <f t="shared" si="9"/>
        <v>95.678851063829811</v>
      </c>
      <c r="Q9" s="109" t="s">
        <v>175</v>
      </c>
      <c r="AB9" s="93"/>
    </row>
    <row r="10" spans="1:28" s="96" customFormat="1" ht="15.75" x14ac:dyDescent="0.2">
      <c r="A10" s="110" t="s">
        <v>178</v>
      </c>
      <c r="B10" s="102">
        <f>B24*$B$36/100/$B$33</f>
        <v>0.56606651124520024</v>
      </c>
      <c r="C10" s="107">
        <f t="shared" si="0"/>
        <v>-0.10002548781443454</v>
      </c>
      <c r="D10" s="108">
        <f t="shared" si="1"/>
        <v>84.983232352941187</v>
      </c>
      <c r="E10" s="102">
        <f>E24*$B$36/100/$B$33</f>
        <v>0.60590812632238855</v>
      </c>
      <c r="F10" s="107">
        <f t="shared" si="2"/>
        <v>-9.9365755034871883E-2</v>
      </c>
      <c r="G10" s="108">
        <f t="shared" si="3"/>
        <v>85.91104</v>
      </c>
      <c r="H10" s="102">
        <f>H24*$B$36/100/$B$33</f>
        <v>0.68769520413760665</v>
      </c>
      <c r="I10" s="107">
        <f t="shared" si="4"/>
        <v>-7.2433312436329556E-2</v>
      </c>
      <c r="J10" s="108">
        <f t="shared" si="5"/>
        <v>90.470912371134006</v>
      </c>
      <c r="K10" s="102">
        <f>K24*$B$36/100/$B$33</f>
        <v>0.63378410782854011</v>
      </c>
      <c r="L10" s="107">
        <f t="shared" si="6"/>
        <v>-7.1489773528720324E-2</v>
      </c>
      <c r="M10" s="108">
        <f t="shared" si="7"/>
        <v>89.863544444444443</v>
      </c>
      <c r="N10" s="102">
        <f>N24*$B$36/100/$B$33</f>
        <v>0.3030855536399969</v>
      </c>
      <c r="O10" s="107">
        <f t="shared" si="8"/>
        <v>-6.5224139957683502E-2</v>
      </c>
      <c r="P10" s="108">
        <f t="shared" si="9"/>
        <v>82.290952127659594</v>
      </c>
      <c r="Q10" s="109" t="s">
        <v>175</v>
      </c>
      <c r="AB10" s="93"/>
    </row>
    <row r="11" spans="1:28" s="96" customFormat="1" ht="31.5" x14ac:dyDescent="0.2">
      <c r="A11" s="241" t="s">
        <v>229</v>
      </c>
      <c r="B11" s="235">
        <f>AVERAGE(B7:B10)</f>
        <v>0.56869632082125221</v>
      </c>
      <c r="C11" s="236">
        <f t="shared" si="0"/>
        <v>-9.7395678238382577E-2</v>
      </c>
      <c r="D11" s="237">
        <f t="shared" si="1"/>
        <v>85.37804411764705</v>
      </c>
      <c r="E11" s="235">
        <f>AVERAGE(E7:E10)</f>
        <v>0.61481660626126478</v>
      </c>
      <c r="F11" s="236">
        <f t="shared" si="2"/>
        <v>-9.045727509599566E-2</v>
      </c>
      <c r="G11" s="237">
        <f t="shared" si="3"/>
        <v>87.174163472222219</v>
      </c>
      <c r="H11" s="235">
        <f>AVERAGE(H7:H10)</f>
        <v>0.69114682920617498</v>
      </c>
      <c r="I11" s="236">
        <f t="shared" si="4"/>
        <v>-6.8981687367761224E-2</v>
      </c>
      <c r="J11" s="237">
        <f t="shared" si="5"/>
        <v>90.924996778350504</v>
      </c>
      <c r="K11" s="235">
        <f>AVERAGE(K7:K10)</f>
        <v>0.62040495161037545</v>
      </c>
      <c r="L11" s="236">
        <f t="shared" si="6"/>
        <v>-8.486892974688498E-2</v>
      </c>
      <c r="M11" s="237">
        <f t="shared" si="7"/>
        <v>87.966528750000009</v>
      </c>
      <c r="N11" s="235">
        <f>AVERAGE(N7:N10)</f>
        <v>0.33204633159626984</v>
      </c>
      <c r="O11" s="236">
        <f t="shared" si="8"/>
        <v>-3.626336200141056E-2</v>
      </c>
      <c r="P11" s="237">
        <f t="shared" si="9"/>
        <v>90.154111436170197</v>
      </c>
      <c r="Q11" s="109"/>
      <c r="AB11" s="93"/>
    </row>
    <row r="12" spans="1:28" s="96" customFormat="1" ht="15.75" x14ac:dyDescent="0.2">
      <c r="A12" s="110" t="s">
        <v>24</v>
      </c>
      <c r="B12" s="102">
        <f>B25*$B$32/100/$B$33</f>
        <v>0.81967136196222856</v>
      </c>
      <c r="C12" s="107">
        <f t="shared" si="0"/>
        <v>0.15357936290259377</v>
      </c>
      <c r="D12" s="108">
        <f t="shared" si="1"/>
        <v>123.05677941176469</v>
      </c>
      <c r="E12" s="102">
        <f>E25*$B$32/100/$B$33</f>
        <v>0.86162443382180087</v>
      </c>
      <c r="F12" s="107">
        <f t="shared" si="2"/>
        <v>0.15635055246454044</v>
      </c>
      <c r="G12" s="108">
        <f t="shared" si="3"/>
        <v>122.16877111111111</v>
      </c>
      <c r="H12" s="102">
        <f>H25*$B$32/100/$B$33</f>
        <v>1.0061686309850324</v>
      </c>
      <c r="I12" s="107">
        <f t="shared" si="4"/>
        <v>0.24604011441109619</v>
      </c>
      <c r="J12" s="108">
        <f t="shared" si="5"/>
        <v>132.36822577319586</v>
      </c>
      <c r="K12" s="102">
        <f>K25*$B$32/100/$B$33</f>
        <v>0.81085769140349506</v>
      </c>
      <c r="L12" s="107">
        <f t="shared" si="6"/>
        <v>0.10558381004623463</v>
      </c>
      <c r="M12" s="108">
        <f t="shared" si="7"/>
        <v>114.97061111111111</v>
      </c>
      <c r="N12" s="102">
        <f>N25*$B$32/100/$B$33</f>
        <v>0.39802536243241121</v>
      </c>
      <c r="O12" s="107">
        <f t="shared" si="8"/>
        <v>2.9715668834730813E-2</v>
      </c>
      <c r="P12" s="108">
        <f t="shared" si="9"/>
        <v>108.06812021276595</v>
      </c>
      <c r="Q12" s="109" t="s">
        <v>179</v>
      </c>
      <c r="AB12" s="93"/>
    </row>
    <row r="13" spans="1:28" s="96" customFormat="1" ht="15.75" x14ac:dyDescent="0.2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1.2988088707781522</v>
      </c>
      <c r="F13" s="107">
        <f t="shared" si="2"/>
        <v>0.59353498942089178</v>
      </c>
      <c r="G13" s="108">
        <f t="shared" si="3"/>
        <v>184.15666666666667</v>
      </c>
      <c r="H13" s="102">
        <f>H26*$B$34/$B$33</f>
        <v>1.3700415327952353</v>
      </c>
      <c r="I13" s="107">
        <f t="shared" si="4"/>
        <v>0.60991301622129912</v>
      </c>
      <c r="J13" s="108">
        <f t="shared" si="5"/>
        <v>180.2381443298969</v>
      </c>
      <c r="K13" s="102">
        <f>K26*$B$34/$B$33</f>
        <v>1.144471436407805</v>
      </c>
      <c r="L13" s="107">
        <f t="shared" si="6"/>
        <v>0.43919755505054459</v>
      </c>
      <c r="M13" s="108">
        <f t="shared" si="7"/>
        <v>162.27333333333331</v>
      </c>
      <c r="N13" s="102">
        <f>N26*$B$34/$B$33</f>
        <v>0.62328579264947881</v>
      </c>
      <c r="O13" s="107">
        <f t="shared" si="8"/>
        <v>0.25497609905179841</v>
      </c>
      <c r="P13" s="108">
        <f t="shared" si="9"/>
        <v>169.22872340425533</v>
      </c>
      <c r="Q13" s="109" t="s">
        <v>180</v>
      </c>
      <c r="AB13" s="93"/>
    </row>
    <row r="14" spans="1:28" s="96" customFormat="1" ht="15.75" x14ac:dyDescent="0.2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1.2643797508032284</v>
      </c>
      <c r="F14" s="107">
        <f t="shared" si="2"/>
        <v>0.55910586944596796</v>
      </c>
      <c r="G14" s="108">
        <f t="shared" si="3"/>
        <v>179.27499999999995</v>
      </c>
      <c r="H14" s="102">
        <f>H27*$B$34/$B$33</f>
        <v>1.3676671107279992</v>
      </c>
      <c r="I14" s="107">
        <f t="shared" si="4"/>
        <v>0.60753859415406297</v>
      </c>
      <c r="J14" s="108">
        <f t="shared" si="5"/>
        <v>179.92577319587625</v>
      </c>
      <c r="K14" s="102">
        <f>K27*$B$34/$B$33</f>
        <v>1.0957957840294648</v>
      </c>
      <c r="L14" s="107">
        <f t="shared" si="6"/>
        <v>0.39052190267220432</v>
      </c>
      <c r="M14" s="108">
        <f t="shared" si="7"/>
        <v>155.37166666666667</v>
      </c>
      <c r="N14" s="102">
        <f>N27*$B$34/$B$33</f>
        <v>0.59241830577540933</v>
      </c>
      <c r="O14" s="107">
        <f t="shared" si="8"/>
        <v>0.22410861217772893</v>
      </c>
      <c r="P14" s="108">
        <f t="shared" si="9"/>
        <v>160.84787234042551</v>
      </c>
      <c r="Q14" s="109" t="s">
        <v>180</v>
      </c>
      <c r="AB14" s="93"/>
    </row>
    <row r="15" spans="1:28" s="96" customFormat="1" ht="16.5" thickBot="1" x14ac:dyDescent="0.25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1.1595345192383042</v>
      </c>
      <c r="F15" s="119">
        <f t="shared" si="2"/>
        <v>0.45426063788104376</v>
      </c>
      <c r="G15" s="120">
        <f t="shared" si="3"/>
        <v>164.40911111111109</v>
      </c>
      <c r="H15" s="118">
        <f>H28*$B$35/10/$B$33</f>
        <v>1.2126024606222083</v>
      </c>
      <c r="I15" s="119">
        <f t="shared" si="4"/>
        <v>0.45247394404827213</v>
      </c>
      <c r="J15" s="120">
        <f t="shared" si="5"/>
        <v>159.52597938144331</v>
      </c>
      <c r="K15" s="118">
        <f>K28*$B$35/10/$B$33</f>
        <v>1.1330005485463521</v>
      </c>
      <c r="L15" s="119">
        <f t="shared" si="6"/>
        <v>0.42772666718909169</v>
      </c>
      <c r="M15" s="120">
        <f t="shared" si="7"/>
        <v>160.64688888888887</v>
      </c>
      <c r="N15" s="118">
        <f>N28*$B$35/10/$B$33</f>
        <v>0.54659979625421207</v>
      </c>
      <c r="O15" s="119">
        <f t="shared" si="8"/>
        <v>0.17829010265653167</v>
      </c>
      <c r="P15" s="120">
        <f t="shared" si="9"/>
        <v>148.40765957446811</v>
      </c>
      <c r="Q15" s="121" t="s">
        <v>180</v>
      </c>
      <c r="AB15" s="93"/>
    </row>
    <row r="16" spans="1:28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36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36" t="s">
        <v>214</v>
      </c>
      <c r="X19" s="436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</v>
      </c>
      <c r="C21" s="144" t="s">
        <v>172</v>
      </c>
      <c r="D21" s="145" t="s">
        <v>172</v>
      </c>
      <c r="E21" s="143">
        <v>47.53</v>
      </c>
      <c r="F21" s="144" t="s">
        <v>172</v>
      </c>
      <c r="G21" s="145" t="s">
        <v>172</v>
      </c>
      <c r="H21" s="143">
        <v>52.75</v>
      </c>
      <c r="I21" s="144" t="s">
        <v>172</v>
      </c>
      <c r="J21" s="145" t="s">
        <v>172</v>
      </c>
      <c r="K21" s="143">
        <v>47.29</v>
      </c>
      <c r="L21" s="144" t="s">
        <v>172</v>
      </c>
      <c r="M21" s="145" t="s">
        <v>172</v>
      </c>
      <c r="N21" s="143">
        <v>26.36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43.32</v>
      </c>
      <c r="C22" s="144" t="s">
        <v>172</v>
      </c>
      <c r="D22" s="145" t="s">
        <v>172</v>
      </c>
      <c r="E22" s="143">
        <v>46.72</v>
      </c>
      <c r="F22" s="144" t="s">
        <v>172</v>
      </c>
      <c r="G22" s="145" t="s">
        <v>172</v>
      </c>
      <c r="H22" s="143">
        <v>52.3</v>
      </c>
      <c r="I22" s="144" t="s">
        <v>172</v>
      </c>
      <c r="J22" s="145" t="s">
        <v>172</v>
      </c>
      <c r="K22" s="143">
        <v>46.34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220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46.9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221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43.05</v>
      </c>
      <c r="C24" s="144" t="s">
        <v>172</v>
      </c>
      <c r="D24" s="145" t="s">
        <v>172</v>
      </c>
      <c r="E24" s="143">
        <v>46.08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48.2</v>
      </c>
      <c r="L24" s="144" t="s">
        <v>172</v>
      </c>
      <c r="M24" s="145" t="s">
        <v>172</v>
      </c>
      <c r="N24" s="143">
        <v>23.05</v>
      </c>
      <c r="O24" s="144" t="s">
        <v>172</v>
      </c>
      <c r="P24" s="145" t="s">
        <v>172</v>
      </c>
      <c r="Q24" s="147" t="s">
        <v>222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1.0940000000000001</v>
      </c>
      <c r="F26" s="144" t="s">
        <v>172</v>
      </c>
      <c r="G26" s="145" t="s">
        <v>172</v>
      </c>
      <c r="H26" s="153">
        <v>1.1539999999999999</v>
      </c>
      <c r="I26" s="144" t="s">
        <v>172</v>
      </c>
      <c r="J26" s="145" t="s">
        <v>172</v>
      </c>
      <c r="K26" s="153">
        <v>0.96399999999999997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1.0649999999999999</v>
      </c>
      <c r="F27" s="144" t="s">
        <v>172</v>
      </c>
      <c r="G27" s="145" t="s">
        <v>172</v>
      </c>
      <c r="H27" s="153">
        <v>1.1519999999999999</v>
      </c>
      <c r="I27" s="144" t="s">
        <v>172</v>
      </c>
      <c r="J27" s="145" t="s">
        <v>172</v>
      </c>
      <c r="K27" s="153">
        <v>0.92300000000000004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4.37</v>
      </c>
      <c r="F28" s="158" t="s">
        <v>172</v>
      </c>
      <c r="G28" s="159" t="s">
        <v>172</v>
      </c>
      <c r="H28" s="234">
        <v>4.57</v>
      </c>
      <c r="I28" s="158" t="s">
        <v>172</v>
      </c>
      <c r="J28" s="159" t="s">
        <v>172</v>
      </c>
      <c r="K28" s="234">
        <v>4.2699999999999996</v>
      </c>
      <c r="L28" s="158" t="s">
        <v>172</v>
      </c>
      <c r="M28" s="159" t="s">
        <v>172</v>
      </c>
      <c r="N28" s="234">
        <v>2.06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35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8.9977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2.5522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3.03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6.7720000000000002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3.3559000000000001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4"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C31:E31"/>
    <mergeCell ref="C32:E36"/>
    <mergeCell ref="A38:E38"/>
    <mergeCell ref="B19:D19"/>
    <mergeCell ref="E19:G19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AG22" sqref="AG2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32" s="93" customFormat="1" ht="16.5" thickBot="1" x14ac:dyDescent="0.25">
      <c r="A2" s="492" t="s">
        <v>163</v>
      </c>
      <c r="B2" s="492"/>
      <c r="C2" s="492"/>
      <c r="D2" s="493">
        <v>44165</v>
      </c>
      <c r="E2" s="493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2"/>
      <c r="R2" s="442"/>
    </row>
    <row r="3" spans="1:32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  <c r="Z3" s="455" t="str">
        <f>B3</f>
        <v>АИ-92</v>
      </c>
      <c r="AA3" s="455" t="str">
        <f>E3</f>
        <v>АИ-95</v>
      </c>
      <c r="AB3" s="455" t="str">
        <f>H3</f>
        <v>АИ-98</v>
      </c>
      <c r="AC3" s="455" t="str">
        <f>K3</f>
        <v>ДТ</v>
      </c>
      <c r="AD3" s="443" t="str">
        <f>N3</f>
        <v>ПБА</v>
      </c>
    </row>
    <row r="4" spans="1:32" s="96" customFormat="1" ht="15.75" customHeight="1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Z4" s="523" t="s">
        <v>303</v>
      </c>
      <c r="AA4" s="524"/>
      <c r="AB4" s="524"/>
      <c r="AC4" s="524"/>
      <c r="AD4" s="525"/>
    </row>
    <row r="5" spans="1:32" s="96" customFormat="1" ht="16.5" thickBot="1" x14ac:dyDescent="0.3">
      <c r="A5" s="496"/>
      <c r="B5" s="98" t="s">
        <v>169</v>
      </c>
      <c r="C5" s="99" t="s">
        <v>169</v>
      </c>
      <c r="D5" s="100" t="s">
        <v>170</v>
      </c>
      <c r="E5" s="98" t="s">
        <v>169</v>
      </c>
      <c r="F5" s="99" t="s">
        <v>169</v>
      </c>
      <c r="G5" s="100" t="s">
        <v>170</v>
      </c>
      <c r="H5" s="98" t="s">
        <v>169</v>
      </c>
      <c r="I5" s="99" t="s">
        <v>169</v>
      </c>
      <c r="J5" s="100" t="s">
        <v>170</v>
      </c>
      <c r="K5" s="98" t="s">
        <v>169</v>
      </c>
      <c r="L5" s="99" t="s">
        <v>169</v>
      </c>
      <c r="M5" s="100" t="s">
        <v>170</v>
      </c>
      <c r="N5" s="98" t="s">
        <v>169</v>
      </c>
      <c r="O5" s="99" t="s">
        <v>169</v>
      </c>
      <c r="P5" s="100" t="s">
        <v>170</v>
      </c>
      <c r="Q5" s="508"/>
      <c r="R5" s="95"/>
      <c r="Z5" s="526" t="s">
        <v>169</v>
      </c>
      <c r="AA5" s="527"/>
      <c r="AB5" s="527"/>
      <c r="AC5" s="527"/>
      <c r="AD5" s="528"/>
    </row>
    <row r="6" spans="1:32" s="96" customFormat="1" ht="15.75" x14ac:dyDescent="0.25">
      <c r="A6" s="101" t="s">
        <v>171</v>
      </c>
      <c r="B6" s="102">
        <f>B20/$B$33</f>
        <v>0.65848084595421619</v>
      </c>
      <c r="C6" s="103" t="s">
        <v>172</v>
      </c>
      <c r="D6" s="104" t="s">
        <v>172</v>
      </c>
      <c r="E6" s="102">
        <f>E20/$B$33</f>
        <v>0.69721501336328773</v>
      </c>
      <c r="F6" s="103" t="s">
        <v>172</v>
      </c>
      <c r="G6" s="104" t="s">
        <v>172</v>
      </c>
      <c r="H6" s="102">
        <f>H20/$B$33</f>
        <v>0.75144284773598791</v>
      </c>
      <c r="I6" s="103" t="s">
        <v>172</v>
      </c>
      <c r="J6" s="104" t="s">
        <v>172</v>
      </c>
      <c r="K6" s="102">
        <f>K20/$B$33</f>
        <v>0.69721501336328773</v>
      </c>
      <c r="L6" s="103" t="s">
        <v>172</v>
      </c>
      <c r="M6" s="104" t="s">
        <v>172</v>
      </c>
      <c r="N6" s="102">
        <f>N20/$B$33</f>
        <v>0.36410117364527245</v>
      </c>
      <c r="O6" s="103" t="s">
        <v>172</v>
      </c>
      <c r="P6" s="104" t="s">
        <v>172</v>
      </c>
      <c r="Q6" s="105" t="s">
        <v>173</v>
      </c>
      <c r="R6" s="95"/>
      <c r="Z6" s="464">
        <f>'Цены на 30.11.2020'!B6-'Цены на 23.11.2020'!B6</f>
        <v>-7.6111531054185999E-3</v>
      </c>
      <c r="AA6" s="465">
        <f>E6-'Цены на 23.11.2020'!E6</f>
        <v>-8.058867993972707E-3</v>
      </c>
      <c r="AB6" s="465">
        <f>H6-'Цены на 23.11.2020'!H6</f>
        <v>-8.6856688379483016E-3</v>
      </c>
      <c r="AC6" s="465">
        <f>K6-'Цены на 23.11.2020'!K6</f>
        <v>-8.058867993972707E-3</v>
      </c>
      <c r="AD6" s="466">
        <f>N6-'Цены на 23.11.2020'!N6</f>
        <v>-4.208519952407952E-3</v>
      </c>
    </row>
    <row r="7" spans="1:32" s="96" customFormat="1" ht="15.75" x14ac:dyDescent="0.25">
      <c r="A7" s="106" t="s">
        <v>174</v>
      </c>
      <c r="B7" s="102">
        <f>B21*$B$36/100/$B$33</f>
        <v>0.56775389859394965</v>
      </c>
      <c r="C7" s="107">
        <f t="shared" ref="C7:C12" si="0">B7-B$6</f>
        <v>-9.0726947360266541E-2</v>
      </c>
      <c r="D7" s="108">
        <f t="shared" ref="D7:D12" si="1">B7/B$6*100</f>
        <v>86.221778823529405</v>
      </c>
      <c r="E7" s="102">
        <f>E21*$B$36/100/$B$33</f>
        <v>0.6276424371538134</v>
      </c>
      <c r="F7" s="107">
        <f t="shared" ref="F7:F15" si="2">E7-E$6</f>
        <v>-6.9572576209474324E-2</v>
      </c>
      <c r="G7" s="108">
        <f t="shared" ref="G7:G15" si="3">E7/E$6*100</f>
        <v>90.021360000000001</v>
      </c>
      <c r="H7" s="102">
        <f>H21*$B$36/100/$B$33</f>
        <v>0.69584149978696208</v>
      </c>
      <c r="I7" s="107">
        <f t="shared" ref="I7:I15" si="4">H7-H$6</f>
        <v>-5.5601347949025826E-2</v>
      </c>
      <c r="J7" s="108">
        <f t="shared" ref="J7:J15" si="5">H7/H$6*100</f>
        <v>92.600721649484541</v>
      </c>
      <c r="K7" s="102">
        <f>K21*$B$36/100/$B$33</f>
        <v>0.62381695781849167</v>
      </c>
      <c r="L7" s="107">
        <f t="shared" ref="L7:L15" si="6">K7-K$6</f>
        <v>-7.3398055544796059E-2</v>
      </c>
      <c r="M7" s="108">
        <f t="shared" ref="M7:M15" si="7">K7/K$6*100</f>
        <v>89.472680000000011</v>
      </c>
      <c r="N7" s="102">
        <f>N21*$B$36/100/$B$33</f>
        <v>0.3487781849169152</v>
      </c>
      <c r="O7" s="107">
        <f t="shared" ref="O7:O15" si="8">N7-N$6</f>
        <v>-1.5322988728357245E-2</v>
      </c>
      <c r="P7" s="108">
        <f t="shared" ref="P7:P15" si="9">N7/N$6*100</f>
        <v>95.791557446808511</v>
      </c>
      <c r="Q7" s="109" t="s">
        <v>175</v>
      </c>
      <c r="R7" s="95"/>
      <c r="Z7" s="459">
        <f>'Цены на 30.11.2020'!B7-'Цены на 23.11.2020'!B7</f>
        <v>2.3448397427624501E-3</v>
      </c>
      <c r="AA7" s="458">
        <f>E7-'Цены на 23.11.2020'!E7</f>
        <v>2.668191405047593E-3</v>
      </c>
      <c r="AB7" s="458">
        <f>H7-'Цены на 23.11.2020'!H7</f>
        <v>2.2292241032382254E-3</v>
      </c>
      <c r="AC7" s="458">
        <f>K7-'Цены на 23.11.2020'!K7</f>
        <v>1.9984835609883067E-3</v>
      </c>
      <c r="AD7" s="460">
        <f>N7-'Цены на 23.11.2020'!N7</f>
        <v>2.1692827932571768E-3</v>
      </c>
      <c r="AF7" s="453"/>
    </row>
    <row r="8" spans="1:32" s="96" customFormat="1" ht="15.75" x14ac:dyDescent="0.25">
      <c r="A8" s="110" t="s">
        <v>176</v>
      </c>
      <c r="B8" s="102">
        <f>B22*$B$36/100/$B$33</f>
        <v>0.57395381337878149</v>
      </c>
      <c r="C8" s="107">
        <f t="shared" si="0"/>
        <v>-8.4527032575434702E-2</v>
      </c>
      <c r="D8" s="108">
        <f t="shared" si="1"/>
        <v>87.16332705882354</v>
      </c>
      <c r="E8" s="102">
        <f>E22*$B$36/100/$B$33</f>
        <v>0.61893617383894339</v>
      </c>
      <c r="F8" s="107">
        <f t="shared" si="2"/>
        <v>-7.8278839524344335E-2</v>
      </c>
      <c r="G8" s="108">
        <f t="shared" si="3"/>
        <v>88.77264000000001</v>
      </c>
      <c r="H8" s="102">
        <f>H22*$B$36/100/$B$33</f>
        <v>0.69122454196847039</v>
      </c>
      <c r="I8" s="107">
        <f t="shared" si="4"/>
        <v>-6.0218305767517522E-2</v>
      </c>
      <c r="J8" s="108">
        <f t="shared" si="5"/>
        <v>91.986309278350518</v>
      </c>
      <c r="K8" s="102">
        <f>K22*$B$36/100/$B$33</f>
        <v>0.61550643374520653</v>
      </c>
      <c r="L8" s="107">
        <f t="shared" si="6"/>
        <v>-8.1708579618081201E-2</v>
      </c>
      <c r="M8" s="108">
        <f t="shared" si="7"/>
        <v>88.280719999999988</v>
      </c>
      <c r="N8" s="102">
        <f>N22*$B$36/100/$B$33</f>
        <v>0.31857008947592669</v>
      </c>
      <c r="O8" s="107">
        <f t="shared" si="8"/>
        <v>-4.5531084169345759E-2</v>
      </c>
      <c r="P8" s="108">
        <f t="shared" si="9"/>
        <v>87.494936170212767</v>
      </c>
      <c r="Q8" s="109" t="s">
        <v>175</v>
      </c>
      <c r="Z8" s="459">
        <f>'Цены на 30.11.2020'!B8-'Цены на 23.11.2020'!B8</f>
        <v>4.3370592059109869E-3</v>
      </c>
      <c r="AA8" s="458">
        <f>E8-'Цены на 23.11.2020'!E8</f>
        <v>4.6126568731884587E-3</v>
      </c>
      <c r="AB8" s="458">
        <f>H8-'Цены на 23.11.2020'!H8</f>
        <v>3.5293378308637324E-3</v>
      </c>
      <c r="AC8" s="458">
        <f>K8-'Цены на 23.11.2020'!K8</f>
        <v>6.1795549739502853E-3</v>
      </c>
      <c r="AD8" s="460">
        <f>N8-'Цены на 23.11.2020'!N8</f>
        <v>-7.5262979545254738E-3</v>
      </c>
    </row>
    <row r="9" spans="1:32" s="96" customFormat="1" ht="15.75" x14ac:dyDescent="0.25">
      <c r="A9" s="110" t="s">
        <v>177</v>
      </c>
      <c r="B9" s="102">
        <f>B23*$B$36/100/$B$33</f>
        <v>0.57553677034512141</v>
      </c>
      <c r="C9" s="107">
        <f t="shared" si="0"/>
        <v>-8.2944075609094781E-2</v>
      </c>
      <c r="D9" s="108">
        <f t="shared" si="1"/>
        <v>87.403722352941173</v>
      </c>
      <c r="E9" s="102">
        <f>E23*$B$36/100/$B$33</f>
        <v>0.61616599914784831</v>
      </c>
      <c r="F9" s="107">
        <f t="shared" si="2"/>
        <v>-8.1049014215439419E-2</v>
      </c>
      <c r="G9" s="108">
        <f t="shared" si="3"/>
        <v>88.375320000000002</v>
      </c>
      <c r="H9" s="102">
        <f>H23*$B$36/100/$B$33</f>
        <v>0.69782019599488698</v>
      </c>
      <c r="I9" s="107">
        <f t="shared" si="4"/>
        <v>-5.3622651741100924E-2</v>
      </c>
      <c r="J9" s="108">
        <f t="shared" si="5"/>
        <v>92.864041237113398</v>
      </c>
      <c r="K9" s="102">
        <f>K23*$B$36/100/$B$33</f>
        <v>0.61840852151683001</v>
      </c>
      <c r="L9" s="107">
        <f t="shared" si="6"/>
        <v>-7.8806491846457716E-2</v>
      </c>
      <c r="M9" s="108">
        <f t="shared" si="7"/>
        <v>88.696960000000004</v>
      </c>
      <c r="N9" s="102">
        <f>N23*$B$36/100/$B$33</f>
        <v>0.35352705581593524</v>
      </c>
      <c r="O9" s="107">
        <f t="shared" si="8"/>
        <v>-1.0574117829337204E-2</v>
      </c>
      <c r="P9" s="108">
        <f t="shared" si="9"/>
        <v>97.095829787234052</v>
      </c>
      <c r="Q9" s="109" t="s">
        <v>175</v>
      </c>
      <c r="Z9" s="459">
        <f>'Цены на 30.11.2020'!B9-'Цены на 23.11.2020'!B9</f>
        <v>1.8438113293701708E-3</v>
      </c>
      <c r="AA9" s="458">
        <f>E9-'Цены на 23.11.2020'!E9</f>
        <v>2.1054631396983936E-3</v>
      </c>
      <c r="AB9" s="458">
        <f>H9-'Цены на 23.11.2020'!H9</f>
        <v>2.2355631291242073E-3</v>
      </c>
      <c r="AC9" s="458">
        <f>K9-'Цены на 23.11.2020'!K9</f>
        <v>1.7181759326282409E-3</v>
      </c>
      <c r="AD9" s="460">
        <f>N9-'Цены на 23.11.2020'!N9</f>
        <v>1.1325726249626911E-3</v>
      </c>
      <c r="AF9" s="454"/>
    </row>
    <row r="10" spans="1:32" s="96" customFormat="1" ht="15.75" x14ac:dyDescent="0.25">
      <c r="A10" s="110" t="s">
        <v>178</v>
      </c>
      <c r="B10" s="102">
        <f>B24*$B$36/100/$B$33</f>
        <v>0.56788581167447794</v>
      </c>
      <c r="C10" s="107">
        <f t="shared" si="0"/>
        <v>-9.0595034279738251E-2</v>
      </c>
      <c r="D10" s="108">
        <f t="shared" si="1"/>
        <v>86.241811764705872</v>
      </c>
      <c r="E10" s="102">
        <f>E24*$B$36/100/$B$33</f>
        <v>0.60891077971878993</v>
      </c>
      <c r="F10" s="107">
        <f t="shared" si="2"/>
        <v>-8.8304233644497798E-2</v>
      </c>
      <c r="G10" s="108">
        <f t="shared" si="3"/>
        <v>87.334720000000004</v>
      </c>
      <c r="H10" s="102">
        <f>H24*$B$36/100/$B$33</f>
        <v>0.68990541116318693</v>
      </c>
      <c r="I10" s="107">
        <f t="shared" si="4"/>
        <v>-6.1537436572800974E-2</v>
      </c>
      <c r="J10" s="108">
        <f t="shared" si="5"/>
        <v>91.810762886597914</v>
      </c>
      <c r="K10" s="102">
        <f>K24*$B$36/100/$B$33</f>
        <v>0.63700826587132509</v>
      </c>
      <c r="L10" s="107">
        <f t="shared" si="6"/>
        <v>-6.0206747491962642E-2</v>
      </c>
      <c r="M10" s="108">
        <f t="shared" si="7"/>
        <v>91.364679999999993</v>
      </c>
      <c r="N10" s="102">
        <f>N24*$B$36/100/$B$33</f>
        <v>0.31065530464422669</v>
      </c>
      <c r="O10" s="107">
        <f t="shared" si="8"/>
        <v>-5.3445869001045754E-2</v>
      </c>
      <c r="P10" s="108">
        <f t="shared" si="9"/>
        <v>85.321148936170232</v>
      </c>
      <c r="Q10" s="109" t="s">
        <v>175</v>
      </c>
      <c r="Z10" s="459">
        <f>'Цены на 30.11.2020'!B10-'Цены на 23.11.2020'!B10</f>
        <v>1.8193004292776926E-3</v>
      </c>
      <c r="AA10" s="458">
        <f>E10-'Цены на 23.11.2020'!E10</f>
        <v>3.002653396401378E-3</v>
      </c>
      <c r="AB10" s="458">
        <f>H10-'Цены на 23.11.2020'!H10</f>
        <v>2.2102070255802797E-3</v>
      </c>
      <c r="AC10" s="458">
        <f>K10-'Цены на 23.11.2020'!K10</f>
        <v>3.2241580427849748E-3</v>
      </c>
      <c r="AD10" s="460">
        <f>N10-'Цены на 23.11.2020'!N10</f>
        <v>7.5697510042297966E-3</v>
      </c>
    </row>
    <row r="11" spans="1:32" s="96" customFormat="1" ht="31.5" x14ac:dyDescent="0.25">
      <c r="A11" s="241" t="s">
        <v>229</v>
      </c>
      <c r="B11" s="235">
        <f>AVERAGE(B7:B10)</f>
        <v>0.57128257349808265</v>
      </c>
      <c r="C11" s="236">
        <f t="shared" si="0"/>
        <v>-8.7198272456133541E-2</v>
      </c>
      <c r="D11" s="237">
        <f t="shared" si="1"/>
        <v>86.757660000000001</v>
      </c>
      <c r="E11" s="235">
        <f>AVERAGE(E7:E10)</f>
        <v>0.61791384746484879</v>
      </c>
      <c r="F11" s="236">
        <f t="shared" si="2"/>
        <v>-7.9301165898438941E-2</v>
      </c>
      <c r="G11" s="237">
        <f t="shared" si="3"/>
        <v>88.626010000000008</v>
      </c>
      <c r="H11" s="235">
        <f>AVERAGE(H7:H10)</f>
        <v>0.69369791222837662</v>
      </c>
      <c r="I11" s="236">
        <f t="shared" si="4"/>
        <v>-5.7744935507611284E-2</v>
      </c>
      <c r="J11" s="237">
        <f t="shared" si="5"/>
        <v>92.315458762886593</v>
      </c>
      <c r="K11" s="235">
        <f>AVERAGE(K7:K10)</f>
        <v>0.62368504473796327</v>
      </c>
      <c r="L11" s="236">
        <f t="shared" si="6"/>
        <v>-7.352996862532446E-2</v>
      </c>
      <c r="M11" s="237">
        <f t="shared" si="7"/>
        <v>89.453759999999988</v>
      </c>
      <c r="N11" s="235">
        <f>AVERAGE(N7:N10)</f>
        <v>0.3328826587132509</v>
      </c>
      <c r="O11" s="236">
        <f t="shared" si="8"/>
        <v>-3.1218514932021546E-2</v>
      </c>
      <c r="P11" s="237">
        <f t="shared" si="9"/>
        <v>91.425868085106373</v>
      </c>
      <c r="Q11" s="109"/>
      <c r="Z11" s="459">
        <f>'Цены на 30.11.2020'!B11-'Цены на 23.11.2020'!B11</f>
        <v>2.5862526768304361E-3</v>
      </c>
      <c r="AA11" s="458">
        <f>E11-'Цены на 23.11.2020'!E11</f>
        <v>3.0972412035840113E-3</v>
      </c>
      <c r="AB11" s="458">
        <f>H11-'Цены на 23.11.2020'!H11</f>
        <v>2.551083022201639E-3</v>
      </c>
      <c r="AC11" s="458">
        <f>K11-'Цены на 23.11.2020'!K11</f>
        <v>3.2800931275878131E-3</v>
      </c>
      <c r="AD11" s="460">
        <f>N11-'Цены на 23.11.2020'!N11</f>
        <v>8.3632711698106155E-4</v>
      </c>
    </row>
    <row r="12" spans="1:32" s="96" customFormat="1" ht="15.75" x14ac:dyDescent="0.25">
      <c r="A12" s="110" t="s">
        <v>24</v>
      </c>
      <c r="B12" s="102">
        <f>B25*$B$32/100/$B$33</f>
        <v>0.81678942169888047</v>
      </c>
      <c r="C12" s="107">
        <f t="shared" si="0"/>
        <v>0.15830857574466428</v>
      </c>
      <c r="D12" s="108">
        <f t="shared" si="1"/>
        <v>124.04148529411762</v>
      </c>
      <c r="E12" s="102">
        <f>E25*$B$32/100/$B$33</f>
        <v>0.85859498779873722</v>
      </c>
      <c r="F12" s="107">
        <f t="shared" si="2"/>
        <v>0.16137997443544949</v>
      </c>
      <c r="G12" s="108">
        <f t="shared" si="3"/>
        <v>123.14637111111111</v>
      </c>
      <c r="H12" s="102">
        <f>H25*$B$32/100/$B$33</f>
        <v>1.00263097184026</v>
      </c>
      <c r="I12" s="107">
        <f t="shared" si="4"/>
        <v>0.25118812410427205</v>
      </c>
      <c r="J12" s="108">
        <f t="shared" si="5"/>
        <v>133.4274422680412</v>
      </c>
      <c r="K12" s="102">
        <f>K25*$B$32/100/$B$33</f>
        <v>0.80800673974512904</v>
      </c>
      <c r="L12" s="107">
        <f t="shared" si="6"/>
        <v>0.11079172638184132</v>
      </c>
      <c r="M12" s="108">
        <f t="shared" si="7"/>
        <v>115.8906111111111</v>
      </c>
      <c r="N12" s="102">
        <f>N25*$B$32/100/$B$33</f>
        <v>0.39662591703141331</v>
      </c>
      <c r="O12" s="107">
        <f t="shared" si="8"/>
        <v>3.2524743386140864E-2</v>
      </c>
      <c r="P12" s="108">
        <f t="shared" si="9"/>
        <v>108.93288617021275</v>
      </c>
      <c r="Q12" s="109" t="s">
        <v>179</v>
      </c>
      <c r="Z12" s="459">
        <f>'Цены на 30.11.2020'!B12-'Цены на 23.11.2020'!B12</f>
        <v>-2.8819402633480928E-3</v>
      </c>
      <c r="AA12" s="458">
        <f>E12-'Цены на 23.11.2020'!E12</f>
        <v>-3.0294460230636533E-3</v>
      </c>
      <c r="AB12" s="458">
        <f>H12-'Цены на 23.11.2020'!H12</f>
        <v>-3.5376591447724426E-3</v>
      </c>
      <c r="AC12" s="458">
        <f>K12-'Цены на 23.11.2020'!K12</f>
        <v>-2.8509516583660188E-3</v>
      </c>
      <c r="AD12" s="460">
        <f>N12-'Цены на 23.11.2020'!N12</f>
        <v>-1.3994454009979007E-3</v>
      </c>
    </row>
    <row r="13" spans="1:32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1.2929734670953248</v>
      </c>
      <c r="F13" s="107">
        <f t="shared" si="2"/>
        <v>0.59575845373203706</v>
      </c>
      <c r="G13" s="108">
        <f t="shared" si="3"/>
        <v>185.44831111111114</v>
      </c>
      <c r="H13" s="102">
        <f>H26*$B$34/$B$33</f>
        <v>1.3645402641670217</v>
      </c>
      <c r="I13" s="107">
        <f t="shared" si="4"/>
        <v>0.61309741643103377</v>
      </c>
      <c r="J13" s="108">
        <f t="shared" si="5"/>
        <v>181.58936082474227</v>
      </c>
      <c r="K13" s="102">
        <f>K26*$B$34/$B$33</f>
        <v>1.1498398729519308</v>
      </c>
      <c r="L13" s="107">
        <f t="shared" si="6"/>
        <v>0.45262485958864307</v>
      </c>
      <c r="M13" s="108">
        <f t="shared" si="7"/>
        <v>164.91897777777777</v>
      </c>
      <c r="N13" s="102">
        <f>N26*$B$34/$B$33</f>
        <v>0.62620947437734831</v>
      </c>
      <c r="O13" s="107">
        <f t="shared" si="8"/>
        <v>0.26210830073207586</v>
      </c>
      <c r="P13" s="108">
        <f t="shared" si="9"/>
        <v>171.98776595744684</v>
      </c>
      <c r="Q13" s="109" t="s">
        <v>180</v>
      </c>
      <c r="Z13" s="459"/>
      <c r="AA13" s="458">
        <f>E13-'Цены на 23.11.2020'!E13</f>
        <v>-5.8354036828274225E-3</v>
      </c>
      <c r="AB13" s="458">
        <f>H13-'Цены на 23.11.2020'!H13</f>
        <v>-5.5012686282136514E-3</v>
      </c>
      <c r="AC13" s="458">
        <f>K13-'Цены на 23.11.2020'!K13</f>
        <v>5.3684365441257764E-3</v>
      </c>
      <c r="AD13" s="460">
        <f>N13-'Цены на 23.11.2020'!N13</f>
        <v>2.9236817278694982E-3</v>
      </c>
    </row>
    <row r="14" spans="1:32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1.2524189487546966</v>
      </c>
      <c r="F14" s="107">
        <f t="shared" si="2"/>
        <v>0.55520393539140889</v>
      </c>
      <c r="G14" s="108">
        <f t="shared" si="3"/>
        <v>179.63166666666669</v>
      </c>
      <c r="H14" s="102">
        <f>H27*$B$34/$B$33</f>
        <v>1.3466485648990976</v>
      </c>
      <c r="I14" s="107">
        <f t="shared" si="4"/>
        <v>0.59520571716310966</v>
      </c>
      <c r="J14" s="108">
        <f t="shared" si="5"/>
        <v>179.20838144329898</v>
      </c>
      <c r="K14" s="102">
        <f>K27*$B$34/$B$33</f>
        <v>1.1152492543672774</v>
      </c>
      <c r="L14" s="107">
        <f t="shared" si="6"/>
        <v>0.41803424100398967</v>
      </c>
      <c r="M14" s="108">
        <f t="shared" si="7"/>
        <v>159.95772222222223</v>
      </c>
      <c r="N14" s="102">
        <f>N27*$B$34/$B$33</f>
        <v>0.5951971956462796</v>
      </c>
      <c r="O14" s="107">
        <f t="shared" si="8"/>
        <v>0.23109602200100715</v>
      </c>
      <c r="P14" s="108">
        <f t="shared" si="9"/>
        <v>163.47027659574471</v>
      </c>
      <c r="Q14" s="109" t="s">
        <v>180</v>
      </c>
      <c r="Z14" s="459"/>
      <c r="AA14" s="458">
        <f>E14-'Цены на 23.11.2020'!E14</f>
        <v>-1.1960802048531782E-2</v>
      </c>
      <c r="AB14" s="458">
        <f>H14-'Цены на 23.11.2020'!H14</f>
        <v>-2.1018545828901614E-2</v>
      </c>
      <c r="AC14" s="458">
        <f>K14-'Цены на 23.11.2020'!K14</f>
        <v>1.9453470337812639E-2</v>
      </c>
      <c r="AD14" s="460">
        <f>N14-'Цены на 23.11.2020'!N14</f>
        <v>2.7788898708702714E-3</v>
      </c>
    </row>
    <row r="15" spans="1:32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1.1751341364217376</v>
      </c>
      <c r="F15" s="119">
        <f t="shared" si="2"/>
        <v>0.47791912305844986</v>
      </c>
      <c r="G15" s="120">
        <f t="shared" si="3"/>
        <v>168.54687777777778</v>
      </c>
      <c r="H15" s="118">
        <f>H28*$B$35/10/$B$33</f>
        <v>1.2442596738583105</v>
      </c>
      <c r="I15" s="119">
        <f t="shared" si="4"/>
        <v>0.49281682612232258</v>
      </c>
      <c r="J15" s="120">
        <f t="shared" si="5"/>
        <v>165.58274226804124</v>
      </c>
      <c r="K15" s="118">
        <f>K28*$B$35/10/$B$33</f>
        <v>1.1671581128713637</v>
      </c>
      <c r="L15" s="119">
        <f t="shared" si="6"/>
        <v>0.469943099508076</v>
      </c>
      <c r="M15" s="120">
        <f t="shared" si="7"/>
        <v>167.40289444444443</v>
      </c>
      <c r="N15" s="118">
        <f>N28*$B$35/10/$B$33</f>
        <v>0.56363899755974745</v>
      </c>
      <c r="O15" s="119">
        <f t="shared" si="8"/>
        <v>0.199537823914475</v>
      </c>
      <c r="P15" s="120">
        <f t="shared" si="9"/>
        <v>154.80285106382979</v>
      </c>
      <c r="Q15" s="121" t="s">
        <v>180</v>
      </c>
      <c r="Z15" s="461"/>
      <c r="AA15" s="462">
        <f>E15-'Цены на 23.11.2020'!E15</f>
        <v>1.559961718343339E-2</v>
      </c>
      <c r="AB15" s="462">
        <f>H15-'Цены на 23.11.2020'!H15</f>
        <v>3.1657213236102155E-2</v>
      </c>
      <c r="AC15" s="462">
        <f>K15-'Цены на 23.11.2020'!K15</f>
        <v>3.4157564325011602E-2</v>
      </c>
      <c r="AD15" s="463">
        <f>N15-'Цены на 23.11.2020'!N15</f>
        <v>1.7039201305535379E-2</v>
      </c>
    </row>
    <row r="16" spans="1:32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4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41" t="s">
        <v>214</v>
      </c>
      <c r="X19" s="441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43.04</v>
      </c>
      <c r="C21" s="144" t="s">
        <v>172</v>
      </c>
      <c r="D21" s="145" t="s">
        <v>172</v>
      </c>
      <c r="E21" s="143">
        <v>47.58</v>
      </c>
      <c r="F21" s="144" t="s">
        <v>172</v>
      </c>
      <c r="G21" s="145" t="s">
        <v>172</v>
      </c>
      <c r="H21" s="143">
        <v>52.75</v>
      </c>
      <c r="I21" s="144" t="s">
        <v>172</v>
      </c>
      <c r="J21" s="145" t="s">
        <v>172</v>
      </c>
      <c r="K21" s="143">
        <v>47.29</v>
      </c>
      <c r="L21" s="144" t="s">
        <v>172</v>
      </c>
      <c r="M21" s="145" t="s">
        <v>172</v>
      </c>
      <c r="N21" s="143">
        <v>26.44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43.51</v>
      </c>
      <c r="C22" s="144" t="s">
        <v>172</v>
      </c>
      <c r="D22" s="145" t="s">
        <v>172</v>
      </c>
      <c r="E22" s="143">
        <v>46.92</v>
      </c>
      <c r="F22" s="144" t="s">
        <v>172</v>
      </c>
      <c r="G22" s="145" t="s">
        <v>172</v>
      </c>
      <c r="H22" s="143">
        <v>52.4</v>
      </c>
      <c r="I22" s="144" t="s">
        <v>172</v>
      </c>
      <c r="J22" s="145" t="s">
        <v>172</v>
      </c>
      <c r="K22" s="143">
        <v>46.66</v>
      </c>
      <c r="L22" s="144" t="s">
        <v>172</v>
      </c>
      <c r="M22" s="145" t="s">
        <v>172</v>
      </c>
      <c r="N22" s="143">
        <v>24.15</v>
      </c>
      <c r="O22" s="144" t="s">
        <v>172</v>
      </c>
      <c r="P22" s="145" t="s">
        <v>172</v>
      </c>
      <c r="Q22" s="147" t="s">
        <v>300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46.71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46.88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301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43.05</v>
      </c>
      <c r="C24" s="144" t="s">
        <v>172</v>
      </c>
      <c r="D24" s="145" t="s">
        <v>172</v>
      </c>
      <c r="E24" s="143">
        <v>46.16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48.29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302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23.25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1.0840000000000001</v>
      </c>
      <c r="F26" s="144" t="s">
        <v>172</v>
      </c>
      <c r="G26" s="145" t="s">
        <v>172</v>
      </c>
      <c r="H26" s="153">
        <v>1.1439999999999999</v>
      </c>
      <c r="I26" s="144" t="s">
        <v>172</v>
      </c>
      <c r="J26" s="145" t="s">
        <v>172</v>
      </c>
      <c r="K26" s="153">
        <v>0.96399999999999997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</v>
      </c>
      <c r="F27" s="144" t="s">
        <v>172</v>
      </c>
      <c r="G27" s="145" t="s">
        <v>172</v>
      </c>
      <c r="H27" s="153">
        <v>1.129</v>
      </c>
      <c r="I27" s="144" t="s">
        <v>172</v>
      </c>
      <c r="J27" s="145" t="s">
        <v>172</v>
      </c>
      <c r="K27" s="153">
        <v>0.93500000000000005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4.42</v>
      </c>
      <c r="F28" s="158" t="s">
        <v>172</v>
      </c>
      <c r="G28" s="159" t="s">
        <v>172</v>
      </c>
      <c r="H28" s="234">
        <v>4.68</v>
      </c>
      <c r="I28" s="158" t="s">
        <v>172</v>
      </c>
      <c r="J28" s="159" t="s">
        <v>172</v>
      </c>
      <c r="K28" s="234">
        <v>4.3899999999999997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4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9.0696999999999992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2.5817000000000001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3.0794000000000001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6.8639000000000001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3.4056000000000002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A29:P2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J30" sqref="J30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32" s="93" customFormat="1" ht="16.5" thickBot="1" x14ac:dyDescent="0.25">
      <c r="A2" s="492" t="s">
        <v>163</v>
      </c>
      <c r="B2" s="492"/>
      <c r="C2" s="492"/>
      <c r="D2" s="493">
        <v>44172</v>
      </c>
      <c r="E2" s="493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  <c r="R2" s="448"/>
    </row>
    <row r="3" spans="1:32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  <c r="Z3" s="455" t="str">
        <f>B3</f>
        <v>АИ-92</v>
      </c>
      <c r="AA3" s="455" t="str">
        <f>E3</f>
        <v>АИ-95</v>
      </c>
      <c r="AB3" s="455" t="str">
        <f>H3</f>
        <v>АИ-98</v>
      </c>
      <c r="AC3" s="455" t="str">
        <f>K3</f>
        <v>ДТ</v>
      </c>
      <c r="AD3" s="449" t="str">
        <f>N3</f>
        <v>ПБА</v>
      </c>
    </row>
    <row r="4" spans="1:32" s="96" customFormat="1" ht="15.75" customHeight="1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Z4" s="523" t="s">
        <v>303</v>
      </c>
      <c r="AA4" s="524"/>
      <c r="AB4" s="524"/>
      <c r="AC4" s="524"/>
      <c r="AD4" s="525"/>
    </row>
    <row r="5" spans="1:32" s="96" customFormat="1" ht="16.5" thickBot="1" x14ac:dyDescent="0.3">
      <c r="A5" s="496"/>
      <c r="B5" s="456" t="s">
        <v>169</v>
      </c>
      <c r="C5" s="457" t="s">
        <v>169</v>
      </c>
      <c r="D5" s="452" t="s">
        <v>170</v>
      </c>
      <c r="E5" s="456" t="s">
        <v>169</v>
      </c>
      <c r="F5" s="457" t="s">
        <v>169</v>
      </c>
      <c r="G5" s="452" t="s">
        <v>170</v>
      </c>
      <c r="H5" s="456" t="s">
        <v>169</v>
      </c>
      <c r="I5" s="457" t="s">
        <v>169</v>
      </c>
      <c r="J5" s="452" t="s">
        <v>170</v>
      </c>
      <c r="K5" s="456" t="s">
        <v>169</v>
      </c>
      <c r="L5" s="457" t="s">
        <v>169</v>
      </c>
      <c r="M5" s="452" t="s">
        <v>170</v>
      </c>
      <c r="N5" s="456" t="s">
        <v>169</v>
      </c>
      <c r="O5" s="457" t="s">
        <v>169</v>
      </c>
      <c r="P5" s="452" t="s">
        <v>170</v>
      </c>
      <c r="Q5" s="508"/>
      <c r="R5" s="95"/>
      <c r="Z5" s="526" t="s">
        <v>169</v>
      </c>
      <c r="AA5" s="527"/>
      <c r="AB5" s="527"/>
      <c r="AC5" s="527"/>
      <c r="AD5" s="528"/>
    </row>
    <row r="6" spans="1:32" s="96" customFormat="1" ht="15.75" x14ac:dyDescent="0.25">
      <c r="A6" s="101" t="s">
        <v>171</v>
      </c>
      <c r="B6" s="102">
        <f>B20/$B$33</f>
        <v>0.66155582363700038</v>
      </c>
      <c r="C6" s="103" t="s">
        <v>172</v>
      </c>
      <c r="D6" s="104" t="s">
        <v>172</v>
      </c>
      <c r="E6" s="102">
        <f>E20/$B$33</f>
        <v>0.70047087208623571</v>
      </c>
      <c r="F6" s="103" t="s">
        <v>172</v>
      </c>
      <c r="G6" s="104" t="s">
        <v>172</v>
      </c>
      <c r="H6" s="102">
        <f>H20/$B$33</f>
        <v>0.75495193991516518</v>
      </c>
      <c r="I6" s="103" t="s">
        <v>172</v>
      </c>
      <c r="J6" s="104" t="s">
        <v>172</v>
      </c>
      <c r="K6" s="102">
        <f>K20/$B$33</f>
        <v>0.70047087208623571</v>
      </c>
      <c r="L6" s="103" t="s">
        <v>172</v>
      </c>
      <c r="M6" s="104" t="s">
        <v>172</v>
      </c>
      <c r="N6" s="102">
        <f>N20/$B$33</f>
        <v>0.36580145542281195</v>
      </c>
      <c r="O6" s="103" t="s">
        <v>172</v>
      </c>
      <c r="P6" s="104" t="s">
        <v>172</v>
      </c>
      <c r="Q6" s="105" t="s">
        <v>173</v>
      </c>
      <c r="R6" s="95"/>
      <c r="Z6" s="464">
        <f>'Цены на 07.12.2020'!B6-'Цены на 30.11.2020'!B6</f>
        <v>3.0749776827841968E-3</v>
      </c>
      <c r="AA6" s="465">
        <f>E6-'Цены на 30.11.2020'!E6</f>
        <v>3.2558587229479796E-3</v>
      </c>
      <c r="AB6" s="465">
        <f>H6-'Цены на 30.11.2020'!H6</f>
        <v>3.5090921791772756E-3</v>
      </c>
      <c r="AC6" s="465">
        <f>K6-'Цены на 30.11.2020'!K6</f>
        <v>3.2558587229479796E-3</v>
      </c>
      <c r="AD6" s="466">
        <f>N6-'Цены на 30.11.2020'!N6</f>
        <v>1.7002817775395029E-3</v>
      </c>
    </row>
    <row r="7" spans="1:32" s="96" customFormat="1" ht="15.75" x14ac:dyDescent="0.25">
      <c r="A7" s="106" t="s">
        <v>174</v>
      </c>
      <c r="B7" s="102">
        <f>B21*$B$36/100/$B$33</f>
        <v>0.57949850177063478</v>
      </c>
      <c r="C7" s="107">
        <f t="shared" ref="C7:C12" si="0">B7-B$6</f>
        <v>-8.2057321866365607E-2</v>
      </c>
      <c r="D7" s="108">
        <f t="shared" ref="D7:D12" si="1">B7/B$6*100</f>
        <v>87.596311764705902</v>
      </c>
      <c r="E7" s="102">
        <f>E21*$B$36/100/$B$33</f>
        <v>0.64065431762462544</v>
      </c>
      <c r="F7" s="107">
        <f t="shared" ref="F7:F15" si="2">E7-E$6</f>
        <v>-5.9816554461610272E-2</v>
      </c>
      <c r="G7" s="108">
        <f t="shared" ref="G7:G15" si="3">E7/E$6*100</f>
        <v>91.460522222222224</v>
      </c>
      <c r="H7" s="102">
        <f>H21*$B$36/100/$B$33</f>
        <v>0.71056592209207292</v>
      </c>
      <c r="I7" s="107">
        <f t="shared" ref="I7:I15" si="4">H7-H$6</f>
        <v>-4.4386017823092261E-2</v>
      </c>
      <c r="J7" s="108">
        <f t="shared" ref="J7:J15" si="5">H7/H$6*100</f>
        <v>94.120682989690707</v>
      </c>
      <c r="K7" s="102">
        <f>K21*$B$36/100/$B$33</f>
        <v>0.63715200217924273</v>
      </c>
      <c r="L7" s="107">
        <f t="shared" ref="L7:L15" si="6">K7-K$6</f>
        <v>-6.3318869906992981E-2</v>
      </c>
      <c r="M7" s="108">
        <f t="shared" ref="M7:M15" si="7">K7/K$6*100</f>
        <v>90.960527777777784</v>
      </c>
      <c r="N7" s="102">
        <f>N21*$B$36/100/$B$33</f>
        <v>0.35602383546717509</v>
      </c>
      <c r="O7" s="107">
        <f t="shared" ref="O7:O15" si="8">N7-N$6</f>
        <v>-9.7776199556368626E-3</v>
      </c>
      <c r="P7" s="108">
        <f t="shared" ref="P7:P15" si="9">N7/N$6*100</f>
        <v>97.327069148936161</v>
      </c>
      <c r="Q7" s="109" t="s">
        <v>175</v>
      </c>
      <c r="R7" s="95"/>
      <c r="Z7" s="459">
        <f>'Цены на 07.12.2020'!B7-'Цены на 30.11.2020'!B7</f>
        <v>1.1744603176685131E-2</v>
      </c>
      <c r="AA7" s="458">
        <f>E7-'Цены на 30.11.2020'!E7</f>
        <v>1.3011880470812032E-2</v>
      </c>
      <c r="AB7" s="458">
        <f>H7-'Цены на 30.11.2020'!H7</f>
        <v>1.472442230511084E-2</v>
      </c>
      <c r="AC7" s="458">
        <f>K7-'Цены на 30.11.2020'!K7</f>
        <v>1.3335044360751058E-2</v>
      </c>
      <c r="AD7" s="460">
        <f>N7-'Цены на 30.11.2020'!N7</f>
        <v>7.2456505502598856E-3</v>
      </c>
      <c r="AF7" s="453"/>
    </row>
    <row r="8" spans="1:32" s="96" customFormat="1" ht="15.75" x14ac:dyDescent="0.25">
      <c r="A8" s="110" t="s">
        <v>176</v>
      </c>
      <c r="B8" s="102">
        <f>B22*$B$36/100/$B$33</f>
        <v>0.58515608825932985</v>
      </c>
      <c r="C8" s="107">
        <f t="shared" si="0"/>
        <v>-7.639973537767053E-2</v>
      </c>
      <c r="D8" s="108">
        <f t="shared" si="1"/>
        <v>88.451505882352947</v>
      </c>
      <c r="E8" s="102">
        <f>E22*$B$36/100/$B$33</f>
        <v>0.63135971125034041</v>
      </c>
      <c r="F8" s="107">
        <f t="shared" si="2"/>
        <v>-6.9111160835895302E-2</v>
      </c>
      <c r="G8" s="108">
        <f t="shared" si="3"/>
        <v>90.133613888888874</v>
      </c>
      <c r="H8" s="102">
        <f>H22*$B$36/100/$B$33</f>
        <v>0.70719831108689724</v>
      </c>
      <c r="I8" s="107">
        <f t="shared" si="4"/>
        <v>-4.7753628828267947E-2</v>
      </c>
      <c r="J8" s="108">
        <f t="shared" si="5"/>
        <v>93.674613402061851</v>
      </c>
      <c r="K8" s="102">
        <f>K22*$B$36/100/$B$33</f>
        <v>0.63041678016889136</v>
      </c>
      <c r="L8" s="107">
        <f t="shared" si="6"/>
        <v>-7.0054091917344352E-2</v>
      </c>
      <c r="M8" s="108">
        <f t="shared" si="7"/>
        <v>89.999000000000009</v>
      </c>
      <c r="N8" s="102">
        <f>N22*$B$36/100/$B$33</f>
        <v>0.31520839008444568</v>
      </c>
      <c r="O8" s="107">
        <f t="shared" si="8"/>
        <v>-5.0593065338366272E-2</v>
      </c>
      <c r="P8" s="108">
        <f t="shared" si="9"/>
        <v>86.169255319148945</v>
      </c>
      <c r="Q8" s="109" t="s">
        <v>175</v>
      </c>
      <c r="Z8" s="459">
        <f>'Цены на 07.12.2020'!B8-'Цены на 30.11.2020'!B8</f>
        <v>1.1202274880548369E-2</v>
      </c>
      <c r="AA8" s="458">
        <f>E8-'Цены на 30.11.2020'!E8</f>
        <v>1.2423537411397012E-2</v>
      </c>
      <c r="AB8" s="458">
        <f>H8-'Цены на 30.11.2020'!H8</f>
        <v>1.597376911842685E-2</v>
      </c>
      <c r="AC8" s="458">
        <f>K8-'Цены на 30.11.2020'!K8</f>
        <v>1.4910346423684828E-2</v>
      </c>
      <c r="AD8" s="460">
        <f>N8-'Цены на 30.11.2020'!N8</f>
        <v>-3.36169939148101E-3</v>
      </c>
    </row>
    <row r="9" spans="1:32" s="96" customFormat="1" ht="15.75" x14ac:dyDescent="0.25">
      <c r="A9" s="110" t="s">
        <v>177</v>
      </c>
      <c r="B9" s="102">
        <f>B23*$B$36/100/$B$33</f>
        <v>0.5877154726232634</v>
      </c>
      <c r="C9" s="107">
        <f t="shared" si="0"/>
        <v>-7.3840351013736982E-2</v>
      </c>
      <c r="D9" s="108">
        <f t="shared" si="1"/>
        <v>88.838379411764706</v>
      </c>
      <c r="E9" s="102">
        <f>E23*$B$36/100/$B$33</f>
        <v>0.62920444020702804</v>
      </c>
      <c r="F9" s="107">
        <f t="shared" si="2"/>
        <v>-7.126643187920767E-2</v>
      </c>
      <c r="G9" s="108">
        <f t="shared" si="3"/>
        <v>89.825925000000012</v>
      </c>
      <c r="H9" s="102">
        <f>H23*$B$36/100/$B$33</f>
        <v>0.71258648869517838</v>
      </c>
      <c r="I9" s="107">
        <f t="shared" si="4"/>
        <v>-4.2365451219986805E-2</v>
      </c>
      <c r="J9" s="108">
        <f t="shared" si="5"/>
        <v>94.38832474226804</v>
      </c>
      <c r="K9" s="102">
        <f>K23*$B$36/100/$B$33</f>
        <v>0.63149441569054754</v>
      </c>
      <c r="L9" s="107">
        <f t="shared" si="6"/>
        <v>-6.8976456395688168E-2</v>
      </c>
      <c r="M9" s="108">
        <f t="shared" si="7"/>
        <v>90.15284444444444</v>
      </c>
      <c r="N9" s="102">
        <f>N23*$B$36/100/$B$33</f>
        <v>0.36100789975483522</v>
      </c>
      <c r="O9" s="107">
        <f t="shared" si="8"/>
        <v>-4.7935556679767344E-3</v>
      </c>
      <c r="P9" s="108">
        <f t="shared" si="9"/>
        <v>98.689574468085127</v>
      </c>
      <c r="Q9" s="109" t="s">
        <v>175</v>
      </c>
      <c r="Z9" s="459">
        <f>'Цены на 07.12.2020'!B9-'Цены на 30.11.2020'!B9</f>
        <v>1.2178702278141995E-2</v>
      </c>
      <c r="AA9" s="458">
        <f>E9-'Цены на 30.11.2020'!E9</f>
        <v>1.3038441059179728E-2</v>
      </c>
      <c r="AB9" s="458">
        <f>H9-'Цены на 30.11.2020'!H9</f>
        <v>1.4766292700291395E-2</v>
      </c>
      <c r="AC9" s="458">
        <f>K9-'Цены на 30.11.2020'!K9</f>
        <v>1.3085894173717527E-2</v>
      </c>
      <c r="AD9" s="460">
        <f>N9-'Цены на 30.11.2020'!N9</f>
        <v>7.4808439388999726E-3</v>
      </c>
      <c r="AF9" s="454"/>
    </row>
    <row r="10" spans="1:32" s="96" customFormat="1" ht="15.75" x14ac:dyDescent="0.25">
      <c r="A10" s="110" t="s">
        <v>178</v>
      </c>
      <c r="B10" s="102">
        <f>B24*$B$36/100/$B$33</f>
        <v>0.57990261509125574</v>
      </c>
      <c r="C10" s="107">
        <f t="shared" si="0"/>
        <v>-8.1653208545744649E-2</v>
      </c>
      <c r="D10" s="108">
        <f t="shared" si="1"/>
        <v>87.657397058823534</v>
      </c>
      <c r="E10" s="102">
        <f>E24*$B$36/100/$B$33</f>
        <v>0.62058335603377823</v>
      </c>
      <c r="F10" s="107">
        <f t="shared" si="2"/>
        <v>-7.9887516052457475E-2</v>
      </c>
      <c r="G10" s="108">
        <f t="shared" si="3"/>
        <v>88.595169444444437</v>
      </c>
      <c r="H10" s="102">
        <f>H24*$B$36/100/$B$33</f>
        <v>0.70450422228275666</v>
      </c>
      <c r="I10" s="107">
        <f t="shared" si="4"/>
        <v>-5.0447717632408517E-2</v>
      </c>
      <c r="J10" s="108">
        <f t="shared" si="5"/>
        <v>93.31775773195875</v>
      </c>
      <c r="K10" s="102">
        <f>K24*$B$36/100/$B$33</f>
        <v>0.64887128847725406</v>
      </c>
      <c r="L10" s="107">
        <f t="shared" si="6"/>
        <v>-5.1599583608981647E-2</v>
      </c>
      <c r="M10" s="108">
        <f t="shared" si="7"/>
        <v>92.6335861111111</v>
      </c>
      <c r="N10" s="102">
        <f>N24*$B$36/100/$B$33</f>
        <v>0.31722895668755108</v>
      </c>
      <c r="O10" s="107">
        <f t="shared" si="8"/>
        <v>-4.8572498735260872E-2</v>
      </c>
      <c r="P10" s="108">
        <f t="shared" si="9"/>
        <v>86.72162234042554</v>
      </c>
      <c r="Q10" s="109" t="s">
        <v>175</v>
      </c>
      <c r="Z10" s="459">
        <f>'Цены на 07.12.2020'!B10-'Цены на 30.11.2020'!B10</f>
        <v>1.2016803416777799E-2</v>
      </c>
      <c r="AA10" s="458">
        <f>E10-'Цены на 30.11.2020'!E10</f>
        <v>1.1672576314988303E-2</v>
      </c>
      <c r="AB10" s="458">
        <f>H10-'Цены на 30.11.2020'!H10</f>
        <v>1.4598811119569732E-2</v>
      </c>
      <c r="AC10" s="458">
        <f>K10-'Цены на 30.11.2020'!K10</f>
        <v>1.1863022605928975E-2</v>
      </c>
      <c r="AD10" s="460">
        <f>N10-'Цены на 30.11.2020'!N10</f>
        <v>6.573652043324385E-3</v>
      </c>
    </row>
    <row r="11" spans="1:32" s="96" customFormat="1" ht="31.5" x14ac:dyDescent="0.25">
      <c r="A11" s="241" t="s">
        <v>229</v>
      </c>
      <c r="B11" s="235">
        <f>AVERAGE(B7:B10)</f>
        <v>0.58306816943612094</v>
      </c>
      <c r="C11" s="236">
        <f t="shared" si="0"/>
        <v>-7.8487654200879442E-2</v>
      </c>
      <c r="D11" s="237">
        <f t="shared" si="1"/>
        <v>88.135898529411776</v>
      </c>
      <c r="E11" s="235">
        <f>AVERAGE(E7:E10)</f>
        <v>0.63045045627894303</v>
      </c>
      <c r="F11" s="236">
        <f t="shared" si="2"/>
        <v>-7.002041580729268E-2</v>
      </c>
      <c r="G11" s="237">
        <f t="shared" si="3"/>
        <v>90.003807638888887</v>
      </c>
      <c r="H11" s="235">
        <f>AVERAGE(H7:H10)</f>
        <v>0.70871373603922627</v>
      </c>
      <c r="I11" s="236">
        <f t="shared" si="4"/>
        <v>-4.623820387593891E-2</v>
      </c>
      <c r="J11" s="237">
        <f t="shared" si="5"/>
        <v>93.875344716494837</v>
      </c>
      <c r="K11" s="235">
        <f>AVERAGE(K7:K10)</f>
        <v>0.63698362162898392</v>
      </c>
      <c r="L11" s="236">
        <f t="shared" si="6"/>
        <v>-6.3487250457251787E-2</v>
      </c>
      <c r="M11" s="237">
        <f t="shared" si="7"/>
        <v>90.936489583333341</v>
      </c>
      <c r="N11" s="235">
        <f>AVERAGE(N7:N10)</f>
        <v>0.33736727049850174</v>
      </c>
      <c r="O11" s="236">
        <f t="shared" si="8"/>
        <v>-2.8434184924310213E-2</v>
      </c>
      <c r="P11" s="237">
        <f t="shared" si="9"/>
        <v>92.226880319148947</v>
      </c>
      <c r="Q11" s="109"/>
      <c r="Z11" s="459">
        <f>'Цены на 07.12.2020'!B11-'Цены на 30.11.2020'!B11</f>
        <v>1.1785595938038296E-2</v>
      </c>
      <c r="AA11" s="458">
        <f>E11-'Цены на 30.11.2020'!E11</f>
        <v>1.2536608814094241E-2</v>
      </c>
      <c r="AB11" s="458">
        <f>H11-'Цены на 30.11.2020'!H11</f>
        <v>1.5015823810849649E-2</v>
      </c>
      <c r="AC11" s="458">
        <f>K11-'Цены на 30.11.2020'!K11</f>
        <v>1.3298576891020653E-2</v>
      </c>
      <c r="AD11" s="460">
        <f>N11-'Цены на 30.11.2020'!N11</f>
        <v>4.484611785250836E-3</v>
      </c>
    </row>
    <row r="12" spans="1:32" s="96" customFormat="1" ht="15.75" x14ac:dyDescent="0.25">
      <c r="A12" s="110" t="s">
        <v>24</v>
      </c>
      <c r="B12" s="102">
        <f>B25*$B$32/100/$B$33</f>
        <v>0.83097287621123106</v>
      </c>
      <c r="C12" s="107">
        <f t="shared" si="0"/>
        <v>0.16941705257423068</v>
      </c>
      <c r="D12" s="108">
        <f t="shared" si="1"/>
        <v>125.60888235294121</v>
      </c>
      <c r="E12" s="102">
        <f>E25*$B$32/100/$B$33</f>
        <v>0.86421179125968017</v>
      </c>
      <c r="F12" s="107">
        <f t="shared" si="2"/>
        <v>0.16374091917344447</v>
      </c>
      <c r="G12" s="108">
        <f t="shared" si="3"/>
        <v>123.37583555555558</v>
      </c>
      <c r="H12" s="102">
        <f>H25*$B$32/100/$B$33</f>
        <v>1.0091900377475971</v>
      </c>
      <c r="I12" s="107">
        <f t="shared" si="4"/>
        <v>0.2542380978324319</v>
      </c>
      <c r="J12" s="108">
        <f t="shared" si="5"/>
        <v>133.67606391752577</v>
      </c>
      <c r="K12" s="102">
        <f>K25*$B$32/100/$B$33</f>
        <v>0.82177913375102152</v>
      </c>
      <c r="L12" s="107">
        <f t="shared" si="6"/>
        <v>0.12130826166478581</v>
      </c>
      <c r="M12" s="108">
        <f t="shared" si="7"/>
        <v>117.31810222222224</v>
      </c>
      <c r="N12" s="102">
        <f>N25*$B$32/100/$B$33</f>
        <v>0.3992205860606296</v>
      </c>
      <c r="O12" s="107">
        <f t="shared" si="8"/>
        <v>3.3419130637817651E-2</v>
      </c>
      <c r="P12" s="108">
        <f t="shared" si="9"/>
        <v>109.13586595744682</v>
      </c>
      <c r="Q12" s="109" t="s">
        <v>179</v>
      </c>
      <c r="Z12" s="459">
        <f>'Цены на 07.12.2020'!B12-'Цены на 30.11.2020'!B12</f>
        <v>1.4183454512350591E-2</v>
      </c>
      <c r="AA12" s="458">
        <f>E12-'Цены на 30.11.2020'!E12</f>
        <v>5.616803460942954E-3</v>
      </c>
      <c r="AB12" s="458">
        <f>H12-'Цены на 30.11.2020'!H12</f>
        <v>6.5590659073371249E-3</v>
      </c>
      <c r="AC12" s="458">
        <f>K12-'Цены на 30.11.2020'!K12</f>
        <v>1.3772394005892474E-2</v>
      </c>
      <c r="AD12" s="460">
        <f>N12-'Цены на 30.11.2020'!N12</f>
        <v>2.5946690292162899E-3</v>
      </c>
    </row>
    <row r="13" spans="1:32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1.3180363466552516</v>
      </c>
      <c r="F13" s="107">
        <f t="shared" si="2"/>
        <v>0.61756547456901589</v>
      </c>
      <c r="G13" s="108">
        <f t="shared" si="3"/>
        <v>188.16433333333336</v>
      </c>
      <c r="H13" s="102">
        <f>H26*$B$34/$B$33</f>
        <v>1.390990387983033</v>
      </c>
      <c r="I13" s="107">
        <f t="shared" si="4"/>
        <v>0.6360384480678678</v>
      </c>
      <c r="J13" s="108">
        <f t="shared" si="5"/>
        <v>184.24886597938143</v>
      </c>
      <c r="K13" s="102">
        <f>K26*$B$34/$B$33</f>
        <v>1.1721282639996886</v>
      </c>
      <c r="L13" s="107">
        <f t="shared" si="6"/>
        <v>0.47165739191345291</v>
      </c>
      <c r="M13" s="108">
        <f t="shared" si="7"/>
        <v>167.33433333333335</v>
      </c>
      <c r="N13" s="102">
        <f>N26*$B$34/$B$33</f>
        <v>0.63834786161808765</v>
      </c>
      <c r="O13" s="107">
        <f t="shared" si="8"/>
        <v>0.2725464061952757</v>
      </c>
      <c r="P13" s="108">
        <f t="shared" si="9"/>
        <v>174.50664893617022</v>
      </c>
      <c r="Q13" s="109" t="s">
        <v>180</v>
      </c>
      <c r="Z13" s="459"/>
      <c r="AA13" s="458">
        <f>E13-'Цены на 30.11.2020'!E13</f>
        <v>2.5062879559926809E-2</v>
      </c>
      <c r="AB13" s="458">
        <f>H13-'Цены на 30.11.2020'!H13</f>
        <v>2.6450123816011306E-2</v>
      </c>
      <c r="AC13" s="458">
        <f>K13-'Цены на 30.11.2020'!K13</f>
        <v>2.2288391047757816E-2</v>
      </c>
      <c r="AD13" s="460">
        <f>N13-'Цены на 30.11.2020'!N13</f>
        <v>1.2138387240739346E-2</v>
      </c>
    </row>
    <row r="14" spans="1:32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1.2766957232361753</v>
      </c>
      <c r="F14" s="107">
        <f t="shared" si="2"/>
        <v>0.5762248511499396</v>
      </c>
      <c r="G14" s="108">
        <f t="shared" si="3"/>
        <v>182.26249999999999</v>
      </c>
      <c r="H14" s="102">
        <f>H27*$B$34/$B$33</f>
        <v>1.3727518776510876</v>
      </c>
      <c r="I14" s="107">
        <f t="shared" si="4"/>
        <v>0.61779993773592246</v>
      </c>
      <c r="J14" s="108">
        <f t="shared" si="5"/>
        <v>181.83301546391752</v>
      </c>
      <c r="K14" s="102">
        <f>K27*$B$34/$B$33</f>
        <v>1.1648328598669104</v>
      </c>
      <c r="L14" s="107">
        <f t="shared" si="6"/>
        <v>0.46436198778067472</v>
      </c>
      <c r="M14" s="108">
        <f t="shared" si="7"/>
        <v>166.29283333333333</v>
      </c>
      <c r="N14" s="102">
        <f>N27*$B$34/$B$33</f>
        <v>0.60673444370938234</v>
      </c>
      <c r="O14" s="107">
        <f t="shared" si="8"/>
        <v>0.24093298828657039</v>
      </c>
      <c r="P14" s="108">
        <f t="shared" si="9"/>
        <v>165.86441489361704</v>
      </c>
      <c r="Q14" s="109" t="s">
        <v>180</v>
      </c>
      <c r="Z14" s="459"/>
      <c r="AA14" s="458">
        <f>E14-'Цены на 30.11.2020'!E14</f>
        <v>2.4276774481478691E-2</v>
      </c>
      <c r="AB14" s="458">
        <f>H14-'Цены на 30.11.2020'!H14</f>
        <v>2.6103312751990071E-2</v>
      </c>
      <c r="AC14" s="458">
        <f>K14-'Цены на 30.11.2020'!K14</f>
        <v>4.9583605499633032E-2</v>
      </c>
      <c r="AD14" s="460">
        <f>N14-'Цены на 30.11.2020'!N14</f>
        <v>1.1537248063102745E-2</v>
      </c>
    </row>
    <row r="15" spans="1:32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1.2077691559325994</v>
      </c>
      <c r="F15" s="119">
        <f t="shared" si="2"/>
        <v>0.50729828384636366</v>
      </c>
      <c r="G15" s="120">
        <f t="shared" si="3"/>
        <v>172.42246666666671</v>
      </c>
      <c r="H15" s="118">
        <f>H28*$B$35/10/$B$33</f>
        <v>1.278494376775499</v>
      </c>
      <c r="I15" s="119">
        <f t="shared" si="4"/>
        <v>0.52354243686033386</v>
      </c>
      <c r="J15" s="120">
        <f t="shared" si="5"/>
        <v>169.34778350515464</v>
      </c>
      <c r="K15" s="118">
        <f>K28*$B$35/10/$B$33</f>
        <v>1.191447951122699</v>
      </c>
      <c r="L15" s="119">
        <f t="shared" si="6"/>
        <v>0.49097707903646326</v>
      </c>
      <c r="M15" s="120">
        <f t="shared" si="7"/>
        <v>170.09243333333333</v>
      </c>
      <c r="N15" s="118">
        <f>N28*$B$35/10/$B$33</f>
        <v>0.57668256994979961</v>
      </c>
      <c r="O15" s="119">
        <f t="shared" si="8"/>
        <v>0.21088111452698766</v>
      </c>
      <c r="P15" s="120">
        <f t="shared" si="9"/>
        <v>157.64906382978725</v>
      </c>
      <c r="Q15" s="121" t="s">
        <v>180</v>
      </c>
      <c r="Z15" s="461"/>
      <c r="AA15" s="462">
        <f>E15-'Цены на 30.11.2020'!E15</f>
        <v>3.2635019510861785E-2</v>
      </c>
      <c r="AB15" s="462">
        <f>H15-'Цены на 30.11.2020'!H15</f>
        <v>3.4234702917188553E-2</v>
      </c>
      <c r="AC15" s="462">
        <f>K15-'Цены на 30.11.2020'!K15</f>
        <v>2.4289838251335238E-2</v>
      </c>
      <c r="AD15" s="463">
        <f>N15-'Цены на 30.11.2020'!N15</f>
        <v>1.3043572390052161E-2</v>
      </c>
    </row>
    <row r="16" spans="1:32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51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51" t="s">
        <v>214</v>
      </c>
      <c r="X19" s="451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47.56</v>
      </c>
      <c r="F21" s="144" t="s">
        <v>172</v>
      </c>
      <c r="G21" s="145" t="s">
        <v>172</v>
      </c>
      <c r="H21" s="143">
        <v>52.75</v>
      </c>
      <c r="I21" s="144" t="s">
        <v>172</v>
      </c>
      <c r="J21" s="145" t="s">
        <v>172</v>
      </c>
      <c r="K21" s="143">
        <v>47.3</v>
      </c>
      <c r="L21" s="144" t="s">
        <v>172</v>
      </c>
      <c r="M21" s="145" t="s">
        <v>172</v>
      </c>
      <c r="N21" s="143">
        <v>26.43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43.44</v>
      </c>
      <c r="C22" s="144" t="s">
        <v>172</v>
      </c>
      <c r="D22" s="145" t="s">
        <v>172</v>
      </c>
      <c r="E22" s="143">
        <v>46.87</v>
      </c>
      <c r="F22" s="144" t="s">
        <v>172</v>
      </c>
      <c r="G22" s="145" t="s">
        <v>172</v>
      </c>
      <c r="H22" s="143">
        <v>52.5</v>
      </c>
      <c r="I22" s="144" t="s">
        <v>172</v>
      </c>
      <c r="J22" s="145" t="s">
        <v>172</v>
      </c>
      <c r="K22" s="143">
        <v>46.8</v>
      </c>
      <c r="L22" s="144" t="s">
        <v>172</v>
      </c>
      <c r="M22" s="145" t="s">
        <v>172</v>
      </c>
      <c r="N22" s="143">
        <v>23.4</v>
      </c>
      <c r="O22" s="144" t="s">
        <v>172</v>
      </c>
      <c r="P22" s="145" t="s">
        <v>172</v>
      </c>
      <c r="Q22" s="147" t="s">
        <v>300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46.71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46.88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301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43.05</v>
      </c>
      <c r="C24" s="144" t="s">
        <v>172</v>
      </c>
      <c r="D24" s="145" t="s">
        <v>172</v>
      </c>
      <c r="E24" s="143">
        <v>46.07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48.17</v>
      </c>
      <c r="L24" s="144" t="s">
        <v>172</v>
      </c>
      <c r="M24" s="145" t="s">
        <v>172</v>
      </c>
      <c r="N24" s="143">
        <v>23.55</v>
      </c>
      <c r="O24" s="144" t="s">
        <v>172</v>
      </c>
      <c r="P24" s="145" t="s">
        <v>172</v>
      </c>
      <c r="Q24" s="147" t="s">
        <v>302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23.5</v>
      </c>
      <c r="C25" s="144" t="s">
        <v>172</v>
      </c>
      <c r="D25" s="145" t="s">
        <v>172</v>
      </c>
      <c r="E25" s="143">
        <v>24.44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23.24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1.0840000000000001</v>
      </c>
      <c r="F26" s="144" t="s">
        <v>172</v>
      </c>
      <c r="G26" s="145" t="s">
        <v>172</v>
      </c>
      <c r="H26" s="153">
        <v>1.1439999999999999</v>
      </c>
      <c r="I26" s="144" t="s">
        <v>172</v>
      </c>
      <c r="J26" s="145" t="s">
        <v>172</v>
      </c>
      <c r="K26" s="153">
        <v>0.96399999999999997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1.05</v>
      </c>
      <c r="F27" s="144" t="s">
        <v>172</v>
      </c>
      <c r="G27" s="145" t="s">
        <v>172</v>
      </c>
      <c r="H27" s="153">
        <v>1.129</v>
      </c>
      <c r="I27" s="144" t="s">
        <v>172</v>
      </c>
      <c r="J27" s="145" t="s">
        <v>172</v>
      </c>
      <c r="K27" s="153">
        <v>0.95799999999999996</v>
      </c>
      <c r="L27" s="144" t="s">
        <v>172</v>
      </c>
      <c r="M27" s="145" t="s">
        <v>172</v>
      </c>
      <c r="N27" s="153">
        <v>0.499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4.4400000000000004</v>
      </c>
      <c r="F28" s="158" t="s">
        <v>172</v>
      </c>
      <c r="G28" s="159" t="s">
        <v>172</v>
      </c>
      <c r="H28" s="234">
        <v>4.7</v>
      </c>
      <c r="I28" s="158" t="s">
        <v>172</v>
      </c>
      <c r="J28" s="159" t="s">
        <v>172</v>
      </c>
      <c r="K28" s="234">
        <v>4.38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50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9.0866000000000007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2.5697000000000001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3.1244999999999998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6.9901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3.4615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N28" sqref="N28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32" s="93" customFormat="1" ht="16.5" thickBot="1" x14ac:dyDescent="0.25">
      <c r="A2" s="492" t="s">
        <v>163</v>
      </c>
      <c r="B2" s="492"/>
      <c r="C2" s="492"/>
      <c r="D2" s="493">
        <v>44179</v>
      </c>
      <c r="E2" s="493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69"/>
      <c r="Q2" s="469"/>
      <c r="R2" s="469"/>
    </row>
    <row r="3" spans="1:32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  <c r="Z3" s="455" t="str">
        <f>B3</f>
        <v>АИ-92</v>
      </c>
      <c r="AA3" s="455" t="str">
        <f>E3</f>
        <v>АИ-95</v>
      </c>
      <c r="AB3" s="455" t="str">
        <f>H3</f>
        <v>АИ-98</v>
      </c>
      <c r="AC3" s="455" t="str">
        <f>K3</f>
        <v>ДТ</v>
      </c>
      <c r="AD3" s="470" t="str">
        <f>N3</f>
        <v>ПБА</v>
      </c>
    </row>
    <row r="4" spans="1:32" s="96" customFormat="1" ht="15.75" customHeight="1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Z4" s="523" t="s">
        <v>303</v>
      </c>
      <c r="AA4" s="524"/>
      <c r="AB4" s="524"/>
      <c r="AC4" s="524"/>
      <c r="AD4" s="525"/>
    </row>
    <row r="5" spans="1:32" s="96" customFormat="1" ht="16.5" thickBot="1" x14ac:dyDescent="0.3">
      <c r="A5" s="496"/>
      <c r="B5" s="471" t="s">
        <v>169</v>
      </c>
      <c r="C5" s="472" t="s">
        <v>169</v>
      </c>
      <c r="D5" s="473" t="s">
        <v>170</v>
      </c>
      <c r="E5" s="471" t="s">
        <v>169</v>
      </c>
      <c r="F5" s="472" t="s">
        <v>169</v>
      </c>
      <c r="G5" s="473" t="s">
        <v>170</v>
      </c>
      <c r="H5" s="471" t="s">
        <v>169</v>
      </c>
      <c r="I5" s="472" t="s">
        <v>169</v>
      </c>
      <c r="J5" s="473" t="s">
        <v>170</v>
      </c>
      <c r="K5" s="471" t="s">
        <v>169</v>
      </c>
      <c r="L5" s="472" t="s">
        <v>169</v>
      </c>
      <c r="M5" s="473" t="s">
        <v>170</v>
      </c>
      <c r="N5" s="471" t="s">
        <v>169</v>
      </c>
      <c r="O5" s="472" t="s">
        <v>169</v>
      </c>
      <c r="P5" s="473" t="s">
        <v>170</v>
      </c>
      <c r="Q5" s="508"/>
      <c r="R5" s="95"/>
      <c r="Z5" s="526" t="s">
        <v>169</v>
      </c>
      <c r="AA5" s="527"/>
      <c r="AB5" s="527"/>
      <c r="AC5" s="527"/>
      <c r="AD5" s="528"/>
    </row>
    <row r="6" spans="1:32" s="96" customFormat="1" ht="15.75" x14ac:dyDescent="0.25">
      <c r="A6" s="101" t="s">
        <v>171</v>
      </c>
      <c r="B6" s="102">
        <f>B20/$B$33</f>
        <v>0.67103497276387469</v>
      </c>
      <c r="C6" s="103" t="s">
        <v>172</v>
      </c>
      <c r="D6" s="104" t="s">
        <v>172</v>
      </c>
      <c r="E6" s="102">
        <f>E20/$B$33</f>
        <v>0.71050761822057318</v>
      </c>
      <c r="F6" s="103" t="s">
        <v>172</v>
      </c>
      <c r="G6" s="104" t="s">
        <v>172</v>
      </c>
      <c r="H6" s="102">
        <f>H20/$B$33</f>
        <v>0.76576932185995106</v>
      </c>
      <c r="I6" s="103" t="s">
        <v>172</v>
      </c>
      <c r="J6" s="104" t="s">
        <v>172</v>
      </c>
      <c r="K6" s="102">
        <f>K20/$B$33</f>
        <v>0.71050761822057318</v>
      </c>
      <c r="L6" s="103" t="s">
        <v>172</v>
      </c>
      <c r="M6" s="104" t="s">
        <v>172</v>
      </c>
      <c r="N6" s="102">
        <f>N20/$B$33</f>
        <v>0.37104286729296598</v>
      </c>
      <c r="O6" s="103" t="s">
        <v>172</v>
      </c>
      <c r="P6" s="104" t="s">
        <v>172</v>
      </c>
      <c r="Q6" s="105" t="s">
        <v>173</v>
      </c>
      <c r="R6" s="95"/>
      <c r="Z6" s="464">
        <f>'Цены на 14.12.2020'!B6-'Цены на 07.12.2020'!B6</f>
        <v>9.4791491268743089E-3</v>
      </c>
      <c r="AA6" s="465">
        <f>E6-'Цены на 07.12.2020'!E6</f>
        <v>1.0036746134337471E-2</v>
      </c>
      <c r="AB6" s="465">
        <f>H6-'Цены на 07.12.2020'!H6</f>
        <v>1.0817381944785875E-2</v>
      </c>
      <c r="AC6" s="465">
        <f>K6-'Цены на 07.12.2020'!K6</f>
        <v>1.0036746134337471E-2</v>
      </c>
      <c r="AD6" s="466">
        <f>N6-'Цены на 07.12.2020'!N6</f>
        <v>5.2414118701540335E-3</v>
      </c>
    </row>
    <row r="7" spans="1:32" s="96" customFormat="1" ht="15.75" x14ac:dyDescent="0.25">
      <c r="A7" s="106" t="s">
        <v>174</v>
      </c>
      <c r="B7" s="102">
        <f>B21*$B$36/100/$B$33</f>
        <v>0.58820943396226422</v>
      </c>
      <c r="C7" s="107">
        <f t="shared" ref="C7:C12" si="0">B7-B$6</f>
        <v>-8.2825538801610477E-2</v>
      </c>
      <c r="D7" s="108">
        <f t="shared" ref="D7:D12" si="1">B7/B$6*100</f>
        <v>87.657045882352946</v>
      </c>
      <c r="E7" s="102">
        <f>E21*$B$36/100/$B$33</f>
        <v>0.65028453461751012</v>
      </c>
      <c r="F7" s="107">
        <f t="shared" ref="F7:F15" si="2">E7-E$6</f>
        <v>-6.0223083603063055E-2</v>
      </c>
      <c r="G7" s="108">
        <f t="shared" ref="G7:G15" si="3">E7/E$6*100</f>
        <v>91.523935555555553</v>
      </c>
      <c r="H7" s="102">
        <f>H21*$B$36/100/$B$33</f>
        <v>0.72124703955159086</v>
      </c>
      <c r="I7" s="107">
        <f t="shared" ref="I7:I15" si="4">H7-H$6</f>
        <v>-4.4522282308360195E-2</v>
      </c>
      <c r="J7" s="108">
        <f t="shared" ref="J7:J15" si="5">H7/H$6*100</f>
        <v>94.185940721649501</v>
      </c>
      <c r="K7" s="102">
        <f>K21*$B$36/100/$B$33</f>
        <v>0.6467295729059761</v>
      </c>
      <c r="L7" s="107">
        <f t="shared" ref="L7:L15" si="6">K7-K$6</f>
        <v>-6.3778045314597076E-2</v>
      </c>
      <c r="M7" s="108">
        <f t="shared" ref="M7:M15" si="7">K7/K$6*100</f>
        <v>91.023594444444427</v>
      </c>
      <c r="N7" s="102">
        <f>N21*$B$36/100/$B$33</f>
        <v>0.36137553090708141</v>
      </c>
      <c r="O7" s="107">
        <f t="shared" ref="O7:O15" si="8">N7-N$6</f>
        <v>-9.6673363858845729E-3</v>
      </c>
      <c r="P7" s="108">
        <f t="shared" ref="P7:P15" si="9">N7/N$6*100</f>
        <v>97.394549999999995</v>
      </c>
      <c r="Q7" s="109" t="s">
        <v>175</v>
      </c>
      <c r="R7" s="95"/>
      <c r="Z7" s="459">
        <f>'Цены на 14.12.2020'!B7-'Цены на 07.12.2020'!B7</f>
        <v>8.7109321916294391E-3</v>
      </c>
      <c r="AA7" s="458">
        <f>E7-'Цены на 07.12.2020'!E7</f>
        <v>9.6302169928846881E-3</v>
      </c>
      <c r="AB7" s="458">
        <f>H7-'Цены на 07.12.2020'!H7</f>
        <v>1.0681117459517941E-2</v>
      </c>
      <c r="AC7" s="458">
        <f>K7-'Цены на 07.12.2020'!K7</f>
        <v>9.5775707267333754E-3</v>
      </c>
      <c r="AD7" s="460">
        <f>N7-'Цены на 07.12.2020'!N7</f>
        <v>5.3516954399063232E-3</v>
      </c>
      <c r="AF7" s="453"/>
    </row>
    <row r="8" spans="1:32" s="96" customFormat="1" ht="15.75" x14ac:dyDescent="0.25">
      <c r="A8" s="110" t="s">
        <v>176</v>
      </c>
      <c r="B8" s="102">
        <f>B22*$B$36/100/$B$33</f>
        <v>0.59395206441935733</v>
      </c>
      <c r="C8" s="107">
        <f t="shared" si="0"/>
        <v>-7.7082908344517365E-2</v>
      </c>
      <c r="D8" s="108">
        <f t="shared" si="1"/>
        <v>88.512832941176455</v>
      </c>
      <c r="E8" s="102">
        <f>E22*$B$36/100/$B$33</f>
        <v>0.64044002526249322</v>
      </c>
      <c r="F8" s="107">
        <f t="shared" si="2"/>
        <v>-7.0067592958079961E-2</v>
      </c>
      <c r="G8" s="108">
        <f t="shared" si="3"/>
        <v>90.138375555555569</v>
      </c>
      <c r="H8" s="102">
        <f>H22*$B$36/100/$B$33</f>
        <v>0.71782880713665442</v>
      </c>
      <c r="I8" s="107">
        <f t="shared" si="4"/>
        <v>-4.7940514723296634E-2</v>
      </c>
      <c r="J8" s="108">
        <f t="shared" si="5"/>
        <v>93.739561855670118</v>
      </c>
      <c r="K8" s="102">
        <f>K22*$B$36/100/$B$33</f>
        <v>0.65493333070182369</v>
      </c>
      <c r="L8" s="107">
        <f t="shared" si="6"/>
        <v>-5.5574287518749488E-2</v>
      </c>
      <c r="M8" s="108">
        <f t="shared" si="7"/>
        <v>92.178227777777778</v>
      </c>
      <c r="N8" s="102">
        <f>N22*$B$36/100/$B$33</f>
        <v>0.33908865556169582</v>
      </c>
      <c r="O8" s="107">
        <f t="shared" si="8"/>
        <v>-3.1954211731270166E-2</v>
      </c>
      <c r="P8" s="108">
        <f t="shared" si="9"/>
        <v>91.388000000000019</v>
      </c>
      <c r="Q8" s="109" t="s">
        <v>175</v>
      </c>
      <c r="Z8" s="459">
        <f>'Цены на 14.12.2020'!B8-'Цены на 07.12.2020'!B8</f>
        <v>8.7959761600274744E-3</v>
      </c>
      <c r="AA8" s="458">
        <f>E8-'Цены на 07.12.2020'!E8</f>
        <v>9.0803140121528125E-3</v>
      </c>
      <c r="AB8" s="458">
        <f>H8-'Цены на 07.12.2020'!H8</f>
        <v>1.0630496049757188E-2</v>
      </c>
      <c r="AC8" s="458">
        <f>K8-'Цены на 07.12.2020'!K8</f>
        <v>2.4516550532932335E-2</v>
      </c>
      <c r="AD8" s="460">
        <f>N8-'Цены на 07.12.2020'!N8</f>
        <v>2.388026547725014E-2</v>
      </c>
    </row>
    <row r="9" spans="1:32" s="96" customFormat="1" ht="15.75" x14ac:dyDescent="0.25">
      <c r="A9" s="110" t="s">
        <v>177</v>
      </c>
      <c r="B9" s="102">
        <f>B23*$B$36/100/$B$33</f>
        <v>0.59654992105470916</v>
      </c>
      <c r="C9" s="107">
        <f t="shared" si="0"/>
        <v>-7.4485051709165528E-2</v>
      </c>
      <c r="D9" s="108">
        <f t="shared" si="1"/>
        <v>88.899974705882357</v>
      </c>
      <c r="E9" s="102">
        <f>E23*$B$36/100/$B$33</f>
        <v>0.63866254440672632</v>
      </c>
      <c r="F9" s="107">
        <f t="shared" si="2"/>
        <v>-7.184507381384686E-2</v>
      </c>
      <c r="G9" s="108">
        <f t="shared" si="3"/>
        <v>89.888205000000028</v>
      </c>
      <c r="H9" s="102">
        <f>H23*$B$36/100/$B$33</f>
        <v>0.72329797900055259</v>
      </c>
      <c r="I9" s="107">
        <f t="shared" si="4"/>
        <v>-4.2471342859398464E-2</v>
      </c>
      <c r="J9" s="108">
        <f t="shared" si="5"/>
        <v>94.453768041237112</v>
      </c>
      <c r="K9" s="102">
        <f>K23*$B$36/100/$B$33</f>
        <v>0.6418073182284677</v>
      </c>
      <c r="L9" s="107">
        <f t="shared" si="6"/>
        <v>-6.8700299992105474E-2</v>
      </c>
      <c r="M9" s="108">
        <f t="shared" si="7"/>
        <v>90.330814444444442</v>
      </c>
      <c r="N9" s="102">
        <f>N23*$B$36/100/$B$33</f>
        <v>0.36643451488118739</v>
      </c>
      <c r="O9" s="107">
        <f t="shared" si="8"/>
        <v>-4.6083524117785934E-3</v>
      </c>
      <c r="P9" s="108">
        <f t="shared" si="9"/>
        <v>98.75800000000001</v>
      </c>
      <c r="Q9" s="109" t="s">
        <v>175</v>
      </c>
      <c r="Z9" s="459">
        <f>'Цены на 14.12.2020'!B9-'Цены на 07.12.2020'!B9</f>
        <v>8.8344484314457628E-3</v>
      </c>
      <c r="AA9" s="458">
        <f>E9-'Цены на 07.12.2020'!E9</f>
        <v>9.4581041996982806E-3</v>
      </c>
      <c r="AB9" s="458">
        <f>H9-'Цены на 07.12.2020'!H9</f>
        <v>1.0711490305374216E-2</v>
      </c>
      <c r="AC9" s="458">
        <f>K9-'Цены на 07.12.2020'!K9</f>
        <v>1.0312902537920166E-2</v>
      </c>
      <c r="AD9" s="460">
        <f>N9-'Цены на 07.12.2020'!N9</f>
        <v>5.4266151263521745E-3</v>
      </c>
      <c r="AF9" s="454"/>
    </row>
    <row r="10" spans="1:32" s="96" customFormat="1" ht="15.75" x14ac:dyDescent="0.25">
      <c r="A10" s="110" t="s">
        <v>178</v>
      </c>
      <c r="B10" s="102">
        <f>B24*$B$36/100/$B$33</f>
        <v>0.58766251677587444</v>
      </c>
      <c r="C10" s="107">
        <f t="shared" si="0"/>
        <v>-8.3372455988000249E-2</v>
      </c>
      <c r="D10" s="108">
        <f t="shared" si="1"/>
        <v>87.575542352941184</v>
      </c>
      <c r="E10" s="102">
        <f>E24*$B$36/100/$B$33</f>
        <v>0.6292282229415016</v>
      </c>
      <c r="F10" s="107">
        <f t="shared" si="2"/>
        <v>-8.1279395279071576E-2</v>
      </c>
      <c r="G10" s="108">
        <f t="shared" si="3"/>
        <v>88.56037666666667</v>
      </c>
      <c r="H10" s="102">
        <f>H24*$B$36/100/$B$33</f>
        <v>0.71509422120470523</v>
      </c>
      <c r="I10" s="107">
        <f t="shared" si="4"/>
        <v>-5.0675100655245831E-2</v>
      </c>
      <c r="J10" s="108">
        <f t="shared" si="5"/>
        <v>93.382458762886614</v>
      </c>
      <c r="K10" s="102">
        <f>K24*$B$36/100/$B$33</f>
        <v>0.66217998342148887</v>
      </c>
      <c r="L10" s="107">
        <f t="shared" si="6"/>
        <v>-4.8327634799084307E-2</v>
      </c>
      <c r="M10" s="108">
        <f t="shared" si="7"/>
        <v>93.198153888888882</v>
      </c>
      <c r="N10" s="102">
        <f>N24*$B$36/100/$B$33</f>
        <v>0.3278768532407042</v>
      </c>
      <c r="O10" s="107">
        <f t="shared" si="8"/>
        <v>-4.3166014052261781E-2</v>
      </c>
      <c r="P10" s="108">
        <f t="shared" si="9"/>
        <v>88.366299999999995</v>
      </c>
      <c r="Q10" s="109" t="s">
        <v>175</v>
      </c>
      <c r="Z10" s="459">
        <f>'Цены на 14.12.2020'!B10-'Цены на 07.12.2020'!B10</f>
        <v>7.7599016846187086E-3</v>
      </c>
      <c r="AA10" s="458">
        <f>E10-'Цены на 07.12.2020'!E10</f>
        <v>8.6448669077233697E-3</v>
      </c>
      <c r="AB10" s="458">
        <f>H10-'Цены на 07.12.2020'!H10</f>
        <v>1.0589998921948562E-2</v>
      </c>
      <c r="AC10" s="458">
        <f>K10-'Цены на 07.12.2020'!K10</f>
        <v>1.3308694944234811E-2</v>
      </c>
      <c r="AD10" s="460">
        <f>N10-'Цены на 07.12.2020'!N10</f>
        <v>1.0647896553153124E-2</v>
      </c>
    </row>
    <row r="11" spans="1:32" s="96" customFormat="1" ht="31.5" x14ac:dyDescent="0.25">
      <c r="A11" s="241" t="s">
        <v>229</v>
      </c>
      <c r="B11" s="235">
        <f>AVERAGE(B7:B10)</f>
        <v>0.59159348405305123</v>
      </c>
      <c r="C11" s="236">
        <f t="shared" si="0"/>
        <v>-7.944148871082346E-2</v>
      </c>
      <c r="D11" s="237">
        <f t="shared" si="1"/>
        <v>88.161348970588222</v>
      </c>
      <c r="E11" s="235">
        <f>AVERAGE(E7:E10)</f>
        <v>0.63965383180705782</v>
      </c>
      <c r="F11" s="236">
        <f t="shared" si="2"/>
        <v>-7.0853786413515363E-2</v>
      </c>
      <c r="G11" s="237">
        <f t="shared" si="3"/>
        <v>90.027723194444448</v>
      </c>
      <c r="H11" s="235">
        <f>AVERAGE(H7:H10)</f>
        <v>0.7193670117233758</v>
      </c>
      <c r="I11" s="236">
        <f t="shared" si="4"/>
        <v>-4.6402310136575253E-2</v>
      </c>
      <c r="J11" s="237">
        <f t="shared" si="5"/>
        <v>93.940432345360833</v>
      </c>
      <c r="K11" s="235">
        <f>AVERAGE(K7:K10)</f>
        <v>0.65141255131443909</v>
      </c>
      <c r="L11" s="236">
        <f t="shared" si="6"/>
        <v>-5.9095066906134086E-2</v>
      </c>
      <c r="M11" s="237">
        <f t="shared" si="7"/>
        <v>91.682697638888882</v>
      </c>
      <c r="N11" s="235">
        <f>AVERAGE(N7:N10)</f>
        <v>0.34869388864766721</v>
      </c>
      <c r="O11" s="236">
        <f t="shared" si="8"/>
        <v>-2.2348978645298778E-2</v>
      </c>
      <c r="P11" s="237">
        <f t="shared" si="9"/>
        <v>93.976712500000005</v>
      </c>
      <c r="Q11" s="109"/>
      <c r="Z11" s="459">
        <f>'Цены на 14.12.2020'!B11-'Цены на 07.12.2020'!B11</f>
        <v>8.5253146169302907E-3</v>
      </c>
      <c r="AA11" s="458">
        <f>E11-'Цены на 07.12.2020'!E11</f>
        <v>9.2033755281147878E-3</v>
      </c>
      <c r="AB11" s="458">
        <f>H11-'Цены на 07.12.2020'!H11</f>
        <v>1.0653275684149532E-2</v>
      </c>
      <c r="AC11" s="458">
        <f>K11-'Цены на 07.12.2020'!K11</f>
        <v>1.4428929685455172E-2</v>
      </c>
      <c r="AD11" s="460">
        <f>N11-'Цены на 07.12.2020'!N11</f>
        <v>1.1326618149165468E-2</v>
      </c>
    </row>
    <row r="12" spans="1:32" s="96" customFormat="1" ht="15.75" x14ac:dyDescent="0.25">
      <c r="A12" s="110" t="s">
        <v>24</v>
      </c>
      <c r="B12" s="102">
        <f>B25*$B$32/100/$B$33</f>
        <v>0.83927113760164218</v>
      </c>
      <c r="C12" s="107">
        <f t="shared" si="0"/>
        <v>0.16823616483776749</v>
      </c>
      <c r="D12" s="108">
        <f t="shared" si="1"/>
        <v>125.07114705882354</v>
      </c>
      <c r="E12" s="102">
        <f>E25*$B$32/100/$B$33</f>
        <v>0.90319859872108643</v>
      </c>
      <c r="F12" s="107">
        <f t="shared" si="2"/>
        <v>0.19269098050051325</v>
      </c>
      <c r="G12" s="108">
        <f t="shared" si="3"/>
        <v>127.12018500000002</v>
      </c>
      <c r="H12" s="102">
        <f>H25*$B$32/100/$B$33</f>
        <v>1.0192680113681218</v>
      </c>
      <c r="I12" s="107">
        <f t="shared" si="4"/>
        <v>0.25349868950817078</v>
      </c>
      <c r="J12" s="108">
        <f t="shared" si="5"/>
        <v>133.10379278350516</v>
      </c>
      <c r="K12" s="102">
        <f>K25*$B$32/100/$B$33</f>
        <v>0.83891400094734347</v>
      </c>
      <c r="L12" s="107">
        <f t="shared" si="6"/>
        <v>0.1284063827267703</v>
      </c>
      <c r="M12" s="108">
        <f t="shared" si="7"/>
        <v>118.07248499999999</v>
      </c>
      <c r="N12" s="102">
        <f>N25*$B$32/100/$B$33</f>
        <v>0.40320728270308676</v>
      </c>
      <c r="O12" s="107">
        <f t="shared" si="8"/>
        <v>3.2164415410120772E-2</v>
      </c>
      <c r="P12" s="108">
        <f t="shared" si="9"/>
        <v>108.66865212765957</v>
      </c>
      <c r="Q12" s="109" t="s">
        <v>179</v>
      </c>
      <c r="Z12" s="459">
        <f>'Цены на 14.12.2020'!B12-'Цены на 07.12.2020'!B12</f>
        <v>8.2982613904111213E-3</v>
      </c>
      <c r="AA12" s="458">
        <f>E12-'Цены на 07.12.2020'!E12</f>
        <v>3.8986807461406259E-2</v>
      </c>
      <c r="AB12" s="458">
        <f>H12-'Цены на 07.12.2020'!H12</f>
        <v>1.0077973620524761E-2</v>
      </c>
      <c r="AC12" s="458">
        <f>K12-'Цены на 07.12.2020'!K12</f>
        <v>1.7134867196321957E-2</v>
      </c>
      <c r="AD12" s="460">
        <f>N12-'Цены на 07.12.2020'!N12</f>
        <v>3.9866966424571548E-3</v>
      </c>
    </row>
    <row r="13" spans="1:32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1.3642930449198709</v>
      </c>
      <c r="F13" s="107">
        <f t="shared" si="2"/>
        <v>0.65378542669929773</v>
      </c>
      <c r="G13" s="108">
        <f t="shared" si="3"/>
        <v>192.01666666666671</v>
      </c>
      <c r="H13" s="102">
        <f>H26*$B$34/$B$33</f>
        <v>1.4371200757874794</v>
      </c>
      <c r="I13" s="107">
        <f t="shared" si="4"/>
        <v>0.6713507539275283</v>
      </c>
      <c r="J13" s="108">
        <f t="shared" si="5"/>
        <v>187.67010309278351</v>
      </c>
      <c r="K13" s="102">
        <f>K26*$B$34/$B$33</f>
        <v>1.2065011447067184</v>
      </c>
      <c r="L13" s="107">
        <f t="shared" si="6"/>
        <v>0.49599352648614525</v>
      </c>
      <c r="M13" s="108">
        <f t="shared" si="7"/>
        <v>169.80833333333337</v>
      </c>
      <c r="N13" s="102">
        <f>N26*$B$34/$B$33</f>
        <v>0.63723652009157661</v>
      </c>
      <c r="O13" s="107">
        <f t="shared" si="8"/>
        <v>0.26619365279861062</v>
      </c>
      <c r="P13" s="108">
        <f t="shared" si="9"/>
        <v>171.74202127659578</v>
      </c>
      <c r="Q13" s="109" t="s">
        <v>180</v>
      </c>
      <c r="Z13" s="459"/>
      <c r="AA13" s="458">
        <f>E13-'Цены на 07.12.2020'!E13</f>
        <v>4.6256698264619311E-2</v>
      </c>
      <c r="AB13" s="458">
        <f>H13-'Цены на 07.12.2020'!H13</f>
        <v>4.6129687804446373E-2</v>
      </c>
      <c r="AC13" s="458">
        <f>K13-'Цены на 07.12.2020'!K13</f>
        <v>3.4372880707029818E-2</v>
      </c>
      <c r="AD13" s="460">
        <f>N13-'Цены на 07.12.2020'!N13</f>
        <v>-1.1113415265110449E-3</v>
      </c>
    </row>
    <row r="14" spans="1:32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1.2926797979000555</v>
      </c>
      <c r="F14" s="107">
        <f t="shared" si="2"/>
        <v>0.58217217967948232</v>
      </c>
      <c r="G14" s="108">
        <f t="shared" si="3"/>
        <v>181.93750000000003</v>
      </c>
      <c r="H14" s="102">
        <f>H27*$B$34/$B$33</f>
        <v>1.3885687218757401</v>
      </c>
      <c r="I14" s="107">
        <f t="shared" si="4"/>
        <v>0.62279940001578904</v>
      </c>
      <c r="J14" s="108">
        <f t="shared" si="5"/>
        <v>181.32989690721649</v>
      </c>
      <c r="K14" s="102">
        <f>K27*$B$34/$B$33</f>
        <v>1.2004322254677509</v>
      </c>
      <c r="L14" s="107">
        <f t="shared" si="6"/>
        <v>0.48992460724717768</v>
      </c>
      <c r="M14" s="108">
        <f t="shared" si="7"/>
        <v>168.95416666666665</v>
      </c>
      <c r="N14" s="102">
        <f>N27*$B$34/$B$33</f>
        <v>0.61781597852688097</v>
      </c>
      <c r="O14" s="107">
        <f t="shared" si="8"/>
        <v>0.24677311123391499</v>
      </c>
      <c r="P14" s="108">
        <f t="shared" si="9"/>
        <v>166.50797872340428</v>
      </c>
      <c r="Q14" s="109" t="s">
        <v>180</v>
      </c>
      <c r="Z14" s="459"/>
      <c r="AA14" s="458">
        <f>E14-'Цены на 07.12.2020'!E14</f>
        <v>1.5984074663880188E-2</v>
      </c>
      <c r="AB14" s="458">
        <f>H14-'Цены на 07.12.2020'!H14</f>
        <v>1.581684422465246E-2</v>
      </c>
      <c r="AC14" s="458">
        <f>K14-'Цены на 07.12.2020'!K14</f>
        <v>3.5599365600840427E-2</v>
      </c>
      <c r="AD14" s="460">
        <f>N14-'Цены на 07.12.2020'!N14</f>
        <v>1.1081534817498628E-2</v>
      </c>
    </row>
    <row r="15" spans="1:32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1.2205249072392832</v>
      </c>
      <c r="F15" s="119">
        <f t="shared" si="2"/>
        <v>0.51001728901871002</v>
      </c>
      <c r="G15" s="120">
        <f t="shared" si="3"/>
        <v>171.78210000000001</v>
      </c>
      <c r="H15" s="118">
        <f>H28*$B$35/10/$B$33</f>
        <v>1.2751345227757165</v>
      </c>
      <c r="I15" s="119">
        <f t="shared" si="4"/>
        <v>0.50936520091576543</v>
      </c>
      <c r="J15" s="120">
        <f t="shared" si="5"/>
        <v>166.51679381443302</v>
      </c>
      <c r="K15" s="118">
        <f>K28*$B$35/10/$B$33</f>
        <v>1.2096029841319966</v>
      </c>
      <c r="L15" s="119">
        <f t="shared" si="6"/>
        <v>0.49909536591142345</v>
      </c>
      <c r="M15" s="120">
        <f t="shared" si="7"/>
        <v>170.2449</v>
      </c>
      <c r="N15" s="118">
        <f>N28*$B$35/10/$B$33</f>
        <v>0.57886192468619246</v>
      </c>
      <c r="O15" s="119">
        <f t="shared" si="8"/>
        <v>0.20781905739322648</v>
      </c>
      <c r="P15" s="120">
        <f t="shared" si="9"/>
        <v>156.00944680851063</v>
      </c>
      <c r="Q15" s="121" t="s">
        <v>180</v>
      </c>
      <c r="Z15" s="461"/>
      <c r="AA15" s="462">
        <f>E15-'Цены на 07.12.2020'!E15</f>
        <v>1.2755751306683827E-2</v>
      </c>
      <c r="AB15" s="462">
        <f>H15-'Цены на 07.12.2020'!H15</f>
        <v>-3.3598539997825583E-3</v>
      </c>
      <c r="AC15" s="462">
        <f>K15-'Цены на 07.12.2020'!K15</f>
        <v>1.8155033009297661E-2</v>
      </c>
      <c r="AD15" s="463">
        <f>N15-'Цены на 07.12.2020'!N15</f>
        <v>2.1793547363928578E-3</v>
      </c>
    </row>
    <row r="16" spans="1:32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68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68" t="s">
        <v>214</v>
      </c>
      <c r="X19" s="468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43.02</v>
      </c>
      <c r="C21" s="144" t="s">
        <v>172</v>
      </c>
      <c r="D21" s="145" t="s">
        <v>172</v>
      </c>
      <c r="E21" s="143">
        <v>47.56</v>
      </c>
      <c r="F21" s="144" t="s">
        <v>172</v>
      </c>
      <c r="G21" s="145" t="s">
        <v>172</v>
      </c>
      <c r="H21" s="143">
        <v>52.75</v>
      </c>
      <c r="I21" s="144" t="s">
        <v>172</v>
      </c>
      <c r="J21" s="145" t="s">
        <v>172</v>
      </c>
      <c r="K21" s="143">
        <v>47.3</v>
      </c>
      <c r="L21" s="144" t="s">
        <v>172</v>
      </c>
      <c r="M21" s="145" t="s">
        <v>172</v>
      </c>
      <c r="N21" s="143">
        <v>26.43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43.44</v>
      </c>
      <c r="C22" s="144" t="s">
        <v>172</v>
      </c>
      <c r="D22" s="145" t="s">
        <v>172</v>
      </c>
      <c r="E22" s="143">
        <v>46.84</v>
      </c>
      <c r="F22" s="144" t="s">
        <v>172</v>
      </c>
      <c r="G22" s="145" t="s">
        <v>172</v>
      </c>
      <c r="H22" s="143">
        <v>52.5</v>
      </c>
      <c r="I22" s="144" t="s">
        <v>172</v>
      </c>
      <c r="J22" s="145" t="s">
        <v>172</v>
      </c>
      <c r="K22" s="143">
        <v>47.9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300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43.63</v>
      </c>
      <c r="C23" s="144" t="s">
        <v>172</v>
      </c>
      <c r="D23" s="145" t="s">
        <v>172</v>
      </c>
      <c r="E23" s="143">
        <v>46.71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46.94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301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42.98</v>
      </c>
      <c r="C24" s="144" t="s">
        <v>172</v>
      </c>
      <c r="D24" s="145" t="s">
        <v>172</v>
      </c>
      <c r="E24" s="143">
        <v>46.02</v>
      </c>
      <c r="F24" s="144" t="s">
        <v>172</v>
      </c>
      <c r="G24" s="145" t="s">
        <v>172</v>
      </c>
      <c r="H24" s="143">
        <v>52.3</v>
      </c>
      <c r="I24" s="144" t="s">
        <v>172</v>
      </c>
      <c r="J24" s="145" t="s">
        <v>172</v>
      </c>
      <c r="K24" s="143">
        <v>48.43</v>
      </c>
      <c r="L24" s="144" t="s">
        <v>172</v>
      </c>
      <c r="M24" s="145" t="s">
        <v>172</v>
      </c>
      <c r="N24" s="143">
        <v>23.98</v>
      </c>
      <c r="O24" s="144" t="s">
        <v>172</v>
      </c>
      <c r="P24" s="145" t="s">
        <v>172</v>
      </c>
      <c r="Q24" s="147" t="s">
        <v>302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23.5</v>
      </c>
      <c r="C25" s="144" t="s">
        <v>172</v>
      </c>
      <c r="D25" s="145" t="s">
        <v>172</v>
      </c>
      <c r="E25" s="143">
        <v>25.29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23.49</v>
      </c>
      <c r="L25" s="144" t="s">
        <v>172</v>
      </c>
      <c r="M25" s="145" t="s">
        <v>172</v>
      </c>
      <c r="N25" s="143">
        <v>11.29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1.1240000000000001</v>
      </c>
      <c r="F26" s="144" t="s">
        <v>172</v>
      </c>
      <c r="G26" s="145" t="s">
        <v>172</v>
      </c>
      <c r="H26" s="153">
        <v>1.1839999999999999</v>
      </c>
      <c r="I26" s="144" t="s">
        <v>172</v>
      </c>
      <c r="J26" s="145" t="s">
        <v>172</v>
      </c>
      <c r="K26" s="153">
        <v>0.99399999999999999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1.0649999999999999</v>
      </c>
      <c r="F27" s="144" t="s">
        <v>172</v>
      </c>
      <c r="G27" s="145" t="s">
        <v>172</v>
      </c>
      <c r="H27" s="153">
        <v>1.1439999999999999</v>
      </c>
      <c r="I27" s="144" t="s">
        <v>172</v>
      </c>
      <c r="J27" s="145" t="s">
        <v>172</v>
      </c>
      <c r="K27" s="153">
        <v>0.98899999999999999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4.47</v>
      </c>
      <c r="F28" s="158" t="s">
        <v>172</v>
      </c>
      <c r="G28" s="159" t="s">
        <v>172</v>
      </c>
      <c r="H28" s="234">
        <v>4.67</v>
      </c>
      <c r="I28" s="158" t="s">
        <v>172</v>
      </c>
      <c r="J28" s="159" t="s">
        <v>172</v>
      </c>
      <c r="K28" s="234">
        <v>4.43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67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9.0477000000000007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2.5333999999999999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3.0750000000000002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6.9173999999999998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3.4639000000000002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topLeftCell="A4" zoomScale="85" zoomScaleNormal="85" workbookViewId="0">
      <selection activeCell="B32" sqref="B32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32" s="93" customFormat="1" ht="16.5" thickBot="1" x14ac:dyDescent="0.25">
      <c r="A2" s="492" t="s">
        <v>163</v>
      </c>
      <c r="B2" s="492"/>
      <c r="C2" s="492"/>
      <c r="D2" s="493">
        <v>44186</v>
      </c>
      <c r="E2" s="493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</row>
    <row r="3" spans="1:32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  <c r="Z3" s="455" t="str">
        <f>B3</f>
        <v>АИ-92</v>
      </c>
      <c r="AA3" s="455" t="str">
        <f>E3</f>
        <v>АИ-95</v>
      </c>
      <c r="AB3" s="455" t="str">
        <f>H3</f>
        <v>АИ-98</v>
      </c>
      <c r="AC3" s="455" t="str">
        <f>K3</f>
        <v>ДТ</v>
      </c>
      <c r="AD3" s="475" t="str">
        <f>N3</f>
        <v>ПБА</v>
      </c>
    </row>
    <row r="4" spans="1:32" s="96" customFormat="1" ht="15.75" customHeight="1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Z4" s="523" t="s">
        <v>303</v>
      </c>
      <c r="AA4" s="524"/>
      <c r="AB4" s="524"/>
      <c r="AC4" s="524"/>
      <c r="AD4" s="525"/>
    </row>
    <row r="5" spans="1:32" s="96" customFormat="1" ht="16.5" thickBot="1" x14ac:dyDescent="0.3">
      <c r="A5" s="496"/>
      <c r="B5" s="478" t="s">
        <v>169</v>
      </c>
      <c r="C5" s="479" t="s">
        <v>169</v>
      </c>
      <c r="D5" s="480" t="s">
        <v>170</v>
      </c>
      <c r="E5" s="478" t="s">
        <v>169</v>
      </c>
      <c r="F5" s="479" t="s">
        <v>169</v>
      </c>
      <c r="G5" s="480" t="s">
        <v>170</v>
      </c>
      <c r="H5" s="478" t="s">
        <v>169</v>
      </c>
      <c r="I5" s="479" t="s">
        <v>169</v>
      </c>
      <c r="J5" s="480" t="s">
        <v>170</v>
      </c>
      <c r="K5" s="478" t="s">
        <v>169</v>
      </c>
      <c r="L5" s="479" t="s">
        <v>169</v>
      </c>
      <c r="M5" s="480" t="s">
        <v>170</v>
      </c>
      <c r="N5" s="478" t="s">
        <v>169</v>
      </c>
      <c r="O5" s="479" t="s">
        <v>169</v>
      </c>
      <c r="P5" s="480" t="s">
        <v>170</v>
      </c>
      <c r="Q5" s="508"/>
      <c r="R5" s="95"/>
      <c r="Z5" s="526" t="s">
        <v>169</v>
      </c>
      <c r="AA5" s="527"/>
      <c r="AB5" s="527"/>
      <c r="AC5" s="527"/>
      <c r="AD5" s="528"/>
    </row>
    <row r="6" spans="1:32" s="96" customFormat="1" ht="15.75" x14ac:dyDescent="0.25">
      <c r="A6" s="101" t="s">
        <v>171</v>
      </c>
      <c r="B6" s="102">
        <f>B20/$B$33</f>
        <v>0.67815541726503903</v>
      </c>
      <c r="C6" s="103" t="s">
        <v>172</v>
      </c>
      <c r="D6" s="104" t="s">
        <v>172</v>
      </c>
      <c r="E6" s="102">
        <f>E20/$B$33</f>
        <v>0.71804691239827667</v>
      </c>
      <c r="F6" s="103" t="s">
        <v>172</v>
      </c>
      <c r="G6" s="104" t="s">
        <v>172</v>
      </c>
      <c r="H6" s="102">
        <f>H20/$B$33</f>
        <v>0.77389500558480928</v>
      </c>
      <c r="I6" s="103" t="s">
        <v>172</v>
      </c>
      <c r="J6" s="104" t="s">
        <v>172</v>
      </c>
      <c r="K6" s="102">
        <f>K20/$B$33</f>
        <v>0.71804691239827667</v>
      </c>
      <c r="L6" s="103" t="s">
        <v>172</v>
      </c>
      <c r="M6" s="104" t="s">
        <v>172</v>
      </c>
      <c r="N6" s="102">
        <f>N20/$B$33</f>
        <v>0.37498005425243336</v>
      </c>
      <c r="O6" s="103" t="s">
        <v>172</v>
      </c>
      <c r="P6" s="104" t="s">
        <v>172</v>
      </c>
      <c r="Q6" s="105" t="s">
        <v>173</v>
      </c>
      <c r="R6" s="95"/>
      <c r="Z6" s="464">
        <f>'Цены на 21.12.2020'!B6-'Цены на 14.12.2020'!B6</f>
        <v>7.1204445011643358E-3</v>
      </c>
      <c r="AA6" s="465">
        <f>E6-'Цены на 14.12.2020'!E6</f>
        <v>7.5392941777034927E-3</v>
      </c>
      <c r="AB6" s="465">
        <f>H6-'Цены на 14.12.2020'!H6</f>
        <v>8.1256837248582237E-3</v>
      </c>
      <c r="AC6" s="465">
        <f>K6-'Цены на 14.12.2020'!K6</f>
        <v>7.5392941777034927E-3</v>
      </c>
      <c r="AD6" s="466">
        <f>N6-'Цены на 14.12.2020'!N6</f>
        <v>3.9371869594673758E-3</v>
      </c>
    </row>
    <row r="7" spans="1:32" s="96" customFormat="1" ht="15.75" x14ac:dyDescent="0.25">
      <c r="A7" s="106" t="s">
        <v>174</v>
      </c>
      <c r="B7" s="102">
        <f>B21*$B$36/100/$B$33</f>
        <v>0.58602680708472954</v>
      </c>
      <c r="C7" s="107">
        <f t="shared" ref="C7:C12" si="0">B7-B$6</f>
        <v>-9.2128610180309489E-2</v>
      </c>
      <c r="D7" s="108">
        <f t="shared" ref="D7:D12" si="1">B7/B$6*100</f>
        <v>86.414823529411777</v>
      </c>
      <c r="E7" s="102">
        <f>E21*$B$36/100/$B$33</f>
        <v>0.64803662039253218</v>
      </c>
      <c r="F7" s="107">
        <f t="shared" ref="F7:F15" si="2">E7-E$6</f>
        <v>-7.001029200574449E-2</v>
      </c>
      <c r="G7" s="108">
        <f t="shared" ref="G7:G15" si="3">E7/E$6*100</f>
        <v>90.249899999999982</v>
      </c>
      <c r="H7" s="102">
        <f>H21*$B$36/100/$B$33</f>
        <v>0.71536156055528966</v>
      </c>
      <c r="I7" s="107">
        <f t="shared" ref="I7:I15" si="4">H7-H$6</f>
        <v>-5.8533445029519626E-2</v>
      </c>
      <c r="J7" s="108">
        <f t="shared" ref="J7:J15" si="5">H7/H$6*100</f>
        <v>92.436513402061877</v>
      </c>
      <c r="K7" s="102">
        <f>K21*$B$36/100/$B$33</f>
        <v>0.64476577309717564</v>
      </c>
      <c r="L7" s="107">
        <f t="shared" ref="L7:L15" si="6">K7-K$6</f>
        <v>-7.3281139301101028E-2</v>
      </c>
      <c r="M7" s="108">
        <f t="shared" ref="M7:M15" si="7">K7/K$6*100</f>
        <v>89.79437999999999</v>
      </c>
      <c r="N7" s="102">
        <f>N21*$B$36/100/$B$33</f>
        <v>0.35979320248922925</v>
      </c>
      <c r="O7" s="107">
        <f t="shared" ref="O7:O15" si="8">N7-N$6</f>
        <v>-1.5186851763204112E-2</v>
      </c>
      <c r="P7" s="108">
        <f t="shared" ref="P7:P15" si="9">N7/N$6*100</f>
        <v>95.949957446808497</v>
      </c>
      <c r="Q7" s="109" t="s">
        <v>175</v>
      </c>
      <c r="R7" s="95"/>
      <c r="Z7" s="459">
        <f>'Цены на 21.12.2020'!B7-'Цены на 14.12.2020'!B7</f>
        <v>-2.1826268775346769E-3</v>
      </c>
      <c r="AA7" s="458">
        <f>E7-'Цены на 14.12.2020'!E7</f>
        <v>-2.2479142249779427E-3</v>
      </c>
      <c r="AB7" s="458">
        <f>H7-'Цены на 14.12.2020'!H7</f>
        <v>-5.8854789963012077E-3</v>
      </c>
      <c r="AC7" s="458">
        <f>K7-'Цены на 14.12.2020'!K7</f>
        <v>-1.9637998088004593E-3</v>
      </c>
      <c r="AD7" s="460">
        <f>N7-'Цены на 14.12.2020'!N7</f>
        <v>-1.5823284178521635E-3</v>
      </c>
      <c r="AF7" s="453"/>
    </row>
    <row r="8" spans="1:32" s="96" customFormat="1" ht="15.75" x14ac:dyDescent="0.25">
      <c r="A8" s="110" t="s">
        <v>176</v>
      </c>
      <c r="B8" s="102">
        <f>B22*$B$36/100/$B$33</f>
        <v>0.59270478697941598</v>
      </c>
      <c r="C8" s="107">
        <f t="shared" si="0"/>
        <v>-8.5450630285623053E-2</v>
      </c>
      <c r="D8" s="108">
        <f t="shared" si="1"/>
        <v>87.3995505882353</v>
      </c>
      <c r="E8" s="102">
        <f>E22*$B$36/100/$B$33</f>
        <v>0.63808779320248921</v>
      </c>
      <c r="F8" s="107">
        <f t="shared" si="2"/>
        <v>-7.9959119195787465E-2</v>
      </c>
      <c r="G8" s="108">
        <f t="shared" si="3"/>
        <v>88.864360000000005</v>
      </c>
      <c r="H8" s="102">
        <f>H22*$B$36/100/$B$33</f>
        <v>0.71549784585926268</v>
      </c>
      <c r="I8" s="107">
        <f t="shared" si="4"/>
        <v>-5.8397159725546599E-2</v>
      </c>
      <c r="J8" s="108">
        <f t="shared" si="5"/>
        <v>92.454123711340202</v>
      </c>
      <c r="K8" s="102">
        <f>K22*$B$36/100/$B$33</f>
        <v>0.63863293441838198</v>
      </c>
      <c r="L8" s="107">
        <f t="shared" si="6"/>
        <v>-7.941397797989469E-2</v>
      </c>
      <c r="M8" s="108">
        <f t="shared" si="7"/>
        <v>88.940279999999987</v>
      </c>
      <c r="N8" s="102">
        <f>N22*$B$36/100/$B$33</f>
        <v>0.33798755385351842</v>
      </c>
      <c r="O8" s="107">
        <f t="shared" si="8"/>
        <v>-3.699250039891494E-2</v>
      </c>
      <c r="P8" s="108">
        <f t="shared" si="9"/>
        <v>90.134808510638294</v>
      </c>
      <c r="Q8" s="109" t="s">
        <v>175</v>
      </c>
      <c r="Z8" s="459">
        <f>'Цены на 21.12.2020'!B8-'Цены на 14.12.2020'!B8</f>
        <v>-1.2472774399413522E-3</v>
      </c>
      <c r="AA8" s="458">
        <f>E8-'Цены на 14.12.2020'!E8</f>
        <v>-2.3522320600040114E-3</v>
      </c>
      <c r="AB8" s="458">
        <f>H8-'Цены на 14.12.2020'!H8</f>
        <v>-2.330961277391741E-3</v>
      </c>
      <c r="AC8" s="458">
        <f>K8-'Цены на 14.12.2020'!K8</f>
        <v>-1.6300396283441709E-2</v>
      </c>
      <c r="AD8" s="460">
        <f>N8-'Цены на 14.12.2020'!N8</f>
        <v>-1.1011017081773988E-3</v>
      </c>
    </row>
    <row r="9" spans="1:32" s="96" customFormat="1" ht="15.75" x14ac:dyDescent="0.25">
      <c r="A9" s="110" t="s">
        <v>177</v>
      </c>
      <c r="B9" s="102">
        <f>B23*$B$36/100/$B$33</f>
        <v>0.5943402106270943</v>
      </c>
      <c r="C9" s="107">
        <f t="shared" si="0"/>
        <v>-8.3815206637944728E-2</v>
      </c>
      <c r="D9" s="108">
        <f t="shared" si="1"/>
        <v>87.640708235294127</v>
      </c>
      <c r="E9" s="102">
        <f>E23*$B$36/100/$B$33</f>
        <v>0.63604351364289125</v>
      </c>
      <c r="F9" s="107">
        <f t="shared" si="2"/>
        <v>-8.2003398755385426E-2</v>
      </c>
      <c r="G9" s="108">
        <f t="shared" si="3"/>
        <v>88.57965999999999</v>
      </c>
      <c r="H9" s="102">
        <f>H23*$B$36/100/$B$33</f>
        <v>0.72094925801819043</v>
      </c>
      <c r="I9" s="107">
        <f t="shared" si="4"/>
        <v>-5.294574756661885E-2</v>
      </c>
      <c r="J9" s="108">
        <f t="shared" si="5"/>
        <v>93.158536082474214</v>
      </c>
      <c r="K9" s="102">
        <f>K23*$B$36/100/$B$33</f>
        <v>0.63958693154619428</v>
      </c>
      <c r="L9" s="107">
        <f t="shared" si="6"/>
        <v>-7.8459980852082389E-2</v>
      </c>
      <c r="M9" s="108">
        <f t="shared" si="7"/>
        <v>89.073139999999995</v>
      </c>
      <c r="N9" s="102">
        <f>N23*$B$36/100/$B$33</f>
        <v>0.365244614648157</v>
      </c>
      <c r="O9" s="107">
        <f t="shared" si="8"/>
        <v>-9.7354396042763636E-3</v>
      </c>
      <c r="P9" s="108">
        <f t="shared" si="9"/>
        <v>97.403744680851062</v>
      </c>
      <c r="Q9" s="109" t="s">
        <v>175</v>
      </c>
      <c r="Z9" s="459">
        <f>'Цены на 21.12.2020'!B9-'Цены на 14.12.2020'!B9</f>
        <v>-2.2097104276148638E-3</v>
      </c>
      <c r="AA9" s="458">
        <f>E9-'Цены на 14.12.2020'!E9</f>
        <v>-2.6190307638350729E-3</v>
      </c>
      <c r="AB9" s="458">
        <f>H9-'Цены на 14.12.2020'!H9</f>
        <v>-2.3487209823621624E-3</v>
      </c>
      <c r="AC9" s="458">
        <f>K9-'Цены на 14.12.2020'!K9</f>
        <v>-2.2203866822734231E-3</v>
      </c>
      <c r="AD9" s="460">
        <f>N9-'Цены на 14.12.2020'!N9</f>
        <v>-1.1899002330303943E-3</v>
      </c>
      <c r="AF9" s="454"/>
    </row>
    <row r="10" spans="1:32" s="96" customFormat="1" ht="15.75" x14ac:dyDescent="0.25">
      <c r="A10" s="110" t="s">
        <v>178</v>
      </c>
      <c r="B10" s="102">
        <f>B24*$B$36/100/$B$33</f>
        <v>0.58629937769267593</v>
      </c>
      <c r="C10" s="107">
        <f t="shared" si="0"/>
        <v>-9.1856039572363102E-2</v>
      </c>
      <c r="D10" s="108">
        <f t="shared" si="1"/>
        <v>86.455016470588248</v>
      </c>
      <c r="E10" s="102">
        <f>E24*$B$36/100/$B$33</f>
        <v>0.62691239827668732</v>
      </c>
      <c r="F10" s="107">
        <f t="shared" si="2"/>
        <v>-9.113451412158935E-2</v>
      </c>
      <c r="G10" s="108">
        <f t="shared" si="3"/>
        <v>87.307999999999993</v>
      </c>
      <c r="H10" s="102">
        <f>H24*$B$36/100/$B$33</f>
        <v>0.73580435615126849</v>
      </c>
      <c r="I10" s="107">
        <f t="shared" si="4"/>
        <v>-3.8090649433540791E-2</v>
      </c>
      <c r="J10" s="108">
        <f t="shared" si="5"/>
        <v>95.078059793814433</v>
      </c>
      <c r="K10" s="102">
        <f>K24*$B$36/100/$B$33</f>
        <v>0.66316428913355663</v>
      </c>
      <c r="L10" s="107">
        <f t="shared" si="6"/>
        <v>-5.4882623264720043E-2</v>
      </c>
      <c r="M10" s="108">
        <f t="shared" si="7"/>
        <v>92.356679999999997</v>
      </c>
      <c r="N10" s="102">
        <f>N24*$B$36/100/$B$33</f>
        <v>0.32776615605552889</v>
      </c>
      <c r="O10" s="107">
        <f t="shared" si="8"/>
        <v>-4.7213898196904469E-2</v>
      </c>
      <c r="P10" s="108">
        <f t="shared" si="9"/>
        <v>87.4089574468085</v>
      </c>
      <c r="Q10" s="109" t="s">
        <v>175</v>
      </c>
      <c r="Z10" s="459">
        <f>'Цены на 21.12.2020'!B10-'Цены на 14.12.2020'!B10</f>
        <v>-1.3631390831985168E-3</v>
      </c>
      <c r="AA10" s="458">
        <f>E10-'Цены на 14.12.2020'!E10</f>
        <v>-2.3158246648142811E-3</v>
      </c>
      <c r="AB10" s="458">
        <f>H10-'Цены на 14.12.2020'!H10</f>
        <v>2.0710134946563263E-2</v>
      </c>
      <c r="AC10" s="458">
        <f>K10-'Цены на 14.12.2020'!K10</f>
        <v>9.8430571206775674E-4</v>
      </c>
      <c r="AD10" s="460">
        <f>N10-'Цены на 14.12.2020'!N10</f>
        <v>-1.1069718517531246E-4</v>
      </c>
    </row>
    <row r="11" spans="1:32" s="96" customFormat="1" ht="31.5" x14ac:dyDescent="0.25">
      <c r="A11" s="241" t="s">
        <v>229</v>
      </c>
      <c r="B11" s="235">
        <f>AVERAGE(B7:B10)</f>
        <v>0.58984279559597885</v>
      </c>
      <c r="C11" s="236">
        <f t="shared" si="0"/>
        <v>-8.8312621669060176E-2</v>
      </c>
      <c r="D11" s="237">
        <f t="shared" si="1"/>
        <v>86.977524705882345</v>
      </c>
      <c r="E11" s="235">
        <f>AVERAGE(E7:E10)</f>
        <v>0.63727008137865004</v>
      </c>
      <c r="F11" s="236">
        <f t="shared" si="2"/>
        <v>-8.0776831019626627E-2</v>
      </c>
      <c r="G11" s="237">
        <f t="shared" si="3"/>
        <v>88.750479999999996</v>
      </c>
      <c r="H11" s="235">
        <f>AVERAGE(H7:H10)</f>
        <v>0.72190325514600273</v>
      </c>
      <c r="I11" s="236">
        <f t="shared" si="4"/>
        <v>-5.199175043880655E-2</v>
      </c>
      <c r="J11" s="237">
        <f t="shared" si="5"/>
        <v>93.281808247422674</v>
      </c>
      <c r="K11" s="235">
        <f>AVERAGE(K7:K10)</f>
        <v>0.64653748204882722</v>
      </c>
      <c r="L11" s="236">
        <f t="shared" si="6"/>
        <v>-7.1509430349449454E-2</v>
      </c>
      <c r="M11" s="237">
        <f t="shared" si="7"/>
        <v>90.041120000000006</v>
      </c>
      <c r="N11" s="235">
        <f>AVERAGE(N7:N10)</f>
        <v>0.34769788176160837</v>
      </c>
      <c r="O11" s="236">
        <f t="shared" si="8"/>
        <v>-2.7282172490824985E-2</v>
      </c>
      <c r="P11" s="237">
        <f t="shared" si="9"/>
        <v>92.724367021276592</v>
      </c>
      <c r="Q11" s="109"/>
      <c r="Z11" s="459">
        <f>'Цены на 21.12.2020'!B11-'Цены на 14.12.2020'!B11</f>
        <v>-1.7506884570723802E-3</v>
      </c>
      <c r="AA11" s="458">
        <f>E11-'Цены на 14.12.2020'!E11</f>
        <v>-2.3837504284077715E-3</v>
      </c>
      <c r="AB11" s="458">
        <f>H11-'Цены на 14.12.2020'!H11</f>
        <v>2.536243422626927E-3</v>
      </c>
      <c r="AC11" s="458">
        <f>K11-'Цены на 14.12.2020'!K11</f>
        <v>-4.8750692656118755E-3</v>
      </c>
      <c r="AD11" s="460">
        <f>N11-'Цены на 14.12.2020'!N11</f>
        <v>-9.9600688605883114E-4</v>
      </c>
    </row>
    <row r="12" spans="1:32" s="96" customFormat="1" ht="15.75" x14ac:dyDescent="0.25">
      <c r="A12" s="110" t="s">
        <v>24</v>
      </c>
      <c r="B12" s="102">
        <f>B25*$B$32/100/$B$33</f>
        <v>0.84380824158289447</v>
      </c>
      <c r="C12" s="107">
        <f t="shared" si="0"/>
        <v>0.16565282431785544</v>
      </c>
      <c r="D12" s="108">
        <f t="shared" si="1"/>
        <v>124.42697058823531</v>
      </c>
      <c r="E12" s="102">
        <f>E25*$B$32/100/$B$33</f>
        <v>0.90808129487793199</v>
      </c>
      <c r="F12" s="107">
        <f t="shared" si="2"/>
        <v>0.19003438247965532</v>
      </c>
      <c r="G12" s="108">
        <f t="shared" si="3"/>
        <v>126.46545499999999</v>
      </c>
      <c r="H12" s="102">
        <f>H25*$B$32/100/$B$33</f>
        <v>1.024778179352162</v>
      </c>
      <c r="I12" s="107">
        <f t="shared" si="4"/>
        <v>0.2508831737673527</v>
      </c>
      <c r="J12" s="108">
        <f t="shared" si="5"/>
        <v>132.41824432989691</v>
      </c>
      <c r="K12" s="102">
        <f>K25*$B$32/100/$B$33</f>
        <v>0.84344917424605048</v>
      </c>
      <c r="L12" s="107">
        <f t="shared" si="6"/>
        <v>0.12540226184777381</v>
      </c>
      <c r="M12" s="108">
        <f t="shared" si="7"/>
        <v>117.46435499999997</v>
      </c>
      <c r="N12" s="102">
        <f>N25*$B$32/100/$B$33</f>
        <v>0.39641033987553842</v>
      </c>
      <c r="O12" s="107">
        <f t="shared" si="8"/>
        <v>2.1430285623105061E-2</v>
      </c>
      <c r="P12" s="108">
        <f t="shared" si="9"/>
        <v>105.71504680851061</v>
      </c>
      <c r="Q12" s="109" t="s">
        <v>179</v>
      </c>
      <c r="Z12" s="459">
        <f>'Цены на 21.12.2020'!B12-'Цены на 14.12.2020'!B12</f>
        <v>4.5371039812522884E-3</v>
      </c>
      <c r="AA12" s="458">
        <f>E12-'Цены на 14.12.2020'!E12</f>
        <v>4.8826961568455562E-3</v>
      </c>
      <c r="AB12" s="458">
        <f>H12-'Цены на 14.12.2020'!H12</f>
        <v>5.5101679840401374E-3</v>
      </c>
      <c r="AC12" s="458">
        <f>K12-'Цены на 14.12.2020'!K12</f>
        <v>4.535173298707007E-3</v>
      </c>
      <c r="AD12" s="460">
        <f>N12-'Цены на 14.12.2020'!N12</f>
        <v>-6.7969428275483357E-3</v>
      </c>
    </row>
    <row r="13" spans="1:32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1.4016144885910322</v>
      </c>
      <c r="F13" s="107">
        <f t="shared" si="2"/>
        <v>0.68356757619275554</v>
      </c>
      <c r="G13" s="108">
        <f t="shared" si="3"/>
        <v>195.19817777777774</v>
      </c>
      <c r="H13" s="102">
        <f>H26*$B$34/$B$33</f>
        <v>1.4751257379926597</v>
      </c>
      <c r="I13" s="107">
        <f t="shared" si="4"/>
        <v>0.70123073240785039</v>
      </c>
      <c r="J13" s="108">
        <f t="shared" si="5"/>
        <v>190.61057731958761</v>
      </c>
      <c r="K13" s="102">
        <f>K26*$B$34/$B$33</f>
        <v>1.2545919897877771</v>
      </c>
      <c r="L13" s="107">
        <f t="shared" si="6"/>
        <v>0.53654507738950041</v>
      </c>
      <c r="M13" s="108">
        <f t="shared" si="7"/>
        <v>174.72284444444443</v>
      </c>
      <c r="N13" s="102">
        <f>N26*$B$34/$B$33</f>
        <v>0.64322343226424117</v>
      </c>
      <c r="O13" s="107">
        <f t="shared" si="8"/>
        <v>0.26824337801180781</v>
      </c>
      <c r="P13" s="108">
        <f t="shared" si="9"/>
        <v>171.53537234042551</v>
      </c>
      <c r="Q13" s="109" t="s">
        <v>180</v>
      </c>
      <c r="Z13" s="459"/>
      <c r="AA13" s="458">
        <f>E13-'Цены на 14.12.2020'!E13</f>
        <v>3.7321443671161303E-2</v>
      </c>
      <c r="AB13" s="458">
        <f>H13-'Цены на 14.12.2020'!H13</f>
        <v>3.8005662205180313E-2</v>
      </c>
      <c r="AC13" s="458">
        <f>K13-'Цены на 14.12.2020'!K13</f>
        <v>4.8090845081058653E-2</v>
      </c>
      <c r="AD13" s="460">
        <f>N13-'Цены на 14.12.2020'!N13</f>
        <v>5.9869121726645602E-3</v>
      </c>
    </row>
    <row r="14" spans="1:32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1.3048246768788891</v>
      </c>
      <c r="F14" s="107">
        <f t="shared" si="2"/>
        <v>0.58677776448061247</v>
      </c>
      <c r="G14" s="108">
        <f t="shared" si="3"/>
        <v>181.7185833333333</v>
      </c>
      <c r="H14" s="102">
        <f>H27*$B$34/$B$33</f>
        <v>1.4261182383915747</v>
      </c>
      <c r="I14" s="107">
        <f t="shared" si="4"/>
        <v>0.65222323280676542</v>
      </c>
      <c r="J14" s="108">
        <f t="shared" si="5"/>
        <v>184.27799999999999</v>
      </c>
      <c r="K14" s="102">
        <f>K27*$B$34/$B$33</f>
        <v>1.2239623025370989</v>
      </c>
      <c r="L14" s="107">
        <f t="shared" si="6"/>
        <v>0.50591539013882225</v>
      </c>
      <c r="M14" s="108">
        <f t="shared" si="7"/>
        <v>170.45714999999998</v>
      </c>
      <c r="N14" s="102">
        <f>N27*$B$34/$B$33</f>
        <v>0.62362043242380716</v>
      </c>
      <c r="O14" s="107">
        <f t="shared" si="8"/>
        <v>0.2486403781713738</v>
      </c>
      <c r="P14" s="108">
        <f t="shared" si="9"/>
        <v>166.30762765957445</v>
      </c>
      <c r="Q14" s="109" t="s">
        <v>180</v>
      </c>
      <c r="Z14" s="459"/>
      <c r="AA14" s="458">
        <f>E14-'Цены на 14.12.2020'!E14</f>
        <v>1.2144878978833651E-2</v>
      </c>
      <c r="AB14" s="458">
        <f>H14-'Цены на 14.12.2020'!H14</f>
        <v>3.7549516515834602E-2</v>
      </c>
      <c r="AC14" s="458">
        <f>K14-'Цены на 14.12.2020'!K14</f>
        <v>2.3530077069348065E-2</v>
      </c>
      <c r="AD14" s="460">
        <f>N14-'Цены на 14.12.2020'!N14</f>
        <v>5.8044538969261872E-3</v>
      </c>
    </row>
    <row r="15" spans="1:32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1.2455603957236314</v>
      </c>
      <c r="F15" s="119">
        <f t="shared" si="2"/>
        <v>0.52751348332535475</v>
      </c>
      <c r="G15" s="120">
        <f t="shared" si="3"/>
        <v>173.4650444444444</v>
      </c>
      <c r="H15" s="118">
        <f>H28*$B$35/10/$B$33</f>
        <v>1.306185016754428</v>
      </c>
      <c r="I15" s="119">
        <f t="shared" si="4"/>
        <v>0.53229001116961872</v>
      </c>
      <c r="J15" s="120">
        <f t="shared" si="5"/>
        <v>168.7806494845361</v>
      </c>
      <c r="K15" s="118">
        <f>K28*$B$35/10/$B$33</f>
        <v>1.2290264081697782</v>
      </c>
      <c r="L15" s="119">
        <f t="shared" si="6"/>
        <v>0.51097949577150148</v>
      </c>
      <c r="M15" s="120">
        <f t="shared" si="7"/>
        <v>171.16241111111111</v>
      </c>
      <c r="N15" s="118">
        <f>N28*$B$35/10/$B$33</f>
        <v>0.58420089356949101</v>
      </c>
      <c r="O15" s="119">
        <f t="shared" si="8"/>
        <v>0.20922083931705765</v>
      </c>
      <c r="P15" s="120">
        <f t="shared" si="9"/>
        <v>155.79519148936171</v>
      </c>
      <c r="Q15" s="121" t="s">
        <v>180</v>
      </c>
      <c r="Z15" s="461"/>
      <c r="AA15" s="462">
        <f>E15-'Цены на 14.12.2020'!E15</f>
        <v>2.5035488484348223E-2</v>
      </c>
      <c r="AB15" s="462">
        <f>H15-'Цены на 14.12.2020'!H15</f>
        <v>3.1050493978711513E-2</v>
      </c>
      <c r="AC15" s="462">
        <f>K15-'Цены на 14.12.2020'!K15</f>
        <v>1.9423424037781523E-2</v>
      </c>
      <c r="AD15" s="463">
        <f>N15-'Цены на 14.12.2020'!N15</f>
        <v>5.3389688832985449E-3</v>
      </c>
    </row>
    <row r="16" spans="1:32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7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77" t="s">
        <v>214</v>
      </c>
      <c r="X19" s="477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</v>
      </c>
      <c r="C21" s="144" t="s">
        <v>172</v>
      </c>
      <c r="D21" s="145" t="s">
        <v>172</v>
      </c>
      <c r="E21" s="143">
        <v>47.55</v>
      </c>
      <c r="F21" s="144" t="s">
        <v>172</v>
      </c>
      <c r="G21" s="145" t="s">
        <v>172</v>
      </c>
      <c r="H21" s="143">
        <v>52.49</v>
      </c>
      <c r="I21" s="144" t="s">
        <v>172</v>
      </c>
      <c r="J21" s="145" t="s">
        <v>172</v>
      </c>
      <c r="K21" s="143">
        <v>47.31</v>
      </c>
      <c r="L21" s="144" t="s">
        <v>172</v>
      </c>
      <c r="M21" s="145" t="s">
        <v>172</v>
      </c>
      <c r="N21" s="143">
        <v>26.4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43.49</v>
      </c>
      <c r="C22" s="144" t="s">
        <v>172</v>
      </c>
      <c r="D22" s="145" t="s">
        <v>172</v>
      </c>
      <c r="E22" s="143">
        <v>46.82</v>
      </c>
      <c r="F22" s="144" t="s">
        <v>172</v>
      </c>
      <c r="G22" s="145" t="s">
        <v>172</v>
      </c>
      <c r="H22" s="143">
        <v>52.5</v>
      </c>
      <c r="I22" s="144" t="s">
        <v>172</v>
      </c>
      <c r="J22" s="145" t="s">
        <v>172</v>
      </c>
      <c r="K22" s="143">
        <v>46.86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300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43.61</v>
      </c>
      <c r="C23" s="144" t="s">
        <v>172</v>
      </c>
      <c r="D23" s="145" t="s">
        <v>172</v>
      </c>
      <c r="E23" s="143">
        <v>46.67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46.93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301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43.02</v>
      </c>
      <c r="C24" s="144" t="s">
        <v>172</v>
      </c>
      <c r="D24" s="145" t="s">
        <v>172</v>
      </c>
      <c r="E24" s="143">
        <v>46</v>
      </c>
      <c r="F24" s="144" t="s">
        <v>172</v>
      </c>
      <c r="G24" s="145" t="s">
        <v>172</v>
      </c>
      <c r="H24" s="143">
        <v>53.99</v>
      </c>
      <c r="I24" s="144" t="s">
        <v>172</v>
      </c>
      <c r="J24" s="145" t="s">
        <v>172</v>
      </c>
      <c r="K24" s="143">
        <v>48.66</v>
      </c>
      <c r="L24" s="144" t="s">
        <v>172</v>
      </c>
      <c r="M24" s="145" t="s">
        <v>172</v>
      </c>
      <c r="N24" s="143">
        <v>24.05</v>
      </c>
      <c r="O24" s="144" t="s">
        <v>172</v>
      </c>
      <c r="P24" s="145" t="s">
        <v>172</v>
      </c>
      <c r="Q24" s="147" t="s">
        <v>302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23.5</v>
      </c>
      <c r="C25" s="144" t="s">
        <v>172</v>
      </c>
      <c r="D25" s="145" t="s">
        <v>172</v>
      </c>
      <c r="E25" s="143">
        <v>25.29</v>
      </c>
      <c r="F25" s="144" t="s">
        <v>172</v>
      </c>
      <c r="G25" s="145" t="s">
        <v>172</v>
      </c>
      <c r="H25" s="143">
        <v>28.54</v>
      </c>
      <c r="I25" s="144" t="s">
        <v>172</v>
      </c>
      <c r="J25" s="145" t="s">
        <v>172</v>
      </c>
      <c r="K25" s="143">
        <v>23.49</v>
      </c>
      <c r="L25" s="144" t="s">
        <v>172</v>
      </c>
      <c r="M25" s="145" t="s">
        <v>172</v>
      </c>
      <c r="N25" s="143">
        <v>11.04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1.1439999999999999</v>
      </c>
      <c r="F26" s="144" t="s">
        <v>172</v>
      </c>
      <c r="G26" s="145" t="s">
        <v>172</v>
      </c>
      <c r="H26" s="153">
        <v>1.204</v>
      </c>
      <c r="I26" s="144" t="s">
        <v>172</v>
      </c>
      <c r="J26" s="145" t="s">
        <v>172</v>
      </c>
      <c r="K26" s="153">
        <v>1.024</v>
      </c>
      <c r="L26" s="144" t="s">
        <v>172</v>
      </c>
      <c r="M26" s="145" t="s">
        <v>172</v>
      </c>
      <c r="N26" s="153">
        <v>0.52500000000000002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1.0649999999999999</v>
      </c>
      <c r="F27" s="144" t="s">
        <v>172</v>
      </c>
      <c r="G27" s="145" t="s">
        <v>172</v>
      </c>
      <c r="H27" s="153">
        <v>1.1639999999999999</v>
      </c>
      <c r="I27" s="144" t="s">
        <v>172</v>
      </c>
      <c r="J27" s="145" t="s">
        <v>172</v>
      </c>
      <c r="K27" s="153">
        <v>0.999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4.5199999999999996</v>
      </c>
      <c r="F28" s="158" t="s">
        <v>172</v>
      </c>
      <c r="G28" s="159" t="s">
        <v>172</v>
      </c>
      <c r="H28" s="234">
        <v>4.74</v>
      </c>
      <c r="I28" s="158" t="s">
        <v>172</v>
      </c>
      <c r="J28" s="159" t="s">
        <v>172</v>
      </c>
      <c r="K28" s="234">
        <v>4.46</v>
      </c>
      <c r="L28" s="158" t="s">
        <v>172</v>
      </c>
      <c r="M28" s="159" t="s">
        <v>172</v>
      </c>
      <c r="N28" s="234">
        <v>2.12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7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9.0010999999999992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2.5068000000000001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3.0712999999999999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6.9078999999999997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3.4163999999999999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43"/>
  <sheetViews>
    <sheetView zoomScale="85" zoomScaleNormal="85" workbookViewId="0">
      <selection activeCell="G31" sqref="G31"/>
    </sheetView>
  </sheetViews>
  <sheetFormatPr defaultColWidth="9.140625" defaultRowHeight="15" outlineLevelCol="1" x14ac:dyDescent="0.25"/>
  <cols>
    <col min="1" max="1" width="24.85546875" customWidth="1"/>
    <col min="2" max="2" width="8" customWidth="1"/>
    <col min="3" max="4" width="7.42578125" customWidth="1"/>
    <col min="5" max="5" width="8.7109375" customWidth="1"/>
    <col min="6" max="6" width="9.28515625" customWidth="1"/>
    <col min="7" max="7" width="9.5703125" customWidth="1"/>
    <col min="8" max="8" width="6.140625" bestFit="1" customWidth="1"/>
    <col min="9" max="9" width="6.85546875" customWidth="1"/>
    <col min="10" max="10" width="8.140625" customWidth="1"/>
    <col min="11" max="11" width="6.140625" bestFit="1" customWidth="1"/>
    <col min="12" max="12" width="6.85546875" customWidth="1"/>
    <col min="13" max="13" width="7.7109375" customWidth="1"/>
    <col min="14" max="14" width="6.85546875" customWidth="1"/>
    <col min="15" max="15" width="7" customWidth="1"/>
    <col min="16" max="16" width="7.5703125" customWidth="1"/>
    <col min="17" max="17" width="51" hidden="1" customWidth="1" outlineLevel="1"/>
    <col min="18" max="18" width="44.7109375" hidden="1" customWidth="1" outlineLevel="1"/>
    <col min="19" max="19" width="28.42578125" hidden="1" customWidth="1" outlineLevel="1"/>
    <col min="20" max="20" width="43" hidden="1" customWidth="1" outlineLevel="1"/>
    <col min="21" max="21" width="28.28515625" hidden="1" customWidth="1" outlineLevel="1"/>
    <col min="22" max="22" width="29" hidden="1" customWidth="1" outlineLevel="1"/>
    <col min="23" max="23" width="42.28515625" hidden="1" customWidth="1" outlineLevel="1"/>
    <col min="24" max="24" width="44.28515625" hidden="1" customWidth="1" outlineLevel="1"/>
    <col min="25" max="25" width="9.140625" collapsed="1"/>
    <col min="26" max="28" width="7.42578125" bestFit="1" customWidth="1"/>
    <col min="29" max="30" width="5.85546875" bestFit="1" customWidth="1"/>
    <col min="32" max="32" width="10.28515625" bestFit="1" customWidth="1"/>
  </cols>
  <sheetData>
    <row r="1" spans="1:32" s="93" customFormat="1" ht="37.5" customHeight="1" x14ac:dyDescent="0.2">
      <c r="A1" s="491" t="s">
        <v>162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92"/>
      <c r="R1" s="92"/>
    </row>
    <row r="2" spans="1:32" s="93" customFormat="1" ht="16.5" thickBot="1" x14ac:dyDescent="0.25">
      <c r="A2" s="492" t="s">
        <v>163</v>
      </c>
      <c r="B2" s="492"/>
      <c r="C2" s="492"/>
      <c r="D2" s="493">
        <v>44193</v>
      </c>
      <c r="E2" s="493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</row>
    <row r="3" spans="1:32" s="96" customFormat="1" ht="15.75" x14ac:dyDescent="0.25">
      <c r="A3" s="494" t="s">
        <v>1</v>
      </c>
      <c r="B3" s="497" t="s">
        <v>164</v>
      </c>
      <c r="C3" s="498"/>
      <c r="D3" s="499"/>
      <c r="E3" s="497" t="s">
        <v>165</v>
      </c>
      <c r="F3" s="498"/>
      <c r="G3" s="499"/>
      <c r="H3" s="497" t="s">
        <v>10</v>
      </c>
      <c r="I3" s="498"/>
      <c r="J3" s="499"/>
      <c r="K3" s="497" t="s">
        <v>11</v>
      </c>
      <c r="L3" s="498"/>
      <c r="M3" s="499"/>
      <c r="N3" s="497" t="s">
        <v>3</v>
      </c>
      <c r="O3" s="498"/>
      <c r="P3" s="499"/>
      <c r="Q3" s="506" t="s">
        <v>166</v>
      </c>
      <c r="R3" s="95"/>
      <c r="Z3" s="455" t="str">
        <f>B3</f>
        <v>АИ-92</v>
      </c>
      <c r="AA3" s="455" t="str">
        <f>E3</f>
        <v>АИ-95</v>
      </c>
      <c r="AB3" s="455" t="str">
        <f>H3</f>
        <v>АИ-98</v>
      </c>
      <c r="AC3" s="455" t="str">
        <f>K3</f>
        <v>ДТ</v>
      </c>
      <c r="AD3" s="475" t="str">
        <f>N3</f>
        <v>ПБА</v>
      </c>
    </row>
    <row r="4" spans="1:32" s="96" customFormat="1" ht="15.75" customHeight="1" x14ac:dyDescent="0.25">
      <c r="A4" s="495"/>
      <c r="B4" s="97" t="s">
        <v>167</v>
      </c>
      <c r="C4" s="509" t="s">
        <v>168</v>
      </c>
      <c r="D4" s="510"/>
      <c r="E4" s="97" t="s">
        <v>167</v>
      </c>
      <c r="F4" s="509" t="s">
        <v>168</v>
      </c>
      <c r="G4" s="510"/>
      <c r="H4" s="97" t="s">
        <v>167</v>
      </c>
      <c r="I4" s="509" t="s">
        <v>168</v>
      </c>
      <c r="J4" s="510"/>
      <c r="K4" s="97" t="s">
        <v>167</v>
      </c>
      <c r="L4" s="509" t="s">
        <v>168</v>
      </c>
      <c r="M4" s="510"/>
      <c r="N4" s="97" t="s">
        <v>167</v>
      </c>
      <c r="O4" s="509" t="s">
        <v>168</v>
      </c>
      <c r="P4" s="510"/>
      <c r="Q4" s="507"/>
      <c r="R4" s="95"/>
      <c r="Z4" s="523" t="s">
        <v>303</v>
      </c>
      <c r="AA4" s="524"/>
      <c r="AB4" s="524"/>
      <c r="AC4" s="524"/>
      <c r="AD4" s="525"/>
    </row>
    <row r="5" spans="1:32" s="96" customFormat="1" ht="16.5" thickBot="1" x14ac:dyDescent="0.3">
      <c r="A5" s="496"/>
      <c r="B5" s="478" t="s">
        <v>169</v>
      </c>
      <c r="C5" s="479" t="s">
        <v>169</v>
      </c>
      <c r="D5" s="480" t="s">
        <v>170</v>
      </c>
      <c r="E5" s="478" t="s">
        <v>169</v>
      </c>
      <c r="F5" s="479" t="s">
        <v>169</v>
      </c>
      <c r="G5" s="480" t="s">
        <v>170</v>
      </c>
      <c r="H5" s="478" t="s">
        <v>169</v>
      </c>
      <c r="I5" s="479" t="s">
        <v>169</v>
      </c>
      <c r="J5" s="480" t="s">
        <v>170</v>
      </c>
      <c r="K5" s="478" t="s">
        <v>169</v>
      </c>
      <c r="L5" s="479" t="s">
        <v>169</v>
      </c>
      <c r="M5" s="480" t="s">
        <v>170</v>
      </c>
      <c r="N5" s="478" t="s">
        <v>169</v>
      </c>
      <c r="O5" s="479" t="s">
        <v>169</v>
      </c>
      <c r="P5" s="480" t="s">
        <v>170</v>
      </c>
      <c r="Q5" s="508"/>
      <c r="R5" s="95"/>
      <c r="Z5" s="526" t="s">
        <v>169</v>
      </c>
      <c r="AA5" s="527"/>
      <c r="AB5" s="527"/>
      <c r="AC5" s="527"/>
      <c r="AD5" s="528"/>
    </row>
    <row r="6" spans="1:32" s="96" customFormat="1" ht="15.75" x14ac:dyDescent="0.25">
      <c r="A6" s="101" t="s">
        <v>171</v>
      </c>
      <c r="B6" s="102">
        <f>B20/$B$33</f>
        <v>0.65659881812212728</v>
      </c>
      <c r="C6" s="103" t="s">
        <v>172</v>
      </c>
      <c r="D6" s="104" t="s">
        <v>172</v>
      </c>
      <c r="E6" s="102">
        <f>E20/$B$33</f>
        <v>0.69522227801166425</v>
      </c>
      <c r="F6" s="103" t="s">
        <v>172</v>
      </c>
      <c r="G6" s="104" t="s">
        <v>172</v>
      </c>
      <c r="H6" s="102">
        <f>H20/$B$33</f>
        <v>0.74929512185701586</v>
      </c>
      <c r="I6" s="103" t="s">
        <v>172</v>
      </c>
      <c r="J6" s="104" t="s">
        <v>172</v>
      </c>
      <c r="K6" s="102">
        <f>K20/$B$33</f>
        <v>0.69522227801166425</v>
      </c>
      <c r="L6" s="103" t="s">
        <v>172</v>
      </c>
      <c r="M6" s="104" t="s">
        <v>172</v>
      </c>
      <c r="N6" s="102">
        <f>N20/$B$33</f>
        <v>0.36306052296164687</v>
      </c>
      <c r="O6" s="103" t="s">
        <v>172</v>
      </c>
      <c r="P6" s="104" t="s">
        <v>172</v>
      </c>
      <c r="Q6" s="105" t="s">
        <v>173</v>
      </c>
      <c r="R6" s="95"/>
      <c r="Z6" s="464">
        <f>'Цены на 28.12.2020'!B6-'Цены на 14.12.2020'!B6</f>
        <v>-1.4436154641747412E-2</v>
      </c>
      <c r="AA6" s="465">
        <f>E6-'Цены на 14.12.2020'!E6</f>
        <v>-1.5285340208908926E-2</v>
      </c>
      <c r="AB6" s="465">
        <f>H6-'Цены на 14.12.2020'!H6</f>
        <v>-1.6474200002935202E-2</v>
      </c>
      <c r="AC6" s="465">
        <f>K6-'Цены на 14.12.2020'!K6</f>
        <v>-1.5285340208908926E-2</v>
      </c>
      <c r="AD6" s="466">
        <f>N6-'Цены на 14.12.2020'!N6</f>
        <v>-7.9823443313191134E-3</v>
      </c>
    </row>
    <row r="7" spans="1:32" s="96" customFormat="1" ht="15.75" x14ac:dyDescent="0.25">
      <c r="A7" s="106" t="s">
        <v>174</v>
      </c>
      <c r="B7" s="102">
        <f>B21*$B$36/100/$B$33</f>
        <v>0.57539410606002073</v>
      </c>
      <c r="C7" s="107">
        <f t="shared" ref="C7:C12" si="0">B7-B$6</f>
        <v>-8.1204712062106554E-2</v>
      </c>
      <c r="D7" s="108">
        <f t="shared" ref="D7:D12" si="1">B7/B$6*100</f>
        <v>87.632522352941166</v>
      </c>
      <c r="E7" s="102">
        <f>E21*$B$36/100/$B$33</f>
        <v>0.6367765941833069</v>
      </c>
      <c r="F7" s="107">
        <f t="shared" ref="F7:F15" si="2">E7-E$6</f>
        <v>-5.8445683828357353E-2</v>
      </c>
      <c r="G7" s="108">
        <f t="shared" ref="G7:G15" si="3">E7/E$6*100</f>
        <v>91.593237777777787</v>
      </c>
      <c r="H7" s="102">
        <f>H21*$B$36/100/$B$33</f>
        <v>0.7038970105442045</v>
      </c>
      <c r="I7" s="107">
        <f t="shared" ref="I7:I15" si="4">H7-H$6</f>
        <v>-4.5398111312811351E-2</v>
      </c>
      <c r="J7" s="108">
        <f t="shared" ref="J7:J15" si="5">H7/H$6*100</f>
        <v>93.941224226804138</v>
      </c>
      <c r="K7" s="102">
        <f>K21*$B$36/100/$B$33</f>
        <v>0.63650971380016219</v>
      </c>
      <c r="L7" s="107">
        <f t="shared" ref="L7:L15" si="6">K7-K$6</f>
        <v>-5.8712564211502061E-2</v>
      </c>
      <c r="M7" s="108">
        <f t="shared" ref="M7:M15" si="7">K7/K$6*100</f>
        <v>91.554850000000002</v>
      </c>
      <c r="N7" s="102">
        <f>N21*$B$36/100/$B$33</f>
        <v>0.35254898613417784</v>
      </c>
      <c r="O7" s="107">
        <f t="shared" ref="O7:O15" si="8">N7-N$6</f>
        <v>-1.0511536827469026E-2</v>
      </c>
      <c r="P7" s="108">
        <f t="shared" ref="P7:P15" si="9">N7/N$6*100</f>
        <v>97.104742553191485</v>
      </c>
      <c r="Q7" s="109" t="s">
        <v>175</v>
      </c>
      <c r="R7" s="95"/>
      <c r="Z7" s="459">
        <f>'Цены на 28.12.2020'!B7-'Цены на 14.12.2020'!B7</f>
        <v>-1.281532790224349E-2</v>
      </c>
      <c r="AA7" s="458">
        <f>E7-'Цены на 14.12.2020'!E7</f>
        <v>-1.3507940434203225E-2</v>
      </c>
      <c r="AB7" s="458">
        <f>H7-'Цены на 14.12.2020'!H7</f>
        <v>-1.7350029007386358E-2</v>
      </c>
      <c r="AC7" s="458">
        <f>K7-'Цены на 14.12.2020'!K7</f>
        <v>-1.0219859105813911E-2</v>
      </c>
      <c r="AD7" s="460">
        <f>N7-'Цены на 14.12.2020'!N7</f>
        <v>-8.8265447729035662E-3</v>
      </c>
      <c r="AF7" s="453"/>
    </row>
    <row r="8" spans="1:32" s="96" customFormat="1" ht="15.75" x14ac:dyDescent="0.25">
      <c r="A8" s="110" t="s">
        <v>176</v>
      </c>
      <c r="B8" s="102">
        <f>B22*$B$36/100/$B$33</f>
        <v>0.58059827353134286</v>
      </c>
      <c r="C8" s="107">
        <f t="shared" si="0"/>
        <v>-7.6000544590784425E-2</v>
      </c>
      <c r="D8" s="108">
        <f t="shared" si="1"/>
        <v>88.425117058823531</v>
      </c>
      <c r="E8" s="102">
        <f>E22*$B$36/100/$B$33</f>
        <v>0.62516729751651146</v>
      </c>
      <c r="F8" s="107">
        <f t="shared" si="2"/>
        <v>-7.0054980495152797E-2</v>
      </c>
      <c r="G8" s="108">
        <f t="shared" si="3"/>
        <v>89.923369444444432</v>
      </c>
      <c r="H8" s="102">
        <f>H22*$B$36/100/$B$33</f>
        <v>0.70056100575489544</v>
      </c>
      <c r="I8" s="107">
        <f t="shared" si="4"/>
        <v>-4.8734116102120417E-2</v>
      </c>
      <c r="J8" s="108">
        <f t="shared" si="5"/>
        <v>93.496005154639178</v>
      </c>
      <c r="K8" s="102">
        <f>K22*$B$36/100/$B$33</f>
        <v>0.62383289560078781</v>
      </c>
      <c r="L8" s="107">
        <f t="shared" si="6"/>
        <v>-7.1389382410876445E-2</v>
      </c>
      <c r="M8" s="108">
        <f t="shared" si="7"/>
        <v>89.731430555555548</v>
      </c>
      <c r="N8" s="102">
        <f>N22*$B$36/100/$B$33</f>
        <v>0.33093167509945537</v>
      </c>
      <c r="O8" s="107">
        <f t="shared" si="8"/>
        <v>-3.2128847862191501E-2</v>
      </c>
      <c r="P8" s="108">
        <f t="shared" si="9"/>
        <v>91.150553191489365</v>
      </c>
      <c r="Q8" s="109" t="s">
        <v>175</v>
      </c>
      <c r="Z8" s="459">
        <f>'Цены на 28.12.2020'!B8-'Цены на 14.12.2020'!B8</f>
        <v>-1.3353790888014472E-2</v>
      </c>
      <c r="AA8" s="458">
        <f>E8-'Цены на 14.12.2020'!E8</f>
        <v>-1.5272727745981762E-2</v>
      </c>
      <c r="AB8" s="458">
        <f>H8-'Цены на 14.12.2020'!H8</f>
        <v>-1.7267801381758985E-2</v>
      </c>
      <c r="AC8" s="458">
        <f>K8-'Цены на 14.12.2020'!K8</f>
        <v>-3.1100435101035884E-2</v>
      </c>
      <c r="AD8" s="460">
        <f>N8-'Цены на 14.12.2020'!N8</f>
        <v>-8.1569804622404485E-3</v>
      </c>
    </row>
    <row r="9" spans="1:32" s="96" customFormat="1" ht="15.75" x14ac:dyDescent="0.25">
      <c r="A9" s="110" t="s">
        <v>177</v>
      </c>
      <c r="B9" s="102">
        <f>B23*$B$36/100/$B$33</f>
        <v>0.58246643621335592</v>
      </c>
      <c r="C9" s="107">
        <f t="shared" si="0"/>
        <v>-7.4132381908771361E-2</v>
      </c>
      <c r="D9" s="108">
        <f t="shared" si="1"/>
        <v>88.709638235294122</v>
      </c>
      <c r="E9" s="102">
        <f>E23*$B$36/100/$B$33</f>
        <v>0.62450009655864958</v>
      </c>
      <c r="F9" s="107">
        <f t="shared" si="2"/>
        <v>-7.0722181453014676E-2</v>
      </c>
      <c r="G9" s="108">
        <f t="shared" si="3"/>
        <v>89.827399999999983</v>
      </c>
      <c r="H9" s="102">
        <f>H23*$B$36/100/$B$33</f>
        <v>0.70589861341778981</v>
      </c>
      <c r="I9" s="107">
        <f t="shared" si="4"/>
        <v>-4.3396508439226045E-2</v>
      </c>
      <c r="J9" s="108">
        <f t="shared" si="5"/>
        <v>94.208355670103089</v>
      </c>
      <c r="K9" s="102">
        <f>K23*$B$36/100/$B$33</f>
        <v>0.63050490517940594</v>
      </c>
      <c r="L9" s="107">
        <f t="shared" si="6"/>
        <v>-6.4717372832258313E-2</v>
      </c>
      <c r="M9" s="108">
        <f t="shared" si="7"/>
        <v>90.691125</v>
      </c>
      <c r="N9" s="102">
        <f>N23*$B$36/100/$B$33</f>
        <v>0.35761971341392756</v>
      </c>
      <c r="O9" s="107">
        <f t="shared" si="8"/>
        <v>-5.4408095477193053E-3</v>
      </c>
      <c r="P9" s="108">
        <f t="shared" si="9"/>
        <v>98.501404255319144</v>
      </c>
      <c r="Q9" s="109" t="s">
        <v>175</v>
      </c>
      <c r="Z9" s="459">
        <f>'Цены на 28.12.2020'!B9-'Цены на 14.12.2020'!B9</f>
        <v>-1.4083484841353244E-2</v>
      </c>
      <c r="AA9" s="458">
        <f>E9-'Цены на 14.12.2020'!E9</f>
        <v>-1.4162447848076742E-2</v>
      </c>
      <c r="AB9" s="458">
        <f>H9-'Цены на 14.12.2020'!H9</f>
        <v>-1.7399365582762782E-2</v>
      </c>
      <c r="AC9" s="458">
        <f>K9-'Цены на 14.12.2020'!K9</f>
        <v>-1.1302413049061766E-2</v>
      </c>
      <c r="AD9" s="460">
        <f>N9-'Цены на 14.12.2020'!N9</f>
        <v>-8.8148014672598252E-3</v>
      </c>
      <c r="AF9" s="454"/>
    </row>
    <row r="10" spans="1:32" s="96" customFormat="1" ht="15.75" x14ac:dyDescent="0.25">
      <c r="A10" s="110" t="s">
        <v>178</v>
      </c>
      <c r="B10" s="102">
        <f>B24*$B$36/100/$B$33</f>
        <v>0.57566098644316555</v>
      </c>
      <c r="C10" s="107">
        <f t="shared" si="0"/>
        <v>-8.0937831678961736E-2</v>
      </c>
      <c r="D10" s="108">
        <f t="shared" si="1"/>
        <v>87.673168235294128</v>
      </c>
      <c r="E10" s="102">
        <f>E24*$B$36/100/$B$33</f>
        <v>0.61676056544745272</v>
      </c>
      <c r="F10" s="107">
        <f t="shared" si="2"/>
        <v>-7.8461712564211528E-2</v>
      </c>
      <c r="G10" s="108">
        <f t="shared" si="3"/>
        <v>88.714154444444432</v>
      </c>
      <c r="H10" s="102">
        <f>H24*$B$36/100/$B$33</f>
        <v>0.71377158472055924</v>
      </c>
      <c r="I10" s="107">
        <f t="shared" si="4"/>
        <v>-3.5523537136456618E-2</v>
      </c>
      <c r="J10" s="108">
        <f t="shared" si="5"/>
        <v>95.259072680412388</v>
      </c>
      <c r="K10" s="102">
        <f>K24*$B$36/100/$B$33</f>
        <v>0.65038749372368776</v>
      </c>
      <c r="L10" s="107">
        <f t="shared" si="6"/>
        <v>-4.4834784287976492E-2</v>
      </c>
      <c r="M10" s="108">
        <f t="shared" si="7"/>
        <v>93.551014444444448</v>
      </c>
      <c r="N10" s="102">
        <f>N24*$B$36/100/$B$33</f>
        <v>0.32092366073152828</v>
      </c>
      <c r="O10" s="107">
        <f t="shared" si="8"/>
        <v>-4.2136862230118588E-2</v>
      </c>
      <c r="P10" s="108">
        <f t="shared" si="9"/>
        <v>88.393984042553186</v>
      </c>
      <c r="Q10" s="109" t="s">
        <v>175</v>
      </c>
      <c r="Z10" s="459">
        <f>'Цены на 28.12.2020'!B10-'Цены на 14.12.2020'!B10</f>
        <v>-1.2001530332708898E-2</v>
      </c>
      <c r="AA10" s="458">
        <f>E10-'Цены на 14.12.2020'!E10</f>
        <v>-1.2467657494048878E-2</v>
      </c>
      <c r="AB10" s="458">
        <f>H10-'Цены на 14.12.2020'!H10</f>
        <v>-1.3226364841459892E-3</v>
      </c>
      <c r="AC10" s="458">
        <f>K10-'Цены на 14.12.2020'!K10</f>
        <v>-1.1792489697801112E-2</v>
      </c>
      <c r="AD10" s="460">
        <f>N10-'Цены на 14.12.2020'!N10</f>
        <v>-6.9531925091759206E-3</v>
      </c>
    </row>
    <row r="11" spans="1:32" s="96" customFormat="1" ht="31.5" x14ac:dyDescent="0.25">
      <c r="A11" s="241" t="s">
        <v>229</v>
      </c>
      <c r="B11" s="235">
        <f>AVERAGE(B7:B10)</f>
        <v>0.57852995056197121</v>
      </c>
      <c r="C11" s="236">
        <f t="shared" si="0"/>
        <v>-7.8068867560156074E-2</v>
      </c>
      <c r="D11" s="237">
        <f t="shared" si="1"/>
        <v>88.110111470588222</v>
      </c>
      <c r="E11" s="235">
        <f>AVERAGE(E7:E10)</f>
        <v>0.62580113842648022</v>
      </c>
      <c r="F11" s="236">
        <f t="shared" si="2"/>
        <v>-6.9421139585184033E-2</v>
      </c>
      <c r="G11" s="237">
        <f t="shared" si="3"/>
        <v>90.014540416666662</v>
      </c>
      <c r="H11" s="235">
        <f>AVERAGE(H7:H10)</f>
        <v>0.70603205360936228</v>
      </c>
      <c r="I11" s="236">
        <f t="shared" si="4"/>
        <v>-4.326306824765358E-2</v>
      </c>
      <c r="J11" s="237">
        <f t="shared" si="5"/>
        <v>94.226164432989705</v>
      </c>
      <c r="K11" s="235">
        <f>AVERAGE(K7:K10)</f>
        <v>0.63530875207601101</v>
      </c>
      <c r="L11" s="236">
        <f t="shared" si="6"/>
        <v>-5.9913525935653245E-2</v>
      </c>
      <c r="M11" s="237">
        <f t="shared" si="7"/>
        <v>91.38210500000001</v>
      </c>
      <c r="N11" s="235">
        <f>AVERAGE(N7:N10)</f>
        <v>0.34050600884477228</v>
      </c>
      <c r="O11" s="236">
        <f t="shared" si="8"/>
        <v>-2.2554514116874591E-2</v>
      </c>
      <c r="P11" s="237">
        <f t="shared" si="9"/>
        <v>93.787671010638292</v>
      </c>
      <c r="Q11" s="109"/>
      <c r="Z11" s="459">
        <f>'Цены на 28.12.2020'!B11-'Цены на 14.12.2020'!B11</f>
        <v>-1.3063533491080026E-2</v>
      </c>
      <c r="AA11" s="458">
        <f>E11-'Цены на 14.12.2020'!E11</f>
        <v>-1.3852693380577596E-2</v>
      </c>
      <c r="AB11" s="458">
        <f>H11-'Цены на 14.12.2020'!H11</f>
        <v>-1.3334958114013529E-2</v>
      </c>
      <c r="AC11" s="458">
        <f>K11-'Цены на 14.12.2020'!K11</f>
        <v>-1.6103799238428085E-2</v>
      </c>
      <c r="AD11" s="460">
        <f>N11-'Цены на 14.12.2020'!N11</f>
        <v>-8.1878798028949262E-3</v>
      </c>
    </row>
    <row r="12" spans="1:32" s="96" customFormat="1" ht="15.75" x14ac:dyDescent="0.25">
      <c r="A12" s="110" t="s">
        <v>24</v>
      </c>
      <c r="B12" s="102">
        <f>B25*$B$32/100/$B$33</f>
        <v>0.83757059982233206</v>
      </c>
      <c r="C12" s="107">
        <f t="shared" si="0"/>
        <v>0.18097178170020478</v>
      </c>
      <c r="D12" s="108">
        <f t="shared" si="1"/>
        <v>127.56200235294119</v>
      </c>
      <c r="E12" s="102">
        <f>E25*$B$32/100/$B$33</f>
        <v>0.90989662044725961</v>
      </c>
      <c r="F12" s="107">
        <f t="shared" si="2"/>
        <v>0.21467434243559536</v>
      </c>
      <c r="G12" s="108">
        <f t="shared" si="3"/>
        <v>130.87851888888889</v>
      </c>
      <c r="H12" s="102">
        <f>H25*$B$32/100/$B$33</f>
        <v>1.0510205631300451</v>
      </c>
      <c r="I12" s="107">
        <f t="shared" si="4"/>
        <v>0.30172544127302925</v>
      </c>
      <c r="J12" s="108">
        <f t="shared" si="5"/>
        <v>140.26790412371136</v>
      </c>
      <c r="K12" s="102">
        <f>K25*$B$32/100/$B$33</f>
        <v>0.86050324050828464</v>
      </c>
      <c r="L12" s="107">
        <f t="shared" si="6"/>
        <v>0.16528096249662039</v>
      </c>
      <c r="M12" s="108">
        <f t="shared" si="7"/>
        <v>123.77382999999999</v>
      </c>
      <c r="N12" s="102">
        <f>N25*$B$32/100/$B$33</f>
        <v>0.38950208180448803</v>
      </c>
      <c r="O12" s="107">
        <f t="shared" si="8"/>
        <v>2.6441558842841162E-2</v>
      </c>
      <c r="P12" s="108">
        <f t="shared" si="9"/>
        <v>107.28296170212765</v>
      </c>
      <c r="Q12" s="109" t="s">
        <v>179</v>
      </c>
      <c r="Z12" s="459">
        <f>'Цены на 28.12.2020'!B12-'Цены на 14.12.2020'!B12</f>
        <v>-1.7005377793101184E-3</v>
      </c>
      <c r="AA12" s="458">
        <f>E12-'Цены на 14.12.2020'!E12</f>
        <v>6.6980217261731756E-3</v>
      </c>
      <c r="AB12" s="458">
        <f>H12-'Цены на 14.12.2020'!H12</f>
        <v>3.1752551761923264E-2</v>
      </c>
      <c r="AC12" s="458">
        <f>K12-'Цены на 14.12.2020'!K12</f>
        <v>2.1589239560941165E-2</v>
      </c>
      <c r="AD12" s="460">
        <f>N12-'Цены на 14.12.2020'!N12</f>
        <v>-1.3705200898598724E-2</v>
      </c>
    </row>
    <row r="13" spans="1:32" s="96" customFormat="1" ht="15.75" x14ac:dyDescent="0.25">
      <c r="A13" s="110" t="s">
        <v>26</v>
      </c>
      <c r="B13" s="111" t="s">
        <v>172</v>
      </c>
      <c r="C13" s="112" t="s">
        <v>172</v>
      </c>
      <c r="D13" s="113" t="s">
        <v>172</v>
      </c>
      <c r="E13" s="102">
        <f>E26*$B$34/$B$33</f>
        <v>1.4077453941524078</v>
      </c>
      <c r="F13" s="107">
        <f t="shared" si="2"/>
        <v>0.7125231161407436</v>
      </c>
      <c r="G13" s="108">
        <f t="shared" si="3"/>
        <v>202.48853333333327</v>
      </c>
      <c r="H13" s="102">
        <f>H26*$B$34/$B$33</f>
        <v>1.4809383955814759</v>
      </c>
      <c r="I13" s="107">
        <f t="shared" si="4"/>
        <v>0.73164327372446003</v>
      </c>
      <c r="J13" s="108">
        <f t="shared" si="5"/>
        <v>197.64420618556699</v>
      </c>
      <c r="K13" s="102">
        <f>K26*$B$34/$B$33</f>
        <v>1.2491605577227607</v>
      </c>
      <c r="L13" s="107">
        <f t="shared" si="6"/>
        <v>0.55393827971109644</v>
      </c>
      <c r="M13" s="108">
        <f t="shared" si="7"/>
        <v>179.67786666666666</v>
      </c>
      <c r="N13" s="102">
        <f>N26*$B$34/$B$33</f>
        <v>0.65263759607585647</v>
      </c>
      <c r="O13" s="107">
        <f t="shared" si="8"/>
        <v>0.2895770731142096</v>
      </c>
      <c r="P13" s="108">
        <f t="shared" si="9"/>
        <v>179.76000000000002</v>
      </c>
      <c r="Q13" s="109" t="s">
        <v>180</v>
      </c>
      <c r="Z13" s="459"/>
      <c r="AA13" s="458">
        <f>E13-'Цены на 14.12.2020'!E13</f>
        <v>4.3452349232536935E-2</v>
      </c>
      <c r="AB13" s="458">
        <f>H13-'Цены на 14.12.2020'!H13</f>
        <v>4.381831979399653E-2</v>
      </c>
      <c r="AC13" s="458">
        <f>K13-'Цены на 14.12.2020'!K13</f>
        <v>4.2659413016042258E-2</v>
      </c>
      <c r="AD13" s="460">
        <f>N13-'Цены на 14.12.2020'!N13</f>
        <v>1.5401075984279866E-2</v>
      </c>
    </row>
    <row r="14" spans="1:32" s="96" customFormat="1" ht="15.75" x14ac:dyDescent="0.25">
      <c r="A14" s="110" t="s">
        <v>27</v>
      </c>
      <c r="B14" s="111" t="s">
        <v>172</v>
      </c>
      <c r="C14" s="112" t="s">
        <v>172</v>
      </c>
      <c r="D14" s="113" t="s">
        <v>172</v>
      </c>
      <c r="E14" s="102">
        <f>E27*$B$34/$B$33</f>
        <v>1.3235734425089798</v>
      </c>
      <c r="F14" s="107">
        <f t="shared" si="2"/>
        <v>0.62835116449731554</v>
      </c>
      <c r="G14" s="108">
        <f t="shared" si="3"/>
        <v>190.38133333333332</v>
      </c>
      <c r="H14" s="102">
        <f>H27*$B$34/$B$33</f>
        <v>1.4321430612954305</v>
      </c>
      <c r="I14" s="107">
        <f t="shared" si="4"/>
        <v>0.6828479394384146</v>
      </c>
      <c r="J14" s="108">
        <f t="shared" si="5"/>
        <v>191.13204123711338</v>
      </c>
      <c r="K14" s="102">
        <f>K27*$B$34/$B$33</f>
        <v>1.2101242902939244</v>
      </c>
      <c r="L14" s="107">
        <f t="shared" si="6"/>
        <v>0.51490201228226018</v>
      </c>
      <c r="M14" s="108">
        <f t="shared" si="7"/>
        <v>174.06293333333335</v>
      </c>
      <c r="N14" s="102">
        <f>N27*$B$34/$B$33</f>
        <v>0.62092062878992693</v>
      </c>
      <c r="O14" s="107">
        <f t="shared" si="8"/>
        <v>0.25786010582828006</v>
      </c>
      <c r="P14" s="108">
        <f t="shared" si="9"/>
        <v>171.024</v>
      </c>
      <c r="Q14" s="109" t="s">
        <v>180</v>
      </c>
      <c r="Z14" s="459"/>
      <c r="AA14" s="458">
        <f>E14-'Цены на 14.12.2020'!E14</f>
        <v>3.0893644608924298E-2</v>
      </c>
      <c r="AB14" s="458">
        <f>H14-'Цены на 14.12.2020'!H14</f>
        <v>4.3574339419690356E-2</v>
      </c>
      <c r="AC14" s="458">
        <f>K14-'Цены на 14.12.2020'!K14</f>
        <v>9.6920648261735742E-3</v>
      </c>
      <c r="AD14" s="460">
        <f>N14-'Цены на 14.12.2020'!N14</f>
        <v>3.1046502630459605E-3</v>
      </c>
    </row>
    <row r="15" spans="1:32" s="96" customFormat="1" ht="16.5" thickBot="1" x14ac:dyDescent="0.3">
      <c r="A15" s="114" t="s">
        <v>29</v>
      </c>
      <c r="B15" s="115" t="s">
        <v>172</v>
      </c>
      <c r="C15" s="116" t="s">
        <v>172</v>
      </c>
      <c r="D15" s="117" t="s">
        <v>172</v>
      </c>
      <c r="E15" s="118">
        <f>E28*$B$35/10/$B$33</f>
        <v>1.2222033911397781</v>
      </c>
      <c r="F15" s="119">
        <f t="shared" si="2"/>
        <v>0.5269811131281138</v>
      </c>
      <c r="G15" s="120">
        <f t="shared" si="3"/>
        <v>175.80037777777775</v>
      </c>
      <c r="H15" s="118">
        <f>H28*$B$35/10/$B$33</f>
        <v>1.300619095438569</v>
      </c>
      <c r="I15" s="119">
        <f t="shared" si="4"/>
        <v>0.55132397358155316</v>
      </c>
      <c r="J15" s="120">
        <f t="shared" si="5"/>
        <v>173.5790154639175</v>
      </c>
      <c r="K15" s="118">
        <f>K28*$B$35/10/$B$33</f>
        <v>1.2086834421227453</v>
      </c>
      <c r="L15" s="119">
        <f t="shared" si="6"/>
        <v>0.513461164111081</v>
      </c>
      <c r="M15" s="120">
        <f t="shared" si="7"/>
        <v>173.85568333333333</v>
      </c>
      <c r="N15" s="118">
        <f>N28*$B$35/10/$B$33</f>
        <v>0.5705418485187902</v>
      </c>
      <c r="O15" s="119">
        <f t="shared" si="8"/>
        <v>0.20748132555714333</v>
      </c>
      <c r="P15" s="120">
        <f t="shared" si="9"/>
        <v>157.14786170212764</v>
      </c>
      <c r="Q15" s="121" t="s">
        <v>180</v>
      </c>
      <c r="Z15" s="461"/>
      <c r="AA15" s="462">
        <f>E15-'Цены на 14.12.2020'!E15</f>
        <v>1.6784839004948537E-3</v>
      </c>
      <c r="AB15" s="462">
        <f>H15-'Цены на 14.12.2020'!H15</f>
        <v>2.5484572662852534E-2</v>
      </c>
      <c r="AC15" s="462">
        <f>K15-'Цены на 14.12.2020'!K15</f>
        <v>-9.1954200925137286E-4</v>
      </c>
      <c r="AD15" s="463">
        <f>N15-'Цены на 14.12.2020'!N15</f>
        <v>-8.3200761674022683E-3</v>
      </c>
    </row>
    <row r="16" spans="1:32" s="96" customFormat="1" ht="15.75" x14ac:dyDescent="0.25">
      <c r="A16" s="122"/>
      <c r="B16" s="123"/>
      <c r="C16" s="123"/>
      <c r="D16" s="124"/>
      <c r="E16" s="123"/>
      <c r="F16" s="124"/>
      <c r="G16" s="124"/>
      <c r="H16" s="123"/>
      <c r="I16" s="123"/>
      <c r="J16" s="123"/>
      <c r="K16" s="123"/>
      <c r="L16" s="123"/>
      <c r="M16" s="125"/>
      <c r="N16" s="123"/>
      <c r="O16" s="124"/>
      <c r="P16" s="124"/>
      <c r="Q16" s="124"/>
      <c r="R16" s="124"/>
      <c r="S16" s="95"/>
      <c r="AB16" s="93"/>
    </row>
    <row r="17" spans="1:28" s="96" customFormat="1" ht="15.75" x14ac:dyDescent="0.2">
      <c r="A17" s="126" t="s">
        <v>181</v>
      </c>
      <c r="B17" s="123"/>
      <c r="C17" s="123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7"/>
      <c r="Q17" s="124"/>
      <c r="R17" s="124"/>
      <c r="S17" s="95"/>
      <c r="AB17" s="93"/>
    </row>
    <row r="18" spans="1:28" s="96" customFormat="1" ht="16.5" thickBot="1" x14ac:dyDescent="0.25">
      <c r="A18" s="128" t="s">
        <v>182</v>
      </c>
      <c r="B18" s="123"/>
      <c r="C18" s="123"/>
      <c r="D18" s="124"/>
      <c r="E18" s="123"/>
      <c r="F18" s="124"/>
      <c r="G18" s="124"/>
      <c r="H18" s="123"/>
      <c r="I18" s="123"/>
      <c r="J18" s="123"/>
      <c r="K18" s="123"/>
      <c r="L18" s="123"/>
      <c r="M18" s="125"/>
      <c r="N18" s="123"/>
      <c r="O18" s="124"/>
      <c r="P18" s="124"/>
      <c r="Q18" s="124"/>
      <c r="R18" s="124"/>
      <c r="S18" s="95"/>
      <c r="AB18" s="93"/>
    </row>
    <row r="19" spans="1:28" s="96" customFormat="1" ht="16.5" thickBot="1" x14ac:dyDescent="0.25">
      <c r="A19" s="129" t="s">
        <v>1</v>
      </c>
      <c r="B19" s="500" t="s">
        <v>164</v>
      </c>
      <c r="C19" s="501"/>
      <c r="D19" s="502"/>
      <c r="E19" s="500" t="s">
        <v>165</v>
      </c>
      <c r="F19" s="501"/>
      <c r="G19" s="502"/>
      <c r="H19" s="500" t="s">
        <v>251</v>
      </c>
      <c r="I19" s="501"/>
      <c r="J19" s="502"/>
      <c r="K19" s="500" t="s">
        <v>11</v>
      </c>
      <c r="L19" s="501"/>
      <c r="M19" s="502"/>
      <c r="N19" s="500" t="s">
        <v>3</v>
      </c>
      <c r="O19" s="501"/>
      <c r="P19" s="502"/>
      <c r="Q19" s="130" t="s">
        <v>183</v>
      </c>
      <c r="R19" s="477" t="s">
        <v>184</v>
      </c>
      <c r="S19" s="186" t="s">
        <v>210</v>
      </c>
      <c r="T19" s="186" t="s">
        <v>211</v>
      </c>
      <c r="U19" s="186" t="s">
        <v>212</v>
      </c>
      <c r="V19" s="186" t="s">
        <v>213</v>
      </c>
      <c r="W19" s="477" t="s">
        <v>214</v>
      </c>
      <c r="X19" s="477" t="s">
        <v>214</v>
      </c>
      <c r="AB19" s="93"/>
    </row>
    <row r="20" spans="1:28" s="141" customFormat="1" ht="15.75" x14ac:dyDescent="0.25">
      <c r="A20" s="133" t="s">
        <v>185</v>
      </c>
      <c r="B20" s="134">
        <v>1.7</v>
      </c>
      <c r="C20" s="135" t="s">
        <v>172</v>
      </c>
      <c r="D20" s="136" t="s">
        <v>172</v>
      </c>
      <c r="E20" s="134">
        <v>1.8</v>
      </c>
      <c r="F20" s="135" t="s">
        <v>172</v>
      </c>
      <c r="G20" s="136" t="s">
        <v>172</v>
      </c>
      <c r="H20" s="134">
        <v>1.94</v>
      </c>
      <c r="I20" s="135" t="s">
        <v>172</v>
      </c>
      <c r="J20" s="136" t="s">
        <v>172</v>
      </c>
      <c r="K20" s="134">
        <v>1.8</v>
      </c>
      <c r="L20" s="135" t="s">
        <v>172</v>
      </c>
      <c r="M20" s="136" t="s">
        <v>172</v>
      </c>
      <c r="N20" s="143">
        <v>0.94</v>
      </c>
      <c r="O20" s="135" t="s">
        <v>172</v>
      </c>
      <c r="P20" s="136" t="s">
        <v>172</v>
      </c>
      <c r="Q20" s="138" t="s">
        <v>32</v>
      </c>
      <c r="R20" s="139"/>
      <c r="S20" s="187"/>
      <c r="T20" s="188"/>
      <c r="U20" s="188"/>
      <c r="V20" s="188"/>
      <c r="W20" s="189"/>
      <c r="X20" s="189"/>
      <c r="AB20" s="93"/>
    </row>
    <row r="21" spans="1:28" s="141" customFormat="1" ht="15.75" x14ac:dyDescent="0.25">
      <c r="A21" s="142" t="s">
        <v>186</v>
      </c>
      <c r="B21" s="143">
        <v>43.12</v>
      </c>
      <c r="C21" s="144" t="s">
        <v>172</v>
      </c>
      <c r="D21" s="145" t="s">
        <v>172</v>
      </c>
      <c r="E21" s="143">
        <v>47.72</v>
      </c>
      <c r="F21" s="144" t="s">
        <v>172</v>
      </c>
      <c r="G21" s="145" t="s">
        <v>172</v>
      </c>
      <c r="H21" s="143">
        <v>52.75</v>
      </c>
      <c r="I21" s="144" t="s">
        <v>172</v>
      </c>
      <c r="J21" s="145" t="s">
        <v>172</v>
      </c>
      <c r="K21" s="143">
        <v>47.7</v>
      </c>
      <c r="L21" s="144" t="s">
        <v>172</v>
      </c>
      <c r="M21" s="145" t="s">
        <v>172</v>
      </c>
      <c r="N21" s="143">
        <v>26.42</v>
      </c>
      <c r="O21" s="144" t="s">
        <v>172</v>
      </c>
      <c r="P21" s="145" t="s">
        <v>172</v>
      </c>
      <c r="Q21" s="147" t="s">
        <v>225</v>
      </c>
      <c r="R21" s="201" t="s">
        <v>226</v>
      </c>
      <c r="S21" s="190"/>
      <c r="T21" s="188"/>
      <c r="U21" s="188"/>
      <c r="V21" s="188"/>
      <c r="W21" s="189"/>
      <c r="X21" s="189"/>
      <c r="AB21" s="93"/>
    </row>
    <row r="22" spans="1:28" s="141" customFormat="1" ht="15.75" x14ac:dyDescent="0.25">
      <c r="A22" s="142" t="s">
        <v>188</v>
      </c>
      <c r="B22" s="143">
        <v>43.51</v>
      </c>
      <c r="C22" s="144" t="s">
        <v>172</v>
      </c>
      <c r="D22" s="145" t="s">
        <v>172</v>
      </c>
      <c r="E22" s="143">
        <v>46.85</v>
      </c>
      <c r="F22" s="144" t="s">
        <v>172</v>
      </c>
      <c r="G22" s="145" t="s">
        <v>172</v>
      </c>
      <c r="H22" s="143">
        <v>52.5</v>
      </c>
      <c r="I22" s="144" t="s">
        <v>172</v>
      </c>
      <c r="J22" s="145" t="s">
        <v>172</v>
      </c>
      <c r="K22" s="143">
        <v>46.75</v>
      </c>
      <c r="L22" s="144" t="s">
        <v>172</v>
      </c>
      <c r="M22" s="145" t="s">
        <v>172</v>
      </c>
      <c r="N22" s="143">
        <v>24.8</v>
      </c>
      <c r="O22" s="144" t="s">
        <v>172</v>
      </c>
      <c r="P22" s="145" t="s">
        <v>172</v>
      </c>
      <c r="Q22" s="147" t="s">
        <v>300</v>
      </c>
      <c r="R22" s="148"/>
      <c r="S22" s="190"/>
      <c r="T22" s="191"/>
      <c r="U22" s="188"/>
      <c r="V22" s="188"/>
      <c r="W22" s="189"/>
      <c r="X22" s="189"/>
      <c r="AB22" s="93"/>
    </row>
    <row r="23" spans="1:28" s="141" customFormat="1" ht="15.75" x14ac:dyDescent="0.25">
      <c r="A23" s="142" t="s">
        <v>190</v>
      </c>
      <c r="B23" s="143">
        <v>43.65</v>
      </c>
      <c r="C23" s="144" t="s">
        <v>172</v>
      </c>
      <c r="D23" s="145" t="s">
        <v>172</v>
      </c>
      <c r="E23" s="143">
        <v>46.8</v>
      </c>
      <c r="F23" s="144" t="s">
        <v>172</v>
      </c>
      <c r="G23" s="145" t="s">
        <v>172</v>
      </c>
      <c r="H23" s="143">
        <v>52.9</v>
      </c>
      <c r="I23" s="144" t="s">
        <v>172</v>
      </c>
      <c r="J23" s="145" t="s">
        <v>172</v>
      </c>
      <c r="K23" s="143">
        <v>47.25</v>
      </c>
      <c r="L23" s="144" t="s">
        <v>172</v>
      </c>
      <c r="M23" s="145" t="s">
        <v>172</v>
      </c>
      <c r="N23" s="143">
        <v>26.8</v>
      </c>
      <c r="O23" s="144" t="s">
        <v>172</v>
      </c>
      <c r="P23" s="145" t="s">
        <v>172</v>
      </c>
      <c r="Q23" s="147" t="s">
        <v>301</v>
      </c>
      <c r="R23" s="55" t="s">
        <v>37</v>
      </c>
      <c r="S23" s="55" t="s">
        <v>39</v>
      </c>
      <c r="T23" s="193" t="s">
        <v>224</v>
      </c>
      <c r="U23" s="188"/>
      <c r="V23" s="188"/>
      <c r="W23" s="189"/>
      <c r="X23" s="189"/>
      <c r="AB23" s="93"/>
    </row>
    <row r="24" spans="1:28" s="141" customFormat="1" ht="15.75" x14ac:dyDescent="0.25">
      <c r="A24" s="142" t="s">
        <v>192</v>
      </c>
      <c r="B24" s="143">
        <v>43.14</v>
      </c>
      <c r="C24" s="144" t="s">
        <v>172</v>
      </c>
      <c r="D24" s="145" t="s">
        <v>172</v>
      </c>
      <c r="E24" s="143">
        <v>46.22</v>
      </c>
      <c r="F24" s="144" t="s">
        <v>172</v>
      </c>
      <c r="G24" s="145" t="s">
        <v>172</v>
      </c>
      <c r="H24" s="143">
        <v>53.49</v>
      </c>
      <c r="I24" s="144" t="s">
        <v>172</v>
      </c>
      <c r="J24" s="145" t="s">
        <v>172</v>
      </c>
      <c r="K24" s="143">
        <v>48.74</v>
      </c>
      <c r="L24" s="144" t="s">
        <v>172</v>
      </c>
      <c r="M24" s="145" t="s">
        <v>172</v>
      </c>
      <c r="N24" s="143">
        <v>24.05</v>
      </c>
      <c r="O24" s="144" t="s">
        <v>172</v>
      </c>
      <c r="P24" s="145" t="s">
        <v>172</v>
      </c>
      <c r="Q24" s="147" t="s">
        <v>302</v>
      </c>
      <c r="S24" s="190"/>
      <c r="T24" s="191"/>
      <c r="U24" s="188"/>
      <c r="V24" s="188"/>
      <c r="W24" s="189"/>
      <c r="X24" s="189"/>
      <c r="AB24" s="93"/>
    </row>
    <row r="25" spans="1:28" s="141" customFormat="1" ht="15.75" x14ac:dyDescent="0.25">
      <c r="A25" s="142" t="s">
        <v>194</v>
      </c>
      <c r="B25" s="143">
        <v>23.74</v>
      </c>
      <c r="C25" s="144" t="s">
        <v>172</v>
      </c>
      <c r="D25" s="145" t="s">
        <v>172</v>
      </c>
      <c r="E25" s="143">
        <v>25.79</v>
      </c>
      <c r="F25" s="144" t="s">
        <v>172</v>
      </c>
      <c r="G25" s="145" t="s">
        <v>172</v>
      </c>
      <c r="H25" s="143">
        <v>29.79</v>
      </c>
      <c r="I25" s="144" t="s">
        <v>172</v>
      </c>
      <c r="J25" s="145" t="s">
        <v>172</v>
      </c>
      <c r="K25" s="143">
        <v>24.39</v>
      </c>
      <c r="L25" s="144" t="s">
        <v>172</v>
      </c>
      <c r="M25" s="145" t="s">
        <v>172</v>
      </c>
      <c r="N25" s="143">
        <v>11.04</v>
      </c>
      <c r="O25" s="144" t="s">
        <v>172</v>
      </c>
      <c r="P25" s="145" t="s">
        <v>172</v>
      </c>
      <c r="Q25" s="147" t="s">
        <v>41</v>
      </c>
      <c r="R25" s="201" t="s">
        <v>223</v>
      </c>
      <c r="S25" s="192" t="s">
        <v>209</v>
      </c>
      <c r="T25" s="193" t="s">
        <v>227</v>
      </c>
      <c r="U25" s="188"/>
      <c r="V25" s="193" t="s">
        <v>215</v>
      </c>
      <c r="W25" s="194" t="s">
        <v>216</v>
      </c>
      <c r="X25" s="194"/>
      <c r="AB25" s="93"/>
    </row>
    <row r="26" spans="1:28" s="141" customFormat="1" ht="15.75" x14ac:dyDescent="0.25">
      <c r="A26" s="142" t="s">
        <v>195</v>
      </c>
      <c r="B26" s="152" t="s">
        <v>172</v>
      </c>
      <c r="C26" s="144" t="s">
        <v>172</v>
      </c>
      <c r="D26" s="145" t="s">
        <v>172</v>
      </c>
      <c r="E26" s="153">
        <v>1.1539999999999999</v>
      </c>
      <c r="F26" s="144" t="s">
        <v>172</v>
      </c>
      <c r="G26" s="145" t="s">
        <v>172</v>
      </c>
      <c r="H26" s="153">
        <v>1.214</v>
      </c>
      <c r="I26" s="144" t="s">
        <v>172</v>
      </c>
      <c r="J26" s="145" t="s">
        <v>172</v>
      </c>
      <c r="K26" s="153">
        <v>1.024</v>
      </c>
      <c r="L26" s="144" t="s">
        <v>172</v>
      </c>
      <c r="M26" s="145" t="s">
        <v>172</v>
      </c>
      <c r="N26" s="153">
        <v>0.53500000000000003</v>
      </c>
      <c r="O26" s="144" t="s">
        <v>172</v>
      </c>
      <c r="P26" s="145" t="s">
        <v>172</v>
      </c>
      <c r="Q26" s="147" t="s">
        <v>45</v>
      </c>
      <c r="R26" s="154" t="s">
        <v>196</v>
      </c>
      <c r="S26" s="192" t="s">
        <v>209</v>
      </c>
      <c r="T26" s="193" t="s">
        <v>217</v>
      </c>
      <c r="U26" s="193" t="s">
        <v>218</v>
      </c>
      <c r="V26" s="193" t="s">
        <v>215</v>
      </c>
      <c r="W26" s="194" t="s">
        <v>216</v>
      </c>
      <c r="X26" s="194" t="s">
        <v>228</v>
      </c>
      <c r="AB26" s="93"/>
    </row>
    <row r="27" spans="1:28" s="141" customFormat="1" ht="15.75" x14ac:dyDescent="0.25">
      <c r="A27" s="142" t="s">
        <v>197</v>
      </c>
      <c r="B27" s="152" t="s">
        <v>172</v>
      </c>
      <c r="C27" s="144" t="s">
        <v>172</v>
      </c>
      <c r="D27" s="145" t="s">
        <v>172</v>
      </c>
      <c r="E27" s="153">
        <v>1.085</v>
      </c>
      <c r="F27" s="144" t="s">
        <v>172</v>
      </c>
      <c r="G27" s="145" t="s">
        <v>172</v>
      </c>
      <c r="H27" s="153">
        <v>1.1739999999999999</v>
      </c>
      <c r="I27" s="144" t="s">
        <v>172</v>
      </c>
      <c r="J27" s="145" t="s">
        <v>172</v>
      </c>
      <c r="K27" s="153">
        <v>0.99199999999999999</v>
      </c>
      <c r="L27" s="144" t="s">
        <v>172</v>
      </c>
      <c r="M27" s="145" t="s">
        <v>172</v>
      </c>
      <c r="N27" s="153">
        <v>0.50900000000000001</v>
      </c>
      <c r="O27" s="144" t="s">
        <v>172</v>
      </c>
      <c r="P27" s="145" t="s">
        <v>172</v>
      </c>
      <c r="Q27" s="147" t="s">
        <v>48</v>
      </c>
      <c r="R27" s="154" t="s">
        <v>196</v>
      </c>
      <c r="S27" s="192" t="s">
        <v>209</v>
      </c>
      <c r="T27" s="195"/>
      <c r="U27" s="193" t="s">
        <v>218</v>
      </c>
      <c r="V27" s="193" t="s">
        <v>215</v>
      </c>
      <c r="W27" s="194" t="s">
        <v>216</v>
      </c>
      <c r="X27" s="194" t="s">
        <v>228</v>
      </c>
      <c r="AB27" s="93"/>
    </row>
    <row r="28" spans="1:28" s="93" customFormat="1" ht="16.5" thickBot="1" x14ac:dyDescent="0.3">
      <c r="A28" s="156" t="s">
        <v>198</v>
      </c>
      <c r="B28" s="157" t="s">
        <v>172</v>
      </c>
      <c r="C28" s="158" t="s">
        <v>172</v>
      </c>
      <c r="D28" s="159" t="s">
        <v>172</v>
      </c>
      <c r="E28" s="234">
        <v>4.5199999999999996</v>
      </c>
      <c r="F28" s="158" t="s">
        <v>172</v>
      </c>
      <c r="G28" s="159" t="s">
        <v>172</v>
      </c>
      <c r="H28" s="234">
        <v>4.8099999999999996</v>
      </c>
      <c r="I28" s="158" t="s">
        <v>172</v>
      </c>
      <c r="J28" s="159" t="s">
        <v>172</v>
      </c>
      <c r="K28" s="234">
        <v>4.47</v>
      </c>
      <c r="L28" s="158" t="s">
        <v>172</v>
      </c>
      <c r="M28" s="159" t="s">
        <v>172</v>
      </c>
      <c r="N28" s="234">
        <v>2.11</v>
      </c>
      <c r="O28" s="158" t="s">
        <v>172</v>
      </c>
      <c r="P28" s="159" t="s">
        <v>172</v>
      </c>
      <c r="Q28" s="162" t="s">
        <v>51</v>
      </c>
      <c r="R28" s="163" t="s">
        <v>50</v>
      </c>
      <c r="S28" s="196" t="s">
        <v>209</v>
      </c>
      <c r="T28" s="197"/>
      <c r="U28" s="198" t="s">
        <v>218</v>
      </c>
      <c r="V28" s="198" t="s">
        <v>215</v>
      </c>
      <c r="W28" s="199" t="s">
        <v>216</v>
      </c>
      <c r="X28" s="199" t="s">
        <v>228</v>
      </c>
    </row>
    <row r="29" spans="1:28" s="93" customFormat="1" ht="48.75" customHeight="1" x14ac:dyDescent="0.25">
      <c r="A29" s="504" t="s">
        <v>199</v>
      </c>
      <c r="B29" s="504"/>
      <c r="C29" s="504"/>
      <c r="D29" s="504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200"/>
      <c r="R29" s="200"/>
      <c r="S29" s="164"/>
    </row>
    <row r="30" spans="1:28" s="141" customFormat="1" ht="11.25" customHeight="1" thickBot="1" x14ac:dyDescent="0.3">
      <c r="A30" s="165"/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  <c r="M30" s="166"/>
      <c r="N30" s="166"/>
      <c r="O30" s="166"/>
      <c r="P30" s="167"/>
      <c r="Q30" s="167"/>
      <c r="R30" s="167"/>
      <c r="T30"/>
      <c r="U30"/>
      <c r="AB30" s="93"/>
    </row>
    <row r="31" spans="1:28" s="141" customFormat="1" ht="63.75" thickBot="1" x14ac:dyDescent="0.3">
      <c r="A31" s="130" t="s">
        <v>200</v>
      </c>
      <c r="B31" s="476" t="s">
        <v>201</v>
      </c>
      <c r="C31" s="511" t="s">
        <v>183</v>
      </c>
      <c r="D31" s="511"/>
      <c r="E31" s="512"/>
      <c r="F31" s="171"/>
      <c r="G31" s="171"/>
      <c r="H31" s="172"/>
      <c r="I31" s="172"/>
      <c r="J31" s="166"/>
      <c r="K31" s="166"/>
      <c r="L31" s="166"/>
      <c r="M31" s="166"/>
      <c r="N31" s="166"/>
      <c r="O31" s="166"/>
      <c r="P31" s="167"/>
      <c r="Q31" s="167"/>
      <c r="R31" s="167"/>
      <c r="T31"/>
      <c r="U31"/>
    </row>
    <row r="32" spans="1:28" s="141" customFormat="1" ht="15.75" customHeight="1" x14ac:dyDescent="0.25">
      <c r="A32" s="207" t="s">
        <v>202</v>
      </c>
      <c r="B32" s="335">
        <v>9.1346000000000007</v>
      </c>
      <c r="C32" s="520" t="s">
        <v>203</v>
      </c>
      <c r="D32" s="513"/>
      <c r="E32" s="514"/>
      <c r="F32" s="175"/>
      <c r="G32" s="175"/>
      <c r="H32" s="172"/>
      <c r="K32" s="166"/>
      <c r="L32" s="166"/>
      <c r="M32" s="166"/>
      <c r="N32" s="166"/>
      <c r="O32" s="166"/>
      <c r="P32" s="167"/>
      <c r="Q32" s="167"/>
      <c r="R32" s="167"/>
      <c r="T32"/>
      <c r="U32"/>
    </row>
    <row r="33" spans="1:21" s="141" customFormat="1" ht="15.75" x14ac:dyDescent="0.25">
      <c r="A33" s="209" t="s">
        <v>204</v>
      </c>
      <c r="B33" s="336">
        <v>2.5891000000000002</v>
      </c>
      <c r="C33" s="521"/>
      <c r="D33" s="515"/>
      <c r="E33" s="516"/>
      <c r="F33" s="175"/>
      <c r="G33" s="175"/>
      <c r="H33" s="177"/>
      <c r="K33" s="178"/>
      <c r="L33" s="178"/>
      <c r="M33" s="178"/>
      <c r="N33" s="178"/>
      <c r="O33" s="178"/>
      <c r="P33" s="179"/>
      <c r="Q33" s="179"/>
      <c r="R33" s="179"/>
      <c r="T33"/>
      <c r="U33"/>
    </row>
    <row r="34" spans="1:21" s="141" customFormat="1" ht="15.75" x14ac:dyDescent="0.25">
      <c r="A34" s="209" t="s">
        <v>205</v>
      </c>
      <c r="B34" s="337">
        <v>3.1583999999999999</v>
      </c>
      <c r="C34" s="521"/>
      <c r="D34" s="515"/>
      <c r="E34" s="516"/>
      <c r="F34" s="175"/>
      <c r="G34" s="175"/>
      <c r="H34" s="177"/>
      <c r="K34" s="178"/>
      <c r="L34" s="178"/>
      <c r="M34" s="178"/>
      <c r="N34" s="178"/>
      <c r="O34" s="178"/>
      <c r="P34" s="179"/>
      <c r="Q34" s="179"/>
      <c r="R34" s="179"/>
      <c r="T34"/>
      <c r="U34"/>
    </row>
    <row r="35" spans="1:21" s="141" customFormat="1" ht="15.75" x14ac:dyDescent="0.25">
      <c r="A35" s="209" t="s">
        <v>206</v>
      </c>
      <c r="B35" s="336">
        <v>7.0008999999999997</v>
      </c>
      <c r="C35" s="521"/>
      <c r="D35" s="515"/>
      <c r="E35" s="516"/>
      <c r="F35" s="175"/>
      <c r="G35" s="175"/>
      <c r="H35" s="177"/>
      <c r="K35" s="178"/>
      <c r="L35" s="178"/>
      <c r="M35" s="178"/>
      <c r="N35" s="178"/>
      <c r="O35" s="178"/>
      <c r="P35" s="179"/>
      <c r="Q35" s="179"/>
      <c r="R35" s="179"/>
      <c r="T35"/>
      <c r="U35"/>
    </row>
    <row r="36" spans="1:21" s="141" customFormat="1" ht="16.5" thickBot="1" x14ac:dyDescent="0.3">
      <c r="A36" s="212" t="s">
        <v>207</v>
      </c>
      <c r="B36" s="337">
        <v>3.4548999999999999</v>
      </c>
      <c r="C36" s="522"/>
      <c r="D36" s="517"/>
      <c r="E36" s="518"/>
      <c r="F36" s="175"/>
      <c r="G36" s="175"/>
      <c r="H36" s="177"/>
      <c r="K36" s="178"/>
      <c r="L36" s="178"/>
      <c r="M36" s="178"/>
      <c r="N36" s="178"/>
      <c r="O36" s="178"/>
      <c r="P36" s="179"/>
      <c r="Q36" s="179"/>
      <c r="R36" s="179"/>
      <c r="T36"/>
      <c r="U36"/>
    </row>
    <row r="37" spans="1:21" s="141" customFormat="1" ht="9.75" customHeight="1" x14ac:dyDescent="0.25">
      <c r="A37" s="181"/>
      <c r="B37" s="166"/>
      <c r="C37" s="178"/>
      <c r="D37" s="178"/>
      <c r="E37" s="178"/>
      <c r="F37" s="177"/>
      <c r="G37" s="177"/>
      <c r="H37" s="177"/>
      <c r="I37" s="177"/>
      <c r="J37" s="178"/>
      <c r="K37" s="178"/>
      <c r="L37" s="178"/>
      <c r="M37" s="178"/>
      <c r="N37" s="178"/>
      <c r="O37" s="178"/>
      <c r="S37"/>
      <c r="T37"/>
      <c r="U37"/>
    </row>
    <row r="38" spans="1:21" s="141" customFormat="1" x14ac:dyDescent="0.25">
      <c r="A38" s="519" t="s">
        <v>250</v>
      </c>
      <c r="B38" s="519"/>
      <c r="C38" s="519"/>
      <c r="D38" s="519"/>
      <c r="E38" s="519"/>
      <c r="F38" s="182"/>
      <c r="G38" s="182"/>
      <c r="H38" s="182"/>
      <c r="I38" s="182"/>
      <c r="J38" s="182"/>
      <c r="K38" s="182"/>
      <c r="L38" s="182"/>
      <c r="M38" s="182"/>
      <c r="N38" s="182"/>
      <c r="O38" s="182"/>
      <c r="P38" s="182"/>
      <c r="S38"/>
      <c r="T38"/>
      <c r="U38"/>
    </row>
    <row r="39" spans="1:21" s="141" customFormat="1" x14ac:dyDescent="0.25">
      <c r="A39" s="183"/>
      <c r="B39" s="178"/>
      <c r="C39" s="178"/>
      <c r="D39" s="178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S39"/>
      <c r="T39"/>
      <c r="U39"/>
    </row>
    <row r="40" spans="1:21" s="141" customFormat="1" x14ac:dyDescent="0.25">
      <c r="S40"/>
      <c r="T40"/>
      <c r="U40"/>
    </row>
    <row r="41" spans="1:21" s="141" customFormat="1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s="141" customFormat="1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s="141" customFormat="1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</sheetData>
  <mergeCells count="26">
    <mergeCell ref="O4:P4"/>
    <mergeCell ref="A1:P1"/>
    <mergeCell ref="A2:C2"/>
    <mergeCell ref="D2:E2"/>
    <mergeCell ref="A3:A5"/>
    <mergeCell ref="B3:D3"/>
    <mergeCell ref="E3:G3"/>
    <mergeCell ref="H3:J3"/>
    <mergeCell ref="K3:M3"/>
    <mergeCell ref="N3:P3"/>
    <mergeCell ref="A29:P29"/>
    <mergeCell ref="C31:E31"/>
    <mergeCell ref="C32:E36"/>
    <mergeCell ref="A38:E38"/>
    <mergeCell ref="Z4:AD4"/>
    <mergeCell ref="Z5:AD5"/>
    <mergeCell ref="B19:D19"/>
    <mergeCell ref="E19:G19"/>
    <mergeCell ref="H19:J19"/>
    <mergeCell ref="K19:M19"/>
    <mergeCell ref="N19:P19"/>
    <mergeCell ref="Q3:Q5"/>
    <mergeCell ref="C4:D4"/>
    <mergeCell ref="F4:G4"/>
    <mergeCell ref="I4:J4"/>
    <mergeCell ref="L4:M4"/>
  </mergeCells>
  <hyperlinks>
    <hyperlink ref="Q20" r:id="rId1"/>
    <hyperlink ref="Q26" r:id="rId2" location=".WOOTMl7SnSs"/>
    <hyperlink ref="Q28" r:id="rId3" location=".VyhQfdKLTcs"/>
    <hyperlink ref="R28" r:id="rId4"/>
    <hyperlink ref="R26" r:id="rId5"/>
    <hyperlink ref="R27" r:id="rId6"/>
    <hyperlink ref="C32" r:id="rId7"/>
    <hyperlink ref="C32:E36" r:id="rId8" display="http://www.nbrb.by/statistics/rates/ratesDaily.asp"/>
    <hyperlink ref="S26" r:id="rId9"/>
    <hyperlink ref="S25" r:id="rId10"/>
    <hyperlink ref="T26" r:id="rId11"/>
    <hyperlink ref="U26" r:id="rId12"/>
    <hyperlink ref="U27" r:id="rId13"/>
    <hyperlink ref="U28" r:id="rId14"/>
    <hyperlink ref="V25" r:id="rId15"/>
    <hyperlink ref="V26" r:id="rId16"/>
    <hyperlink ref="V27" r:id="rId17"/>
    <hyperlink ref="V28" r:id="rId18"/>
    <hyperlink ref="W25" r:id="rId19"/>
    <hyperlink ref="W26" r:id="rId20"/>
    <hyperlink ref="W27" r:id="rId21"/>
    <hyperlink ref="W28" r:id="rId22"/>
    <hyperlink ref="R25" r:id="rId23"/>
    <hyperlink ref="Q24" r:id="rId24"/>
    <hyperlink ref="Q25" r:id="rId25"/>
    <hyperlink ref="Q21" r:id="rId26"/>
    <hyperlink ref="Q22" r:id="rId27"/>
    <hyperlink ref="Q23" r:id="rId28"/>
    <hyperlink ref="S27" r:id="rId29" location=".WOOTMl7SnSs" display="http://autotraveler.ru/latvia/#.WOOTMl7SnSs"/>
    <hyperlink ref="O23" r:id="rId30" display="www.benzin-price.ru/price.php?region_id=32"/>
    <hyperlink ref="P12" r:id="rId31" display="www.nbrb.by"/>
    <hyperlink ref="R23" r:id="rId32"/>
    <hyperlink ref="R22" r:id="rId33" display="http://natrakte.ru/"/>
    <hyperlink ref="S28" r:id="rId34" location=".Vs2LGH2LRkg" display="http://autotraveler.ru/lithuania/#.Vs2LGH2LRkg"/>
    <hyperlink ref="Q27" r:id="rId35" location=".Vs2LGH2LRkg"/>
    <hyperlink ref="O29" r:id="rId36" display="www.e-petrol.ru/rynek-krajowy/ceny-stacje-paliw"/>
    <hyperlink ref="B78" r:id="rId37" display="http://www.lukoil.lt/ru/avtozapravochnye_stancii_azs_/karta_azs?filterID=65"/>
    <hyperlink ref="B74" r:id="rId38" display="http://www.lukoil.lt/ru/avtozapravochnye_stancii_azs_/karta_azs?filterID=86,87,111"/>
    <hyperlink ref="B71" r:id="rId39" display="http://www.lukoil.lt/ru/avtozapravochnye_stancii_azs_/karta_azs?filterID=67"/>
    <hyperlink ref="B67" r:id="rId40" display="http://www.lukoil.lt/ru/avtozapravochnye_stancii_azs_/karta_azs?filterID=22,77,104,110,117,118,119"/>
    <hyperlink ref="B63" r:id="rId41" display="http://www.lukoil.lt/ru/avtozapravochnye_stancii_azs_/karta_azs?filterID=32,87"/>
    <hyperlink ref="B60" r:id="rId42" display="http://www.lukoil.lt/ru/avtozapravochnye_stancii_azs_/karta_azs?filterID=33"/>
    <hyperlink ref="B57" r:id="rId43" display="http://www.lukoil.lt/ru/avtozapravochnye_stancii_azs_/karta_azs?filterID=54"/>
    <hyperlink ref="B54" r:id="rId44" display="http://www.lukoil.lt/ru/avtozapravochnye_stancii_azs_/karta_azs?filterID=67"/>
    <hyperlink ref="B51" r:id="rId45" display="http://www.lukoil.lt/ru/avtozapravochnye_stancii_azs_/karta_azs?filterID=65"/>
    <hyperlink ref="O28" r:id="rId46" display="www.lukoil.lt/ru/osnovnaja_stranica"/>
    <hyperlink ref="O27" r:id="rId47" display="www.lukoil.lv/lv/galvena_lapa"/>
    <hyperlink ref="O26" r:id="rId48" display="www.vseazs.com/"/>
    <hyperlink ref="M43" r:id="rId49" display="http://www.benzin-price.ru/price.php?region_id=60&amp;sort=11&amp;brand_id=0&amp;price_mode="/>
    <hyperlink ref="L43" r:id="rId50" display="http://www.benzin-price.ru/price.php?region_id=60&amp;sort=10&amp;brand_id=0&amp;price_mode="/>
    <hyperlink ref="K43" r:id="rId51" display="http://www.benzin-price.ru/price.php?region_id=60&amp;sort=9&amp;brand_id=0&amp;price_mode="/>
    <hyperlink ref="J43" r:id="rId52" display="http://www.benzin-price.ru/price.php?region_id=60&amp;sort=8&amp;brand_id=0&amp;price_mode="/>
    <hyperlink ref="I43" r:id="rId53" display="http://www.benzin-price.ru/price.php?region_id=60&amp;sort=7&amp;brand_id=0&amp;price_mode="/>
    <hyperlink ref="H43" r:id="rId54" display="http://www.benzin-price.ru/price.php?region_id=60&amp;sort=6&amp;brand_id=0&amp;price_mode="/>
    <hyperlink ref="G43" r:id="rId55" display="http://www.benzin-price.ru/price.php?region_id=60&amp;sort=5&amp;brand_id=0&amp;price_mode="/>
    <hyperlink ref="E43" r:id="rId56" display="http://www.benzin-price.ru/price.php?region_id=60&amp;sort=3&amp;brand_id=0&amp;price_mode="/>
    <hyperlink ref="D43" r:id="rId57" display="http://www.benzin-price.ru/price.php?region_id=60&amp;sort=2&amp;brand_id=0&amp;price_mode="/>
    <hyperlink ref="C43" r:id="rId58" display="http://www.benzin-price.ru/price.php?region_id=60&amp;sort=1&amp;brand_id=0&amp;price_mode="/>
    <hyperlink ref="O25" r:id="rId59" display="www.benzin-price.ru/price.php?region_id=60"/>
    <hyperlink ref="O24" r:id="rId60" display="www.benzin-price.ru/price.php?region_id=67"/>
    <hyperlink ref="O22" r:id="rId61" display="www.benzin-price.ru/price.php?region_id=77"/>
    <hyperlink ref="O21" r:id="rId62" display="www.belorusneft.by/sitebeloil/ru/center/azs/"/>
    <hyperlink ref="Q29" r:id="rId63" location=".VyhQfdKLTcs" display="http://autotraveler.ru/poland/#.VyhQfdKLTcs"/>
    <hyperlink ref="S23" r:id="rId64"/>
    <hyperlink ref="T23" r:id="rId65"/>
    <hyperlink ref="R21" r:id="rId66"/>
    <hyperlink ref="T25" r:id="rId67"/>
    <hyperlink ref="X26" r:id="rId68"/>
    <hyperlink ref="X27" r:id="rId69"/>
    <hyperlink ref="X28" r:id="rId70"/>
  </hyperlinks>
  <pageMargins left="0.25" right="0.25" top="0.75" bottom="0.75" header="0.3" footer="0.3"/>
  <pageSetup paperSize="9" orientation="landscape" r:id="rId7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528"/>
  <sheetViews>
    <sheetView tabSelected="1" workbookViewId="0">
      <pane ySplit="1" topLeftCell="A25" activePane="bottomLeft" state="frozen"/>
      <selection activeCell="K1" sqref="K1"/>
      <selection pane="bottomLeft" activeCell="A184" sqref="A184"/>
    </sheetView>
  </sheetViews>
  <sheetFormatPr defaultRowHeight="15" x14ac:dyDescent="0.25"/>
  <cols>
    <col min="1" max="1" width="108.7109375" customWidth="1"/>
    <col min="2" max="2" width="24.85546875" style="438" customWidth="1"/>
    <col min="3" max="3" width="13.140625" customWidth="1"/>
    <col min="4" max="4" width="11" customWidth="1"/>
    <col min="5" max="5" width="8.42578125" customWidth="1"/>
    <col min="24" max="24" width="16.140625" customWidth="1"/>
  </cols>
  <sheetData>
    <row r="1" spans="1:49" x14ac:dyDescent="0.25">
      <c r="B1" s="438" t="s">
        <v>252</v>
      </c>
      <c r="C1" t="s">
        <v>253</v>
      </c>
      <c r="D1" t="s">
        <v>254</v>
      </c>
      <c r="E1" t="s">
        <v>255</v>
      </c>
      <c r="F1" t="s">
        <v>256</v>
      </c>
      <c r="G1" t="s">
        <v>257</v>
      </c>
      <c r="H1" t="s">
        <v>258</v>
      </c>
      <c r="I1" t="s">
        <v>259</v>
      </c>
      <c r="J1" t="s">
        <v>260</v>
      </c>
      <c r="K1" t="s">
        <v>261</v>
      </c>
      <c r="L1" t="s">
        <v>262</v>
      </c>
      <c r="M1" t="s">
        <v>263</v>
      </c>
      <c r="N1" t="s">
        <v>264</v>
      </c>
      <c r="O1" t="s">
        <v>265</v>
      </c>
      <c r="P1" t="s">
        <v>266</v>
      </c>
      <c r="Q1" t="s">
        <v>267</v>
      </c>
      <c r="R1" t="s">
        <v>268</v>
      </c>
      <c r="S1" t="s">
        <v>269</v>
      </c>
      <c r="T1" t="s">
        <v>270</v>
      </c>
      <c r="U1" t="s">
        <v>271</v>
      </c>
      <c r="V1" t="s">
        <v>272</v>
      </c>
      <c r="W1" t="s">
        <v>273</v>
      </c>
      <c r="X1" t="s">
        <v>274</v>
      </c>
      <c r="Y1" t="s">
        <v>275</v>
      </c>
      <c r="Z1" t="s">
        <v>276</v>
      </c>
      <c r="AA1" t="s">
        <v>277</v>
      </c>
      <c r="AB1" t="s">
        <v>278</v>
      </c>
      <c r="AC1" t="s">
        <v>279</v>
      </c>
      <c r="AD1" t="s">
        <v>280</v>
      </c>
      <c r="AE1" t="s">
        <v>281</v>
      </c>
      <c r="AF1" t="s">
        <v>282</v>
      </c>
      <c r="AG1" t="s">
        <v>283</v>
      </c>
      <c r="AH1" t="s">
        <v>284</v>
      </c>
      <c r="AI1" t="s">
        <v>285</v>
      </c>
      <c r="AJ1" t="s">
        <v>286</v>
      </c>
      <c r="AK1" t="s">
        <v>287</v>
      </c>
      <c r="AL1" t="s">
        <v>288</v>
      </c>
      <c r="AM1" t="s">
        <v>289</v>
      </c>
      <c r="AN1" t="s">
        <v>290</v>
      </c>
      <c r="AO1" t="s">
        <v>291</v>
      </c>
      <c r="AP1" t="s">
        <v>292</v>
      </c>
      <c r="AQ1" t="s">
        <v>293</v>
      </c>
      <c r="AR1" t="s">
        <v>294</v>
      </c>
      <c r="AS1" t="s">
        <v>295</v>
      </c>
      <c r="AT1" t="s">
        <v>296</v>
      </c>
      <c r="AU1" t="s">
        <v>297</v>
      </c>
      <c r="AV1" t="s">
        <v>298</v>
      </c>
      <c r="AW1" t="s">
        <v>299</v>
      </c>
    </row>
    <row r="2" spans="1:49" ht="15.75" x14ac:dyDescent="0.25">
      <c r="A2" s="437" t="str">
        <f>INDEX(Оглавление, ROW())</f>
        <v>[Цены на приграничных АЗС 2017-2020 (7138827 v1).XLSM]Цены на 01.02.2017</v>
      </c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  <c r="X2" s="446"/>
      <c r="Y2" s="446"/>
      <c r="Z2" s="446"/>
      <c r="AA2" s="446"/>
      <c r="AB2" s="446"/>
      <c r="AC2" s="446"/>
      <c r="AD2" s="446"/>
      <c r="AE2" s="446"/>
      <c r="AF2" s="446"/>
      <c r="AG2" s="446"/>
      <c r="AH2" s="446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6"/>
      <c r="AV2" s="446"/>
      <c r="AW2" s="446"/>
    </row>
    <row r="3" spans="1:49" ht="15.75" x14ac:dyDescent="0.25">
      <c r="A3" s="437" t="str">
        <f>INDEX(Оглавление, ROW())</f>
        <v>[Цены на приграничных АЗС 2017-2020 (7138827 v1).XLSM]Цены на 01.03.2017</v>
      </c>
      <c r="C3" s="446"/>
      <c r="D3" s="446"/>
      <c r="E3" s="446"/>
      <c r="F3" s="446"/>
      <c r="G3" s="446"/>
      <c r="H3" s="446"/>
      <c r="I3" s="446"/>
      <c r="J3" s="446"/>
      <c r="K3" s="446"/>
      <c r="L3" s="446"/>
      <c r="M3" s="446"/>
      <c r="N3" s="446"/>
      <c r="O3" s="446"/>
      <c r="P3" s="446"/>
      <c r="Q3" s="446"/>
      <c r="R3" s="446"/>
      <c r="S3" s="446"/>
      <c r="T3" s="446"/>
      <c r="U3" s="446"/>
      <c r="V3" s="446"/>
      <c r="W3" s="446"/>
      <c r="X3" s="446"/>
      <c r="Y3" s="446"/>
      <c r="Z3" s="446"/>
      <c r="AA3" s="446"/>
      <c r="AB3" s="446"/>
      <c r="AC3" s="446"/>
      <c r="AD3" s="446"/>
      <c r="AE3" s="446"/>
      <c r="AF3" s="446"/>
      <c r="AG3" s="446"/>
      <c r="AH3" s="446"/>
      <c r="AI3" s="446"/>
      <c r="AJ3" s="446"/>
      <c r="AK3" s="446"/>
      <c r="AL3" s="446"/>
      <c r="AM3" s="446"/>
      <c r="AN3" s="446"/>
      <c r="AO3" s="446"/>
      <c r="AP3" s="446"/>
      <c r="AQ3" s="446"/>
      <c r="AR3" s="446"/>
      <c r="AS3" s="446"/>
      <c r="AT3" s="446"/>
      <c r="AU3" s="446"/>
      <c r="AV3" s="446"/>
      <c r="AW3" s="446"/>
    </row>
    <row r="4" spans="1:49" ht="15.75" x14ac:dyDescent="0.25">
      <c r="A4" s="437" t="str">
        <f>INDEX(Оглавление, ROW())</f>
        <v>[Цены на приграничных АЗС 2017-2020 (7138827 v1).XLSM]Цены на 13.03.2017</v>
      </c>
      <c r="C4" s="446"/>
      <c r="D4" s="446"/>
      <c r="E4" s="446"/>
      <c r="F4" s="446"/>
      <c r="G4" s="446"/>
      <c r="H4" s="446"/>
      <c r="I4" s="446"/>
      <c r="J4" s="446"/>
      <c r="K4" s="446"/>
      <c r="L4" s="446"/>
      <c r="M4" s="446"/>
      <c r="N4" s="446"/>
      <c r="O4" s="446"/>
      <c r="P4" s="446"/>
      <c r="Q4" s="446"/>
      <c r="R4" s="446"/>
      <c r="S4" s="446"/>
      <c r="T4" s="446"/>
      <c r="U4" s="446"/>
      <c r="V4" s="446"/>
      <c r="W4" s="446"/>
      <c r="X4" s="446"/>
      <c r="Y4" s="446"/>
      <c r="Z4" s="446"/>
      <c r="AA4" s="446"/>
      <c r="AB4" s="446"/>
      <c r="AC4" s="446"/>
      <c r="AD4" s="446"/>
      <c r="AE4" s="446"/>
      <c r="AF4" s="446"/>
      <c r="AG4" s="446"/>
      <c r="AH4" s="446"/>
      <c r="AI4" s="446"/>
      <c r="AJ4" s="446"/>
      <c r="AK4" s="446"/>
      <c r="AL4" s="446"/>
      <c r="AM4" s="446"/>
      <c r="AN4" s="446"/>
      <c r="AO4" s="446"/>
      <c r="AP4" s="446"/>
      <c r="AQ4" s="446"/>
      <c r="AR4" s="446"/>
      <c r="AS4" s="446"/>
      <c r="AT4" s="446"/>
      <c r="AU4" s="446"/>
      <c r="AV4" s="446"/>
      <c r="AW4" s="446"/>
    </row>
    <row r="5" spans="1:49" ht="15.75" x14ac:dyDescent="0.25">
      <c r="A5" s="437" t="str">
        <f>INDEX(Оглавление, ROW())</f>
        <v>[Цены на приграничных АЗС 2017-2020 (7138827 v1).XLSM]Цены на 26.03.2017</v>
      </c>
      <c r="C5" s="446"/>
      <c r="D5" s="446"/>
      <c r="E5" s="446"/>
      <c r="F5" s="446"/>
      <c r="G5" s="446"/>
      <c r="H5" s="446"/>
      <c r="I5" s="446"/>
      <c r="J5" s="446"/>
      <c r="K5" s="446"/>
      <c r="L5" s="446"/>
      <c r="M5" s="446"/>
      <c r="N5" s="446"/>
      <c r="O5" s="446"/>
      <c r="P5" s="446"/>
      <c r="Q5" s="446"/>
      <c r="R5" s="446"/>
      <c r="S5" s="446"/>
      <c r="T5" s="446"/>
      <c r="U5" s="446"/>
      <c r="V5" s="446"/>
      <c r="W5" s="446"/>
      <c r="X5" s="446"/>
      <c r="Y5" s="446"/>
      <c r="Z5" s="446"/>
      <c r="AA5" s="446"/>
      <c r="AB5" s="446"/>
      <c r="AC5" s="446"/>
      <c r="AD5" s="446"/>
      <c r="AE5" s="446"/>
      <c r="AF5" s="446"/>
      <c r="AG5" s="446"/>
      <c r="AH5" s="446"/>
      <c r="AI5" s="446"/>
      <c r="AJ5" s="446"/>
      <c r="AK5" s="446"/>
      <c r="AL5" s="446"/>
      <c r="AM5" s="446"/>
      <c r="AN5" s="446"/>
      <c r="AO5" s="446"/>
      <c r="AP5" s="446"/>
      <c r="AQ5" s="446"/>
      <c r="AR5" s="446"/>
      <c r="AS5" s="446"/>
      <c r="AT5" s="446"/>
      <c r="AU5" s="446"/>
      <c r="AV5" s="446"/>
      <c r="AW5" s="446"/>
    </row>
    <row r="6" spans="1:49" ht="15.75" x14ac:dyDescent="0.25">
      <c r="A6" s="437" t="str">
        <f>INDEX(Оглавление, ROW())</f>
        <v>[Цены на приграничных АЗС 2017-2020 (7138827 v1).XLSM]Цены на 03.04.2017</v>
      </c>
      <c r="C6" s="446"/>
      <c r="D6" s="446"/>
      <c r="E6" s="446"/>
      <c r="F6" s="446"/>
      <c r="G6" s="446"/>
      <c r="H6" s="446"/>
      <c r="I6" s="446"/>
      <c r="J6" s="446"/>
      <c r="K6" s="446"/>
      <c r="L6" s="446"/>
      <c r="M6" s="446"/>
      <c r="N6" s="446"/>
      <c r="O6" s="446"/>
      <c r="P6" s="446"/>
      <c r="Q6" s="446"/>
      <c r="R6" s="446"/>
      <c r="S6" s="446"/>
      <c r="T6" s="446"/>
      <c r="U6" s="446"/>
      <c r="V6" s="446"/>
      <c r="W6" s="446"/>
      <c r="X6" s="446"/>
      <c r="Y6" s="446"/>
      <c r="Z6" s="446"/>
      <c r="AA6" s="446"/>
      <c r="AB6" s="446"/>
      <c r="AC6" s="446"/>
      <c r="AD6" s="446"/>
      <c r="AE6" s="446"/>
      <c r="AF6" s="446"/>
      <c r="AG6" s="446"/>
      <c r="AH6" s="446"/>
      <c r="AI6" s="446"/>
      <c r="AJ6" s="446"/>
      <c r="AK6" s="446"/>
      <c r="AL6" s="446"/>
      <c r="AM6" s="446"/>
      <c r="AN6" s="446"/>
      <c r="AO6" s="446"/>
      <c r="AP6" s="446"/>
      <c r="AQ6" s="446"/>
      <c r="AR6" s="446"/>
      <c r="AS6" s="446"/>
      <c r="AT6" s="446"/>
      <c r="AU6" s="446"/>
      <c r="AV6" s="446"/>
      <c r="AW6" s="446"/>
    </row>
    <row r="7" spans="1:49" ht="15.75" x14ac:dyDescent="0.25">
      <c r="A7" s="437" t="str">
        <f>INDEX(Оглавление, ROW())</f>
        <v>[Цены на приграничных АЗС 2017-2020 (7138827 v1).XLSM]Цены на 11.04.2017</v>
      </c>
      <c r="C7" s="446"/>
      <c r="D7" s="446"/>
      <c r="E7" s="446"/>
      <c r="F7" s="446"/>
      <c r="G7" s="446"/>
      <c r="H7" s="446"/>
      <c r="I7" s="446"/>
      <c r="J7" s="446"/>
      <c r="K7" s="446"/>
      <c r="L7" s="446"/>
      <c r="M7" s="446"/>
      <c r="N7" s="446"/>
      <c r="O7" s="446"/>
      <c r="P7" s="446"/>
      <c r="Q7" s="446"/>
      <c r="R7" s="446"/>
      <c r="S7" s="446"/>
      <c r="T7" s="446"/>
      <c r="U7" s="446"/>
      <c r="V7" s="446"/>
      <c r="W7" s="446"/>
      <c r="X7" s="446"/>
      <c r="Y7" s="446"/>
      <c r="Z7" s="446"/>
      <c r="AA7" s="446"/>
      <c r="AB7" s="446"/>
      <c r="AC7" s="446"/>
      <c r="AD7" s="446"/>
      <c r="AE7" s="446"/>
      <c r="AF7" s="446"/>
      <c r="AG7" s="446"/>
      <c r="AH7" s="446"/>
      <c r="AI7" s="446"/>
      <c r="AJ7" s="446"/>
      <c r="AK7" s="446"/>
      <c r="AL7" s="446"/>
      <c r="AM7" s="446"/>
      <c r="AN7" s="446"/>
      <c r="AO7" s="446"/>
      <c r="AP7" s="446"/>
      <c r="AQ7" s="446"/>
      <c r="AR7" s="446"/>
      <c r="AS7" s="446"/>
      <c r="AT7" s="446"/>
      <c r="AU7" s="446"/>
      <c r="AV7" s="446"/>
      <c r="AW7" s="446"/>
    </row>
    <row r="8" spans="1:49" ht="15.75" x14ac:dyDescent="0.25">
      <c r="A8" s="437" t="str">
        <f>INDEX(Оглавление, ROW())</f>
        <v>[Цены на приграничных АЗС 2017-2020 (7138827 v1).XLSM]Цены на 17.04.2017</v>
      </c>
      <c r="C8" s="446"/>
      <c r="D8" s="446"/>
      <c r="E8" s="446"/>
      <c r="F8" s="446"/>
      <c r="G8" s="446"/>
      <c r="H8" s="446"/>
      <c r="I8" s="446"/>
      <c r="J8" s="446"/>
      <c r="K8" s="446"/>
      <c r="L8" s="446"/>
      <c r="M8" s="446"/>
      <c r="N8" s="446"/>
      <c r="O8" s="446"/>
      <c r="P8" s="446"/>
      <c r="Q8" s="446"/>
      <c r="R8" s="446"/>
      <c r="S8" s="446"/>
      <c r="T8" s="446"/>
      <c r="U8" s="446"/>
      <c r="V8" s="446"/>
      <c r="W8" s="446"/>
      <c r="X8" s="446"/>
      <c r="Y8" s="446"/>
      <c r="Z8" s="446"/>
      <c r="AA8" s="446"/>
      <c r="AB8" s="446"/>
      <c r="AC8" s="446"/>
      <c r="AD8" s="446"/>
      <c r="AE8" s="446"/>
      <c r="AF8" s="446"/>
      <c r="AG8" s="446"/>
      <c r="AH8" s="446"/>
      <c r="AI8" s="446"/>
      <c r="AJ8" s="446"/>
      <c r="AK8" s="446"/>
      <c r="AL8" s="446"/>
      <c r="AM8" s="446"/>
      <c r="AN8" s="446"/>
      <c r="AO8" s="446"/>
      <c r="AP8" s="446"/>
      <c r="AQ8" s="446"/>
      <c r="AR8" s="446"/>
      <c r="AS8" s="446"/>
      <c r="AT8" s="446"/>
      <c r="AU8" s="446"/>
      <c r="AV8" s="446"/>
      <c r="AW8" s="446"/>
    </row>
    <row r="9" spans="1:49" ht="15.75" x14ac:dyDescent="0.25">
      <c r="A9" s="437" t="str">
        <f>INDEX(Оглавление, ROW())</f>
        <v>[Цены на приграничных АЗС 2017-2020 (7138827 v1).XLSM]Цены на 18.05.2017</v>
      </c>
      <c r="C9" s="446"/>
      <c r="D9" s="446"/>
      <c r="E9" s="446"/>
      <c r="F9" s="446"/>
      <c r="G9" s="446"/>
      <c r="H9" s="446"/>
      <c r="I9" s="446"/>
      <c r="J9" s="446"/>
      <c r="K9" s="446"/>
      <c r="L9" s="446"/>
      <c r="M9" s="446"/>
      <c r="N9" s="446"/>
      <c r="O9" s="446"/>
      <c r="P9" s="446"/>
      <c r="Q9" s="446"/>
      <c r="R9" s="446"/>
      <c r="S9" s="446"/>
      <c r="T9" s="446"/>
      <c r="U9" s="446"/>
      <c r="V9" s="446"/>
      <c r="W9" s="446"/>
      <c r="X9" s="446"/>
      <c r="Y9" s="446"/>
      <c r="Z9" s="446"/>
      <c r="AA9" s="446"/>
      <c r="AB9" s="446"/>
      <c r="AC9" s="446"/>
      <c r="AD9" s="446"/>
      <c r="AE9" s="446"/>
      <c r="AF9" s="446"/>
      <c r="AG9" s="446"/>
      <c r="AH9" s="446"/>
      <c r="AI9" s="446"/>
      <c r="AJ9" s="446"/>
      <c r="AK9" s="446"/>
      <c r="AL9" s="446"/>
      <c r="AM9" s="446"/>
      <c r="AN9" s="446"/>
      <c r="AO9" s="446"/>
      <c r="AP9" s="446"/>
      <c r="AQ9" s="446"/>
      <c r="AR9" s="446"/>
      <c r="AS9" s="446"/>
      <c r="AT9" s="446"/>
      <c r="AU9" s="446"/>
      <c r="AV9" s="446"/>
      <c r="AW9" s="446"/>
    </row>
    <row r="10" spans="1:49" ht="15.75" x14ac:dyDescent="0.25">
      <c r="A10" s="437" t="str">
        <f>INDEX(Оглавление, ROW())</f>
        <v>[Цены на приграничных АЗС 2017-2020 (7138827 v1).XLSM]Цены на 02.06.2017</v>
      </c>
      <c r="C10" s="446"/>
      <c r="D10" s="446"/>
      <c r="E10" s="446"/>
      <c r="F10" s="446"/>
      <c r="G10" s="446"/>
      <c r="H10" s="446"/>
      <c r="I10" s="446"/>
      <c r="J10" s="446"/>
      <c r="K10" s="446"/>
      <c r="L10" s="446"/>
      <c r="M10" s="446"/>
      <c r="N10" s="446"/>
      <c r="O10" s="446"/>
      <c r="P10" s="446"/>
      <c r="Q10" s="446"/>
      <c r="R10" s="446"/>
      <c r="S10" s="446"/>
      <c r="T10" s="446"/>
      <c r="U10" s="446"/>
      <c r="V10" s="446"/>
      <c r="W10" s="446"/>
      <c r="X10" s="446"/>
      <c r="Y10" s="446"/>
      <c r="Z10" s="446"/>
      <c r="AA10" s="446"/>
      <c r="AB10" s="446"/>
      <c r="AC10" s="446"/>
      <c r="AD10" s="446"/>
      <c r="AE10" s="446"/>
      <c r="AF10" s="446"/>
      <c r="AG10" s="446"/>
      <c r="AH10" s="446"/>
      <c r="AI10" s="446"/>
      <c r="AJ10" s="446"/>
      <c r="AK10" s="446"/>
      <c r="AL10" s="446"/>
      <c r="AM10" s="446"/>
      <c r="AN10" s="446"/>
      <c r="AO10" s="446"/>
      <c r="AP10" s="446"/>
      <c r="AQ10" s="446"/>
      <c r="AR10" s="446"/>
      <c r="AS10" s="446"/>
      <c r="AT10" s="446"/>
      <c r="AU10" s="446"/>
      <c r="AV10" s="446"/>
      <c r="AW10" s="446"/>
    </row>
    <row r="11" spans="1:49" ht="15.75" x14ac:dyDescent="0.25">
      <c r="A11" s="437" t="str">
        <f>INDEX(Оглавление, ROW())</f>
        <v>[Цены на приграничных АЗС 2017-2020 (7138827 v1).XLSM]Цены на 06.07.2017</v>
      </c>
      <c r="C11" s="446"/>
      <c r="D11" s="446"/>
      <c r="E11" s="446"/>
      <c r="F11" s="446"/>
      <c r="G11" s="446"/>
      <c r="H11" s="446"/>
      <c r="I11" s="446"/>
      <c r="J11" s="446"/>
      <c r="K11" s="446"/>
      <c r="L11" s="446"/>
      <c r="M11" s="446"/>
      <c r="N11" s="446"/>
      <c r="O11" s="446"/>
      <c r="P11" s="446"/>
      <c r="Q11" s="446"/>
      <c r="R11" s="446"/>
      <c r="S11" s="446"/>
      <c r="T11" s="446"/>
      <c r="U11" s="446"/>
      <c r="V11" s="446"/>
      <c r="W11" s="446"/>
      <c r="X11" s="446"/>
      <c r="Y11" s="446"/>
      <c r="Z11" s="446"/>
      <c r="AA11" s="446"/>
      <c r="AB11" s="446"/>
      <c r="AC11" s="446"/>
      <c r="AD11" s="446"/>
      <c r="AE11" s="446"/>
      <c r="AF11" s="446"/>
      <c r="AG11" s="446"/>
      <c r="AH11" s="446"/>
      <c r="AI11" s="446"/>
      <c r="AJ11" s="446"/>
      <c r="AK11" s="446"/>
      <c r="AL11" s="446"/>
      <c r="AM11" s="446"/>
      <c r="AN11" s="446"/>
      <c r="AO11" s="446"/>
      <c r="AP11" s="446"/>
      <c r="AQ11" s="446"/>
      <c r="AR11" s="446"/>
      <c r="AS11" s="446"/>
      <c r="AT11" s="446"/>
      <c r="AU11" s="446"/>
      <c r="AV11" s="446"/>
      <c r="AW11" s="446"/>
    </row>
    <row r="12" spans="1:49" ht="15.75" x14ac:dyDescent="0.25">
      <c r="A12" s="437" t="str">
        <f>INDEX(Оглавление, ROW())</f>
        <v>[Цены на приграничных АЗС 2017-2020 (7138827 v1).XLSM]Цены на 07.08.2017</v>
      </c>
      <c r="C12" s="446"/>
      <c r="D12" s="446"/>
      <c r="E12" s="446"/>
      <c r="F12" s="446"/>
      <c r="G12" s="446"/>
      <c r="H12" s="446"/>
      <c r="I12" s="446"/>
      <c r="J12" s="446"/>
      <c r="K12" s="446"/>
      <c r="L12" s="446"/>
      <c r="M12" s="446"/>
      <c r="N12" s="446"/>
      <c r="O12" s="446"/>
      <c r="P12" s="446"/>
      <c r="Q12" s="446"/>
      <c r="R12" s="446"/>
      <c r="S12" s="446"/>
      <c r="T12" s="446"/>
      <c r="U12" s="446"/>
      <c r="V12" s="446"/>
      <c r="W12" s="446"/>
      <c r="X12" s="446"/>
      <c r="Y12" s="446"/>
      <c r="Z12" s="446"/>
      <c r="AA12" s="446"/>
      <c r="AB12" s="446"/>
      <c r="AC12" s="446"/>
      <c r="AD12" s="446"/>
      <c r="AE12" s="446"/>
      <c r="AF12" s="446"/>
      <c r="AG12" s="446"/>
      <c r="AH12" s="446"/>
      <c r="AI12" s="446"/>
      <c r="AJ12" s="446"/>
      <c r="AK12" s="446"/>
      <c r="AL12" s="446"/>
      <c r="AM12" s="446"/>
      <c r="AN12" s="446"/>
      <c r="AO12" s="446"/>
      <c r="AP12" s="446"/>
      <c r="AQ12" s="446"/>
      <c r="AR12" s="446"/>
      <c r="AS12" s="446"/>
      <c r="AT12" s="446"/>
      <c r="AU12" s="446"/>
      <c r="AV12" s="446"/>
      <c r="AW12" s="446"/>
    </row>
    <row r="13" spans="1:49" ht="15.75" x14ac:dyDescent="0.25">
      <c r="A13" s="437" t="str">
        <f>INDEX(Оглавление, ROW())</f>
        <v>[Цены на приграничных АЗС 2017-2020 (7138827 v1).XLSM]Цены на 31.08.2017</v>
      </c>
      <c r="C13" s="446"/>
      <c r="D13" s="446"/>
      <c r="E13" s="446"/>
      <c r="F13" s="446"/>
      <c r="G13" s="446"/>
      <c r="H13" s="446"/>
      <c r="I13" s="446"/>
      <c r="J13" s="446"/>
      <c r="K13" s="446"/>
      <c r="L13" s="446"/>
      <c r="M13" s="446"/>
      <c r="N13" s="446"/>
      <c r="O13" s="446"/>
      <c r="P13" s="446"/>
      <c r="Q13" s="446"/>
      <c r="R13" s="446"/>
      <c r="S13" s="446"/>
      <c r="T13" s="446"/>
      <c r="U13" s="446"/>
      <c r="V13" s="446"/>
      <c r="W13" s="446"/>
      <c r="X13" s="446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K13" s="446"/>
      <c r="AL13" s="446"/>
      <c r="AM13" s="446"/>
      <c r="AN13" s="446"/>
      <c r="AO13" s="446"/>
      <c r="AP13" s="446"/>
      <c r="AQ13" s="446"/>
      <c r="AR13" s="446"/>
      <c r="AS13" s="446"/>
      <c r="AT13" s="446"/>
      <c r="AU13" s="446"/>
      <c r="AV13" s="446"/>
      <c r="AW13" s="446"/>
    </row>
    <row r="14" spans="1:49" ht="15.75" x14ac:dyDescent="0.25">
      <c r="A14" s="437" t="str">
        <f>INDEX(Оглавление, ROW())</f>
        <v>[Цены на приграничных АЗС 2017-2020 (7138827 v1).XLSM]Цены на 25.09.2017</v>
      </c>
      <c r="C14" s="446"/>
      <c r="D14" s="446"/>
      <c r="E14" s="446"/>
      <c r="F14" s="446"/>
      <c r="G14" s="446"/>
      <c r="H14" s="446"/>
      <c r="I14" s="446"/>
      <c r="J14" s="446"/>
      <c r="K14" s="446"/>
      <c r="L14" s="446"/>
      <c r="M14" s="446"/>
      <c r="N14" s="446"/>
      <c r="O14" s="446"/>
      <c r="P14" s="446"/>
      <c r="Q14" s="446"/>
      <c r="R14" s="446"/>
      <c r="S14" s="446"/>
      <c r="T14" s="446"/>
      <c r="U14" s="446"/>
      <c r="V14" s="446"/>
      <c r="W14" s="446"/>
      <c r="X14" s="446"/>
      <c r="Y14" s="446"/>
      <c r="Z14" s="446"/>
      <c r="AA14" s="446"/>
      <c r="AB14" s="446"/>
      <c r="AC14" s="446"/>
      <c r="AD14" s="446"/>
      <c r="AE14" s="446"/>
      <c r="AF14" s="446"/>
      <c r="AG14" s="446"/>
      <c r="AH14" s="446"/>
      <c r="AI14" s="446"/>
      <c r="AJ14" s="446"/>
      <c r="AK14" s="446"/>
      <c r="AL14" s="446"/>
      <c r="AM14" s="446"/>
      <c r="AN14" s="446"/>
      <c r="AO14" s="446"/>
      <c r="AP14" s="446"/>
      <c r="AQ14" s="446"/>
      <c r="AR14" s="446"/>
      <c r="AS14" s="446"/>
      <c r="AT14" s="446"/>
      <c r="AU14" s="446"/>
      <c r="AV14" s="446"/>
      <c r="AW14" s="446"/>
    </row>
    <row r="15" spans="1:49" ht="15.75" x14ac:dyDescent="0.25">
      <c r="A15" s="437" t="str">
        <f>INDEX(Оглавление, ROW())</f>
        <v>[Цены на приграничных АЗС 2017-2020 (7138827 v1).XLSM]Цены на 12.10.2017</v>
      </c>
      <c r="C15" s="446"/>
      <c r="D15" s="446"/>
      <c r="E15" s="446"/>
      <c r="F15" s="446"/>
      <c r="G15" s="446"/>
      <c r="H15" s="446"/>
      <c r="I15" s="446"/>
      <c r="J15" s="446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6"/>
      <c r="W15" s="446"/>
      <c r="X15" s="446"/>
      <c r="Y15" s="446"/>
      <c r="Z15" s="446"/>
      <c r="AA15" s="446"/>
      <c r="AB15" s="446"/>
      <c r="AC15" s="446"/>
      <c r="AD15" s="446"/>
      <c r="AE15" s="446"/>
      <c r="AF15" s="446"/>
      <c r="AG15" s="446"/>
      <c r="AH15" s="446"/>
      <c r="AI15" s="446"/>
      <c r="AJ15" s="446"/>
      <c r="AK15" s="446"/>
      <c r="AL15" s="446"/>
      <c r="AM15" s="446"/>
      <c r="AN15" s="446"/>
      <c r="AO15" s="446"/>
      <c r="AP15" s="446"/>
      <c r="AQ15" s="446"/>
      <c r="AR15" s="446"/>
      <c r="AS15" s="446"/>
      <c r="AT15" s="446"/>
      <c r="AU15" s="446"/>
      <c r="AV15" s="446"/>
      <c r="AW15" s="446"/>
    </row>
    <row r="16" spans="1:49" ht="15.75" x14ac:dyDescent="0.25">
      <c r="A16" s="437" t="str">
        <f>INDEX(Оглавление, ROW())</f>
        <v>[Цены на приграничных АЗС 2017-2020 (7138827 v1).XLSM]Цены на 15.11.2017</v>
      </c>
      <c r="C16" s="446"/>
      <c r="D16" s="446"/>
      <c r="E16" s="446"/>
      <c r="F16" s="446"/>
      <c r="G16" s="446"/>
      <c r="H16" s="446"/>
      <c r="I16" s="446"/>
      <c r="J16" s="446"/>
      <c r="K16" s="446"/>
      <c r="L16" s="446"/>
      <c r="M16" s="446"/>
      <c r="N16" s="446"/>
      <c r="O16" s="446"/>
      <c r="P16" s="446"/>
      <c r="Q16" s="446"/>
      <c r="R16" s="446"/>
      <c r="S16" s="446"/>
      <c r="T16" s="446"/>
      <c r="U16" s="446"/>
      <c r="V16" s="446"/>
      <c r="W16" s="446"/>
      <c r="X16" s="446"/>
      <c r="Y16" s="446"/>
      <c r="Z16" s="446"/>
      <c r="AA16" s="446"/>
      <c r="AB16" s="446"/>
      <c r="AC16" s="446"/>
      <c r="AD16" s="446"/>
      <c r="AE16" s="446"/>
      <c r="AF16" s="446"/>
      <c r="AG16" s="446"/>
      <c r="AH16" s="446"/>
      <c r="AI16" s="446"/>
      <c r="AJ16" s="446"/>
      <c r="AK16" s="446"/>
      <c r="AL16" s="446"/>
      <c r="AM16" s="446"/>
      <c r="AN16" s="446"/>
      <c r="AO16" s="446"/>
      <c r="AP16" s="446"/>
      <c r="AQ16" s="446"/>
      <c r="AR16" s="446"/>
      <c r="AS16" s="446"/>
      <c r="AT16" s="446"/>
      <c r="AU16" s="446"/>
      <c r="AV16" s="446"/>
      <c r="AW16" s="446"/>
    </row>
    <row r="17" spans="1:49" ht="15.75" x14ac:dyDescent="0.25">
      <c r="A17" s="437" t="str">
        <f>INDEX(Оглавление, ROW())</f>
        <v>[Цены на приграничных АЗС 2017-2020 (7138827 v1).XLSM]Цены на 22.11.2017</v>
      </c>
      <c r="C17" s="446"/>
      <c r="D17" s="446"/>
      <c r="E17" s="446"/>
      <c r="F17" s="446"/>
      <c r="G17" s="446"/>
      <c r="H17" s="446"/>
      <c r="I17" s="446"/>
      <c r="J17" s="446"/>
      <c r="K17" s="446"/>
      <c r="L17" s="446"/>
      <c r="M17" s="446"/>
      <c r="N17" s="446"/>
      <c r="O17" s="446"/>
      <c r="P17" s="446"/>
      <c r="Q17" s="446"/>
      <c r="R17" s="446"/>
      <c r="S17" s="446"/>
      <c r="T17" s="446"/>
      <c r="U17" s="446"/>
      <c r="V17" s="446"/>
      <c r="W17" s="446"/>
      <c r="X17" s="446"/>
      <c r="Y17" s="446"/>
      <c r="Z17" s="446"/>
      <c r="AA17" s="446"/>
      <c r="AB17" s="446"/>
      <c r="AC17" s="446"/>
      <c r="AD17" s="446"/>
      <c r="AE17" s="446"/>
      <c r="AF17" s="446"/>
      <c r="AG17" s="446"/>
      <c r="AH17" s="446"/>
      <c r="AI17" s="446"/>
      <c r="AJ17" s="446"/>
      <c r="AK17" s="446"/>
      <c r="AL17" s="446"/>
      <c r="AM17" s="446"/>
      <c r="AN17" s="446"/>
      <c r="AO17" s="446"/>
      <c r="AP17" s="446"/>
      <c r="AQ17" s="446"/>
      <c r="AR17" s="446"/>
      <c r="AS17" s="446"/>
      <c r="AT17" s="446"/>
      <c r="AU17" s="446"/>
      <c r="AV17" s="446"/>
      <c r="AW17" s="446"/>
    </row>
    <row r="18" spans="1:49" ht="15.75" x14ac:dyDescent="0.25">
      <c r="A18" s="437" t="str">
        <f>INDEX(Оглавление, ROW())</f>
        <v>[Цены на приграничных АЗС 2017-2020 (7138827 v1).XLSM]Цены на 27.11.2017</v>
      </c>
      <c r="C18" s="446"/>
      <c r="D18" s="446"/>
      <c r="E18" s="446"/>
      <c r="F18" s="446"/>
      <c r="G18" s="446"/>
      <c r="H18" s="446"/>
      <c r="I18" s="446"/>
      <c r="J18" s="446"/>
      <c r="K18" s="446"/>
      <c r="L18" s="446"/>
      <c r="M18" s="446"/>
      <c r="N18" s="446"/>
      <c r="O18" s="446"/>
      <c r="P18" s="446"/>
      <c r="Q18" s="446"/>
      <c r="R18" s="446"/>
      <c r="S18" s="446"/>
      <c r="T18" s="446"/>
      <c r="U18" s="446"/>
      <c r="V18" s="446"/>
      <c r="W18" s="446"/>
      <c r="X18" s="446"/>
      <c r="Y18" s="446"/>
      <c r="Z18" s="446"/>
      <c r="AA18" s="446"/>
      <c r="AB18" s="446"/>
      <c r="AC18" s="446"/>
      <c r="AD18" s="446"/>
      <c r="AE18" s="446"/>
      <c r="AF18" s="446"/>
      <c r="AG18" s="446"/>
      <c r="AH18" s="446"/>
      <c r="AI18" s="446"/>
      <c r="AJ18" s="446"/>
      <c r="AK18" s="446"/>
      <c r="AL18" s="446"/>
      <c r="AM18" s="446"/>
      <c r="AN18" s="446"/>
      <c r="AO18" s="446"/>
      <c r="AP18" s="446"/>
      <c r="AQ18" s="446"/>
      <c r="AR18" s="446"/>
      <c r="AS18" s="446"/>
      <c r="AT18" s="446"/>
      <c r="AU18" s="446"/>
      <c r="AV18" s="446"/>
      <c r="AW18" s="446"/>
    </row>
    <row r="19" spans="1:49" ht="15.75" x14ac:dyDescent="0.25">
      <c r="A19" s="437" t="str">
        <f>INDEX(Оглавление, ROW())</f>
        <v>[Цены на приграничных АЗС 2017-2020 (7138827 v1).XLSM]Цены на 04.12.2017</v>
      </c>
      <c r="C19" s="446"/>
      <c r="D19" s="446"/>
      <c r="E19" s="446"/>
      <c r="F19" s="446"/>
      <c r="G19" s="446"/>
      <c r="H19" s="446"/>
      <c r="I19" s="446"/>
      <c r="J19" s="446"/>
      <c r="K19" s="446"/>
      <c r="L19" s="446"/>
      <c r="M19" s="446"/>
      <c r="N19" s="446"/>
      <c r="O19" s="446"/>
      <c r="P19" s="446"/>
      <c r="Q19" s="446"/>
      <c r="R19" s="446"/>
      <c r="S19" s="446"/>
      <c r="T19" s="446"/>
      <c r="U19" s="446"/>
      <c r="V19" s="446"/>
      <c r="W19" s="446"/>
      <c r="X19" s="446"/>
      <c r="Y19" s="446"/>
      <c r="Z19" s="446"/>
      <c r="AA19" s="446"/>
      <c r="AB19" s="446"/>
      <c r="AC19" s="446"/>
      <c r="AD19" s="446"/>
      <c r="AE19" s="446"/>
      <c r="AF19" s="446"/>
      <c r="AG19" s="446"/>
      <c r="AH19" s="446"/>
      <c r="AI19" s="446"/>
      <c r="AJ19" s="446"/>
      <c r="AK19" s="446"/>
      <c r="AL19" s="446"/>
      <c r="AM19" s="446"/>
      <c r="AN19" s="446"/>
      <c r="AO19" s="446"/>
      <c r="AP19" s="446"/>
      <c r="AQ19" s="446"/>
      <c r="AR19" s="446"/>
      <c r="AS19" s="446"/>
      <c r="AT19" s="446"/>
      <c r="AU19" s="446"/>
      <c r="AV19" s="446"/>
      <c r="AW19" s="446"/>
    </row>
    <row r="20" spans="1:49" ht="15.75" x14ac:dyDescent="0.25">
      <c r="A20" s="437" t="str">
        <f>INDEX(Оглавление, ROW())</f>
        <v>[Цены на приграничных АЗС 2017-2020 (7138827 v1).XLSM]Цены на 11.12.2017</v>
      </c>
      <c r="C20" s="446"/>
      <c r="D20" s="446"/>
      <c r="E20" s="446"/>
      <c r="F20" s="446"/>
      <c r="G20" s="446"/>
      <c r="H20" s="446"/>
      <c r="I20" s="446"/>
      <c r="J20" s="446"/>
      <c r="K20" s="446"/>
      <c r="L20" s="446"/>
      <c r="M20" s="446"/>
      <c r="N20" s="446"/>
      <c r="O20" s="446"/>
      <c r="P20" s="446"/>
      <c r="Q20" s="446"/>
      <c r="R20" s="446"/>
      <c r="S20" s="446"/>
      <c r="T20" s="446"/>
      <c r="U20" s="446"/>
      <c r="V20" s="446"/>
      <c r="W20" s="446"/>
      <c r="X20" s="446"/>
      <c r="Y20" s="446"/>
      <c r="Z20" s="446"/>
      <c r="AA20" s="446"/>
      <c r="AB20" s="446"/>
      <c r="AC20" s="446"/>
      <c r="AD20" s="446"/>
      <c r="AE20" s="446"/>
      <c r="AF20" s="446"/>
      <c r="AG20" s="446"/>
      <c r="AH20" s="446"/>
      <c r="AI20" s="446"/>
      <c r="AJ20" s="446"/>
      <c r="AK20" s="446"/>
      <c r="AL20" s="446"/>
      <c r="AM20" s="446"/>
      <c r="AN20" s="446"/>
      <c r="AO20" s="446"/>
      <c r="AP20" s="446"/>
      <c r="AQ20" s="446"/>
      <c r="AR20" s="446"/>
      <c r="AS20" s="446"/>
      <c r="AT20" s="446"/>
      <c r="AU20" s="446"/>
      <c r="AV20" s="446"/>
      <c r="AW20" s="446"/>
    </row>
    <row r="21" spans="1:49" ht="15.75" x14ac:dyDescent="0.25">
      <c r="A21" s="437" t="str">
        <f>INDEX(Оглавление, ROW())</f>
        <v>[Цены на приграничных АЗС 2017-2020 (7138827 v1).XLSM]Цены на 18.12.2017</v>
      </c>
      <c r="C21" s="446"/>
      <c r="D21" s="446"/>
      <c r="E21" s="446"/>
      <c r="F21" s="446"/>
      <c r="G21" s="446"/>
      <c r="H21" s="446"/>
      <c r="I21" s="446"/>
      <c r="J21" s="446"/>
      <c r="K21" s="446"/>
      <c r="L21" s="446"/>
      <c r="M21" s="446"/>
      <c r="N21" s="446"/>
      <c r="O21" s="446"/>
      <c r="P21" s="446"/>
      <c r="Q21" s="446"/>
      <c r="R21" s="446"/>
      <c r="S21" s="446"/>
      <c r="T21" s="446"/>
      <c r="U21" s="446"/>
      <c r="V21" s="446"/>
      <c r="W21" s="446"/>
      <c r="X21" s="446"/>
      <c r="Y21" s="446"/>
      <c r="Z21" s="446"/>
      <c r="AA21" s="446"/>
      <c r="AB21" s="446"/>
      <c r="AC21" s="446"/>
      <c r="AD21" s="446"/>
      <c r="AE21" s="446"/>
      <c r="AF21" s="446"/>
      <c r="AG21" s="446"/>
      <c r="AH21" s="446"/>
      <c r="AI21" s="446"/>
      <c r="AJ21" s="446"/>
      <c r="AK21" s="446"/>
      <c r="AL21" s="446"/>
      <c r="AM21" s="446"/>
      <c r="AN21" s="446"/>
      <c r="AO21" s="446"/>
      <c r="AP21" s="446"/>
      <c r="AQ21" s="446"/>
      <c r="AR21" s="446"/>
      <c r="AS21" s="446"/>
      <c r="AT21" s="446"/>
      <c r="AU21" s="446"/>
      <c r="AV21" s="446"/>
      <c r="AW21" s="446"/>
    </row>
    <row r="22" spans="1:49" ht="15.75" x14ac:dyDescent="0.25">
      <c r="A22" s="437" t="str">
        <f>INDEX(Оглавление, ROW())</f>
        <v>[Цены на приграничных АЗС 2017-2020 (7138827 v1).XLSM]Цены на 26.12.2017</v>
      </c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  <c r="V22" s="446"/>
      <c r="W22" s="446"/>
      <c r="X22" s="446"/>
      <c r="Y22" s="446"/>
      <c r="Z22" s="446"/>
      <c r="AA22" s="446"/>
      <c r="AB22" s="446"/>
      <c r="AC22" s="446"/>
      <c r="AD22" s="446"/>
      <c r="AE22" s="446"/>
      <c r="AF22" s="446"/>
      <c r="AG22" s="446"/>
      <c r="AH22" s="446"/>
      <c r="AI22" s="446"/>
      <c r="AJ22" s="446"/>
      <c r="AK22" s="446"/>
      <c r="AL22" s="446"/>
      <c r="AM22" s="446"/>
      <c r="AN22" s="446"/>
      <c r="AO22" s="446"/>
      <c r="AP22" s="446"/>
      <c r="AQ22" s="446"/>
      <c r="AR22" s="446"/>
      <c r="AS22" s="446"/>
      <c r="AT22" s="446"/>
      <c r="AU22" s="446"/>
      <c r="AV22" s="446"/>
      <c r="AW22" s="446"/>
    </row>
    <row r="23" spans="1:49" ht="15.75" x14ac:dyDescent="0.25">
      <c r="A23" s="437" t="str">
        <f>INDEX(Оглавление, ROW())</f>
        <v>[Цены на приграничных АЗС 2017-2020 (7138827 v1).XLSM]Цены на 03.01.2018</v>
      </c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  <c r="V23" s="446"/>
      <c r="W23" s="446"/>
      <c r="X23" s="446"/>
      <c r="Y23" s="446"/>
      <c r="Z23" s="446"/>
      <c r="AA23" s="446"/>
      <c r="AB23" s="446"/>
      <c r="AC23" s="446"/>
      <c r="AD23" s="446"/>
      <c r="AE23" s="446"/>
      <c r="AF23" s="446"/>
      <c r="AG23" s="446"/>
      <c r="AH23" s="446"/>
      <c r="AI23" s="446"/>
      <c r="AJ23" s="446"/>
      <c r="AK23" s="446"/>
      <c r="AL23" s="446"/>
      <c r="AM23" s="446"/>
      <c r="AN23" s="446"/>
      <c r="AO23" s="446"/>
      <c r="AP23" s="446"/>
      <c r="AQ23" s="446"/>
      <c r="AR23" s="446"/>
      <c r="AS23" s="446"/>
      <c r="AT23" s="446"/>
      <c r="AU23" s="446"/>
      <c r="AV23" s="446"/>
      <c r="AW23" s="446"/>
    </row>
    <row r="24" spans="1:49" ht="15.75" x14ac:dyDescent="0.25">
      <c r="A24" s="437" t="str">
        <f>INDEX(Оглавление, ROW())</f>
        <v>[Цены на приграничных АЗС 2017-2020 (7138827 v1).XLSM]Цены на 08.01.2018</v>
      </c>
      <c r="C24" s="446"/>
      <c r="D24" s="446"/>
      <c r="E24" s="446"/>
      <c r="F24" s="446"/>
      <c r="G24" s="446"/>
      <c r="H24" s="446"/>
      <c r="I24" s="446"/>
      <c r="J24" s="446"/>
      <c r="K24" s="446"/>
      <c r="L24" s="446"/>
      <c r="M24" s="446"/>
      <c r="N24" s="446"/>
      <c r="O24" s="446"/>
      <c r="P24" s="446"/>
      <c r="Q24" s="446"/>
      <c r="R24" s="446"/>
      <c r="S24" s="446"/>
      <c r="T24" s="446"/>
      <c r="U24" s="446"/>
      <c r="V24" s="446"/>
      <c r="W24" s="446"/>
      <c r="X24" s="446"/>
      <c r="Y24" s="446"/>
      <c r="Z24" s="446"/>
      <c r="AA24" s="446"/>
      <c r="AB24" s="446"/>
      <c r="AC24" s="446"/>
      <c r="AD24" s="446"/>
      <c r="AE24" s="446"/>
      <c r="AF24" s="446"/>
      <c r="AG24" s="446"/>
      <c r="AH24" s="446"/>
      <c r="AI24" s="446"/>
      <c r="AJ24" s="446"/>
      <c r="AK24" s="446"/>
      <c r="AL24" s="446"/>
      <c r="AM24" s="446"/>
      <c r="AN24" s="446"/>
      <c r="AO24" s="446"/>
      <c r="AP24" s="446"/>
      <c r="AQ24" s="446"/>
      <c r="AR24" s="446"/>
      <c r="AS24" s="446"/>
      <c r="AT24" s="446"/>
      <c r="AU24" s="446"/>
      <c r="AV24" s="446"/>
      <c r="AW24" s="446"/>
    </row>
    <row r="25" spans="1:49" ht="15.75" x14ac:dyDescent="0.25">
      <c r="A25" s="437" t="str">
        <f>INDEX(Оглавление, ROW())</f>
        <v>[Цены на приграничных АЗС 2017-2020 (7138827 v1).XLSM]Цены на 15.01.2018</v>
      </c>
      <c r="C25" s="446"/>
      <c r="D25" s="446"/>
      <c r="E25" s="446"/>
      <c r="F25" s="446"/>
      <c r="G25" s="446"/>
      <c r="H25" s="446"/>
      <c r="I25" s="446"/>
      <c r="J25" s="446"/>
      <c r="K25" s="446"/>
      <c r="L25" s="446"/>
      <c r="M25" s="446"/>
      <c r="N25" s="446"/>
      <c r="O25" s="446"/>
      <c r="P25" s="446"/>
      <c r="Q25" s="446"/>
      <c r="R25" s="446"/>
      <c r="S25" s="446"/>
      <c r="T25" s="446"/>
      <c r="U25" s="446"/>
      <c r="V25" s="446"/>
      <c r="W25" s="446"/>
      <c r="X25" s="446"/>
      <c r="Y25" s="446"/>
      <c r="Z25" s="446"/>
      <c r="AA25" s="446"/>
      <c r="AB25" s="446"/>
      <c r="AC25" s="446"/>
      <c r="AD25" s="446"/>
      <c r="AE25" s="446"/>
      <c r="AF25" s="446"/>
      <c r="AG25" s="446"/>
      <c r="AH25" s="446"/>
      <c r="AI25" s="446"/>
      <c r="AJ25" s="446"/>
      <c r="AK25" s="446"/>
      <c r="AL25" s="446"/>
      <c r="AM25" s="446"/>
      <c r="AN25" s="446"/>
      <c r="AO25" s="446"/>
      <c r="AP25" s="446"/>
      <c r="AQ25" s="446"/>
      <c r="AR25" s="446"/>
      <c r="AS25" s="446"/>
      <c r="AT25" s="446"/>
      <c r="AU25" s="446"/>
      <c r="AV25" s="446"/>
      <c r="AW25" s="446"/>
    </row>
    <row r="26" spans="1:49" ht="15.75" x14ac:dyDescent="0.25">
      <c r="A26" s="437" t="str">
        <f>INDEX(Оглавление, ROW())</f>
        <v>[Цены на приграничных АЗС 2017-2020 (7138827 v1).XLSM]Цены на 22.01.2018</v>
      </c>
      <c r="C26" s="446"/>
      <c r="D26" s="446"/>
      <c r="E26" s="446"/>
      <c r="F26" s="446"/>
      <c r="G26" s="446"/>
      <c r="H26" s="446"/>
      <c r="I26" s="446"/>
      <c r="J26" s="446"/>
      <c r="K26" s="446"/>
      <c r="L26" s="446"/>
      <c r="M26" s="446"/>
      <c r="N26" s="446"/>
      <c r="O26" s="446"/>
      <c r="P26" s="446"/>
      <c r="Q26" s="446"/>
      <c r="R26" s="446"/>
      <c r="S26" s="446"/>
      <c r="T26" s="446"/>
      <c r="U26" s="446"/>
      <c r="V26" s="446"/>
      <c r="W26" s="446"/>
      <c r="X26" s="446"/>
      <c r="Y26" s="446"/>
      <c r="Z26" s="446"/>
      <c r="AA26" s="446"/>
      <c r="AB26" s="446"/>
      <c r="AC26" s="446"/>
      <c r="AD26" s="446"/>
      <c r="AE26" s="446"/>
      <c r="AF26" s="446"/>
      <c r="AG26" s="446"/>
      <c r="AH26" s="446"/>
      <c r="AI26" s="446"/>
      <c r="AJ26" s="446"/>
      <c r="AK26" s="446"/>
      <c r="AL26" s="446"/>
      <c r="AM26" s="446"/>
      <c r="AN26" s="446"/>
      <c r="AO26" s="446"/>
      <c r="AP26" s="446"/>
      <c r="AQ26" s="446"/>
      <c r="AR26" s="446"/>
      <c r="AS26" s="446"/>
      <c r="AT26" s="446"/>
      <c r="AU26" s="446"/>
      <c r="AV26" s="446"/>
      <c r="AW26" s="446"/>
    </row>
    <row r="27" spans="1:49" ht="15.75" x14ac:dyDescent="0.25">
      <c r="A27" s="437" t="str">
        <f>INDEX(Оглавление, ROW())</f>
        <v>[Цены на приграничных АЗС 2017-2020 (7138827 v1).XLSM]Цены на 29.01.2018</v>
      </c>
      <c r="C27" s="446"/>
      <c r="D27" s="446"/>
      <c r="E27" s="446"/>
      <c r="F27" s="446"/>
      <c r="G27" s="446"/>
      <c r="H27" s="446"/>
      <c r="I27" s="446"/>
      <c r="J27" s="446"/>
      <c r="K27" s="446"/>
      <c r="L27" s="446"/>
      <c r="M27" s="446"/>
      <c r="N27" s="446"/>
      <c r="O27" s="446"/>
      <c r="P27" s="446"/>
      <c r="Q27" s="446"/>
      <c r="R27" s="446"/>
      <c r="S27" s="446"/>
      <c r="T27" s="446"/>
      <c r="U27" s="446"/>
      <c r="V27" s="446"/>
      <c r="W27" s="446"/>
      <c r="X27" s="446"/>
      <c r="Y27" s="446"/>
      <c r="Z27" s="446"/>
      <c r="AA27" s="446"/>
      <c r="AB27" s="446"/>
      <c r="AC27" s="446"/>
      <c r="AD27" s="446"/>
      <c r="AE27" s="446"/>
      <c r="AF27" s="446"/>
      <c r="AG27" s="446"/>
      <c r="AH27" s="446"/>
      <c r="AI27" s="446"/>
      <c r="AJ27" s="446"/>
      <c r="AK27" s="446"/>
      <c r="AL27" s="446"/>
      <c r="AM27" s="446"/>
      <c r="AN27" s="446"/>
      <c r="AO27" s="446"/>
      <c r="AP27" s="446"/>
      <c r="AQ27" s="446"/>
      <c r="AR27" s="446"/>
      <c r="AS27" s="446"/>
      <c r="AT27" s="446"/>
      <c r="AU27" s="446"/>
      <c r="AV27" s="446"/>
      <c r="AW27" s="446"/>
    </row>
    <row r="28" spans="1:49" ht="15.75" x14ac:dyDescent="0.25">
      <c r="A28" s="437" t="str">
        <f>INDEX(Оглавление, ROW())</f>
        <v>[Цены на приграничных АЗС 2017-2020 (7138827 v1).XLSM]Цены на 05.02.2018</v>
      </c>
      <c r="C28" s="446"/>
      <c r="D28" s="446"/>
      <c r="E28" s="446"/>
      <c r="F28" s="446"/>
      <c r="G28" s="446"/>
      <c r="H28" s="446"/>
      <c r="I28" s="446"/>
      <c r="J28" s="446"/>
      <c r="K28" s="446"/>
      <c r="L28" s="446"/>
      <c r="M28" s="446"/>
      <c r="N28" s="446"/>
      <c r="O28" s="446"/>
      <c r="P28" s="446"/>
      <c r="Q28" s="446"/>
      <c r="R28" s="446"/>
      <c r="S28" s="446"/>
      <c r="T28" s="446"/>
      <c r="U28" s="446"/>
      <c r="V28" s="446"/>
      <c r="W28" s="446"/>
      <c r="X28" s="446"/>
      <c r="Y28" s="446"/>
      <c r="Z28" s="446"/>
      <c r="AA28" s="446"/>
      <c r="AB28" s="446"/>
      <c r="AC28" s="446"/>
      <c r="AD28" s="446"/>
      <c r="AE28" s="446"/>
      <c r="AF28" s="446"/>
      <c r="AG28" s="446"/>
      <c r="AH28" s="446"/>
      <c r="AI28" s="446"/>
      <c r="AJ28" s="446"/>
      <c r="AK28" s="446"/>
      <c r="AL28" s="446"/>
      <c r="AM28" s="446"/>
      <c r="AN28" s="446"/>
      <c r="AO28" s="446"/>
      <c r="AP28" s="446"/>
      <c r="AQ28" s="446"/>
      <c r="AR28" s="446"/>
      <c r="AS28" s="446"/>
      <c r="AT28" s="446"/>
      <c r="AU28" s="446"/>
      <c r="AV28" s="446"/>
      <c r="AW28" s="446"/>
    </row>
    <row r="29" spans="1:49" ht="15.75" x14ac:dyDescent="0.25">
      <c r="A29" s="437" t="str">
        <f>INDEX(Оглавление, ROW())</f>
        <v>[Цены на приграничных АЗС 2017-2020 (7138827 v1).XLSM]Цены на 12.02.2018</v>
      </c>
      <c r="C29" s="446"/>
      <c r="D29" s="446"/>
      <c r="E29" s="446"/>
      <c r="F29" s="446"/>
      <c r="G29" s="446"/>
      <c r="H29" s="446"/>
      <c r="I29" s="446"/>
      <c r="J29" s="446"/>
      <c r="K29" s="446"/>
      <c r="L29" s="446"/>
      <c r="M29" s="446"/>
      <c r="N29" s="446"/>
      <c r="O29" s="446"/>
      <c r="P29" s="446"/>
      <c r="Q29" s="446"/>
      <c r="R29" s="446"/>
      <c r="S29" s="446"/>
      <c r="T29" s="446"/>
      <c r="U29" s="446"/>
      <c r="V29" s="446"/>
      <c r="W29" s="446"/>
      <c r="X29" s="446"/>
      <c r="Y29" s="446"/>
      <c r="Z29" s="446"/>
      <c r="AA29" s="446"/>
      <c r="AB29" s="446"/>
      <c r="AC29" s="446"/>
      <c r="AD29" s="446"/>
      <c r="AE29" s="446"/>
      <c r="AF29" s="446"/>
      <c r="AG29" s="446"/>
      <c r="AH29" s="446"/>
      <c r="AI29" s="446"/>
      <c r="AJ29" s="446"/>
      <c r="AK29" s="446"/>
      <c r="AL29" s="446"/>
      <c r="AM29" s="446"/>
      <c r="AN29" s="446"/>
      <c r="AO29" s="446"/>
      <c r="AP29" s="446"/>
      <c r="AQ29" s="446"/>
      <c r="AR29" s="446"/>
      <c r="AS29" s="446"/>
      <c r="AT29" s="446"/>
      <c r="AU29" s="446"/>
      <c r="AV29" s="446"/>
      <c r="AW29" s="446"/>
    </row>
    <row r="30" spans="1:49" ht="15.75" x14ac:dyDescent="0.25">
      <c r="A30" s="437" t="str">
        <f>INDEX(Оглавление, ROW())</f>
        <v>[Цены на приграничных АЗС 2017-2020 (7138827 v1).XLSM]Цены на 19.02.2018</v>
      </c>
      <c r="B30" s="438">
        <f t="shared" ref="B30:B66" ca="1" si="0">INDIRECT("'"&amp;A30&amp;"'"&amp;"!D2")</f>
        <v>43150</v>
      </c>
      <c r="C30" s="446">
        <f t="shared" ref="C30:C78" ca="1" si="1">INDIRECT("'"&amp;$A30&amp;"'"&amp;"!b31")</f>
        <v>7.2565999999999997</v>
      </c>
      <c r="D30" s="446">
        <f t="shared" ref="D30:D78" ca="1" si="2">INDIRECT("'"&amp;$A30&amp;"'"&amp;"!$b$32")</f>
        <v>1.96</v>
      </c>
      <c r="E30" s="446">
        <f t="shared" ref="E30:E78" ca="1" si="3">INDIRECT("'"&amp;$A30&amp;"'"&amp;"!$b$33")</f>
        <v>2.4557000000000002</v>
      </c>
      <c r="F30" s="446">
        <f t="shared" ref="F30:F78" ca="1" si="4">INDIRECT("'"&amp;$A30&amp;"'"&amp;"!$b$34")</f>
        <v>5.8966000000000003</v>
      </c>
      <c r="G30" s="446">
        <f t="shared" ref="G30:G78" ca="1" si="5">INDIRECT("'"&amp;$A30&amp;"'"&amp;"!$b$35")</f>
        <v>3.4788000000000001</v>
      </c>
      <c r="H30" s="446">
        <f t="shared" ref="H30:H65" ca="1" si="6">INDIRECT("'"&amp;$A30&amp;"'"&amp;"!$b$19")</f>
        <v>1.21</v>
      </c>
      <c r="I30" s="446">
        <f t="shared" ref="I30:I65" ca="1" si="7">INDIRECT("'"&amp;$A30&amp;"'"&amp;"!$e$19")</f>
        <v>1.29</v>
      </c>
      <c r="J30" s="446">
        <f t="shared" ref="J30:J65" ca="1" si="8">INDIRECT("'"&amp;$A30&amp;"'"&amp;"!$h$19")</f>
        <v>1.4</v>
      </c>
      <c r="K30" s="446">
        <f t="shared" ref="K30:K65" ca="1" si="9">INDIRECT("'"&amp;$A30&amp;"'"&amp;"!$k$19")</f>
        <v>1.31</v>
      </c>
      <c r="L30" s="446">
        <f t="shared" ref="L30:L65" ca="1" si="10">INDIRECT("'"&amp;$A30&amp;"'"&amp;"!$n$19")</f>
        <v>0.71</v>
      </c>
      <c r="M30" s="446">
        <f t="shared" ref="M30:M65" ca="1" si="11">INDIRECT("'"&amp;$A30&amp;"'"&amp;"!$b$20")</f>
        <v>38.340000000000003</v>
      </c>
      <c r="N30" s="446">
        <f t="shared" ref="N30:N65" ca="1" si="12">INDIRECT("'"&amp;$A30&amp;"'"&amp;"!$e$20")</f>
        <v>41.6</v>
      </c>
      <c r="O30" s="446">
        <f t="shared" ref="O30:O65" ca="1" si="13">INDIRECT("'"&amp;$A30&amp;"'"&amp;"!$h$20")</f>
        <v>47.07</v>
      </c>
      <c r="P30" s="446">
        <f t="shared" ref="P30:P65" ca="1" si="14">INDIRECT("'"&amp;$A30&amp;"'"&amp;"!$k$20")</f>
        <v>39.799999999999997</v>
      </c>
      <c r="Q30" s="446">
        <f t="shared" ref="Q30:Q65" ca="1" si="15">INDIRECT("'"&amp;$A30&amp;"'"&amp;"!$n$20")</f>
        <v>18.86</v>
      </c>
      <c r="R30" s="446">
        <f t="shared" ref="R30:R65" ca="1" si="16">INDIRECT("'"&amp;$A30&amp;"'"&amp;"!$b$21")</f>
        <v>37.270000000000003</v>
      </c>
      <c r="S30" s="446">
        <f t="shared" ref="S30:S65" ca="1" si="17">INDIRECT("'"&amp;$A30&amp;"'"&amp;"!$e$21")</f>
        <v>40.270000000000003</v>
      </c>
      <c r="T30" s="446">
        <f t="shared" ref="T30:T65" ca="1" si="18">INDIRECT("'"&amp;$A30&amp;"'"&amp;"!$h$21")</f>
        <v>44.7</v>
      </c>
      <c r="U30" s="446">
        <f t="shared" ref="U30:U65" ca="1" si="19">INDIRECT("'"&amp;$A30&amp;"'"&amp;"!$k$21")</f>
        <v>39.44</v>
      </c>
      <c r="V30" s="446">
        <f t="shared" ref="V30:V65" ca="1" si="20">INDIRECT("'"&amp;$A30&amp;"'"&amp;"!$n$21")</f>
        <v>18.95</v>
      </c>
      <c r="W30" s="446">
        <f t="shared" ref="W30:W65" ca="1" si="21">INDIRECT("'"&amp;$A30&amp;"'"&amp;"!$b$22")</f>
        <v>37.950000000000003</v>
      </c>
      <c r="X30" s="446">
        <f t="shared" ref="X30:X65" ca="1" si="22">INDIRECT("'"&amp;$A30&amp;"'"&amp;"!$e$22")</f>
        <v>40.71</v>
      </c>
      <c r="Y30" s="446">
        <f t="shared" ref="Y30:Y65" ca="1" si="23">INDIRECT("'"&amp;$A30&amp;"'"&amp;"!$h$22")</f>
        <v>44.3</v>
      </c>
      <c r="Z30" s="446">
        <f t="shared" ref="Z30:Z65" ca="1" si="24">INDIRECT("'"&amp;$A30&amp;"'"&amp;"!$k$22")</f>
        <v>39.89</v>
      </c>
      <c r="AA30" s="446">
        <f t="shared" ref="AA30:AA65" ca="1" si="25">INDIRECT("'"&amp;$A30&amp;"'"&amp;"!$n$22")</f>
        <v>18.95</v>
      </c>
      <c r="AB30" s="446">
        <f t="shared" ref="AB30:AB65" ca="1" si="26">INDIRECT("'"&amp;$A30&amp;"'"&amp;"!$b$23")</f>
        <v>37.71</v>
      </c>
      <c r="AC30" s="446">
        <f t="shared" ref="AC30:AC65" ca="1" si="27">INDIRECT("'"&amp;$A30&amp;"'"&amp;"!$e$23")</f>
        <v>40.549999999999997</v>
      </c>
      <c r="AD30" s="446">
        <f t="shared" ref="AD30:AD65" ca="1" si="28">INDIRECT("'"&amp;$A30&amp;"'"&amp;"!$h$23")</f>
        <v>45.65</v>
      </c>
      <c r="AE30" s="446">
        <f t="shared" ref="AE30:AE65" ca="1" si="29">INDIRECT("'"&amp;$A30&amp;"'"&amp;"!$k$23")</f>
        <v>40.82</v>
      </c>
      <c r="AF30" s="446">
        <f t="shared" ref="AF30:AF65" ca="1" si="30">INDIRECT("'"&amp;$A30&amp;"'"&amp;"!$n$23")</f>
        <v>17.649999999999999</v>
      </c>
      <c r="AG30" s="446">
        <f t="shared" ref="AG30:AG65" ca="1" si="31">INDIRECT("'"&amp;$A30&amp;"'"&amp;"!$b$24")</f>
        <v>29.72</v>
      </c>
      <c r="AH30" s="446">
        <f t="shared" ref="AH30:AH65" ca="1" si="32">INDIRECT("'"&amp;$A30&amp;"'"&amp;"!$e$24")</f>
        <v>30.39</v>
      </c>
      <c r="AI30" s="446">
        <f t="shared" ref="AI30:AI65" ca="1" si="33">INDIRECT("'"&amp;$A30&amp;"'"&amp;"!$h$24")</f>
        <v>34.15</v>
      </c>
      <c r="AJ30" s="446">
        <f t="shared" ref="AJ30:AJ65" ca="1" si="34">INDIRECT("'"&amp;$A30&amp;"'"&amp;"!$k$24")</f>
        <v>26.09</v>
      </c>
      <c r="AK30" s="446">
        <f t="shared" ref="AK30:AK65" ca="1" si="35">INDIRECT("'"&amp;$A30&amp;"'"&amp;"!$n$24")</f>
        <v>13.49</v>
      </c>
      <c r="AL30" s="446">
        <f t="shared" ref="AL30:AL65" ca="1" si="36">INDIRECT("'"&amp;$A30&amp;"'"&amp;"!$e$25")</f>
        <v>1.23</v>
      </c>
      <c r="AM30" s="446">
        <f t="shared" ref="AM30:AM65" ca="1" si="37">INDIRECT("'"&amp;$A30&amp;"'"&amp;"!$h$25")</f>
        <v>1.28</v>
      </c>
      <c r="AN30" s="446">
        <f t="shared" ref="AN30:AN65" ca="1" si="38">INDIRECT("'"&amp;$A30&amp;"'"&amp;"!$k$25")</f>
        <v>1.1299999999999999</v>
      </c>
      <c r="AO30" s="446">
        <f t="shared" ref="AO30:AO65" ca="1" si="39">INDIRECT("'"&amp;$A30&amp;"'"&amp;"!$n$25")</f>
        <v>0.56000000000000005</v>
      </c>
      <c r="AP30" s="446">
        <f t="shared" ref="AP30:AP65" ca="1" si="40">INDIRECT("'"&amp;$A30&amp;"'"&amp;"!$e$26")</f>
        <v>1.19</v>
      </c>
      <c r="AQ30" s="446">
        <f t="shared" ref="AQ30:AQ65" ca="1" si="41">INDIRECT("'"&amp;$A30&amp;"'"&amp;"!$h$26")</f>
        <v>1.26</v>
      </c>
      <c r="AR30" s="446">
        <f t="shared" ref="AR30:AR65" ca="1" si="42">INDIRECT("'"&amp;$A30&amp;"'"&amp;"!$k$26")</f>
        <v>1.1100000000000001</v>
      </c>
      <c r="AS30" s="446">
        <f t="shared" ref="AS30:AS65" ca="1" si="43">INDIRECT("'"&amp;$A30&amp;"'"&amp;"!$n$26")</f>
        <v>0.55000000000000004</v>
      </c>
      <c r="AT30" s="446">
        <f t="shared" ref="AT30:AT65" ca="1" si="44">INDIRECT("'"&amp;$A30&amp;"'"&amp;"!$e$27")</f>
        <v>4.58</v>
      </c>
      <c r="AU30" s="446">
        <f t="shared" ref="AU30:AU65" ca="1" si="45">INDIRECT("'"&amp;$A30&amp;"'"&amp;"!$h$27")</f>
        <v>4.9400000000000004</v>
      </c>
      <c r="AV30" s="446">
        <f t="shared" ref="AV30:AV65" ca="1" si="46">INDIRECT("'"&amp;$A30&amp;"'"&amp;"!$k$27")</f>
        <v>4.5</v>
      </c>
      <c r="AW30" s="446">
        <f t="shared" ref="AW30:AW65" ca="1" si="47">INDIRECT("'"&amp;$A30&amp;"'"&amp;"!$n$27")</f>
        <v>2.04</v>
      </c>
    </row>
    <row r="31" spans="1:49" ht="15.75" x14ac:dyDescent="0.25">
      <c r="A31" s="437" t="str">
        <f>INDEX(Оглавление, ROW())</f>
        <v>[Цены на приграничных АЗС 2017-2020 (7138827 v1).XLSM]Цены на 26.02.2018</v>
      </c>
      <c r="B31" s="438">
        <f t="shared" ca="1" si="0"/>
        <v>43157</v>
      </c>
      <c r="C31" s="446">
        <f t="shared" ca="1" si="1"/>
        <v>7.2567000000000004</v>
      </c>
      <c r="D31" s="446">
        <f t="shared" ca="1" si="2"/>
        <v>1.9593</v>
      </c>
      <c r="E31" s="446">
        <f t="shared" ca="1" si="3"/>
        <v>2.4085999999999999</v>
      </c>
      <c r="F31" s="446">
        <f t="shared" ca="1" si="4"/>
        <v>5.7785000000000002</v>
      </c>
      <c r="G31" s="446">
        <f t="shared" ca="1" si="5"/>
        <v>3.4624999999999999</v>
      </c>
      <c r="H31" s="446">
        <f t="shared" ca="1" si="6"/>
        <v>1.21</v>
      </c>
      <c r="I31" s="446">
        <f t="shared" ca="1" si="7"/>
        <v>1.29</v>
      </c>
      <c r="J31" s="446">
        <f t="shared" ca="1" si="8"/>
        <v>1.4</v>
      </c>
      <c r="K31" s="446">
        <f t="shared" ca="1" si="9"/>
        <v>1.31</v>
      </c>
      <c r="L31" s="446">
        <f t="shared" ca="1" si="10"/>
        <v>0.71</v>
      </c>
      <c r="M31" s="446">
        <f t="shared" ca="1" si="11"/>
        <v>38.36</v>
      </c>
      <c r="N31" s="446">
        <f t="shared" ca="1" si="12"/>
        <v>41.62</v>
      </c>
      <c r="O31" s="446">
        <f t="shared" ca="1" si="13"/>
        <v>46.94</v>
      </c>
      <c r="P31" s="446">
        <f t="shared" ca="1" si="14"/>
        <v>39.89</v>
      </c>
      <c r="Q31" s="446">
        <f t="shared" ca="1" si="15"/>
        <v>18.899999999999999</v>
      </c>
      <c r="R31" s="446">
        <f t="shared" ca="1" si="16"/>
        <v>37.29</v>
      </c>
      <c r="S31" s="446">
        <f t="shared" ca="1" si="17"/>
        <v>40.29</v>
      </c>
      <c r="T31" s="446">
        <f t="shared" ca="1" si="18"/>
        <v>44.7</v>
      </c>
      <c r="U31" s="446">
        <f t="shared" ca="1" si="19"/>
        <v>39.56</v>
      </c>
      <c r="V31" s="446">
        <f t="shared" ca="1" si="20"/>
        <v>18.95</v>
      </c>
      <c r="W31" s="446">
        <f t="shared" ca="1" si="21"/>
        <v>37.99</v>
      </c>
      <c r="X31" s="446">
        <f t="shared" ca="1" si="22"/>
        <v>40.96</v>
      </c>
      <c r="Y31" s="446">
        <f t="shared" ca="1" si="23"/>
        <v>44.3</v>
      </c>
      <c r="Z31" s="446">
        <f t="shared" ca="1" si="24"/>
        <v>39.869999999999997</v>
      </c>
      <c r="AA31" s="446">
        <f t="shared" ca="1" si="25"/>
        <v>18.95</v>
      </c>
      <c r="AB31" s="446">
        <f t="shared" ca="1" si="26"/>
        <v>37.71</v>
      </c>
      <c r="AC31" s="446">
        <f t="shared" ca="1" si="27"/>
        <v>40.549999999999997</v>
      </c>
      <c r="AD31" s="446">
        <f t="shared" ca="1" si="28"/>
        <v>45.65</v>
      </c>
      <c r="AE31" s="446">
        <f t="shared" ca="1" si="29"/>
        <v>40.619999999999997</v>
      </c>
      <c r="AF31" s="446">
        <f t="shared" ca="1" si="30"/>
        <v>17.649999999999999</v>
      </c>
      <c r="AG31" s="446">
        <f t="shared" ca="1" si="31"/>
        <v>29.25</v>
      </c>
      <c r="AH31" s="446">
        <f t="shared" ca="1" si="32"/>
        <v>30</v>
      </c>
      <c r="AI31" s="446">
        <f t="shared" ca="1" si="33"/>
        <v>33.950000000000003</v>
      </c>
      <c r="AJ31" s="446">
        <f t="shared" ca="1" si="34"/>
        <v>25.84</v>
      </c>
      <c r="AK31" s="446">
        <f t="shared" ca="1" si="35"/>
        <v>12.67</v>
      </c>
      <c r="AL31" s="446">
        <f t="shared" ca="1" si="36"/>
        <v>1.2250000000000001</v>
      </c>
      <c r="AM31" s="446">
        <f t="shared" ca="1" si="37"/>
        <v>1.28</v>
      </c>
      <c r="AN31" s="446">
        <f t="shared" ca="1" si="38"/>
        <v>1.1299999999999999</v>
      </c>
      <c r="AO31" s="446">
        <f t="shared" ca="1" si="39"/>
        <v>0.55500000000000005</v>
      </c>
      <c r="AP31" s="446">
        <f t="shared" ca="1" si="40"/>
        <v>1.208</v>
      </c>
      <c r="AQ31" s="446">
        <f t="shared" ca="1" si="41"/>
        <v>1.2789999999999999</v>
      </c>
      <c r="AR31" s="446">
        <f t="shared" ca="1" si="42"/>
        <v>1.137</v>
      </c>
      <c r="AS31" s="446">
        <f t="shared" ca="1" si="43"/>
        <v>0.54900000000000004</v>
      </c>
      <c r="AT31" s="446">
        <f t="shared" ca="1" si="44"/>
        <v>4.55</v>
      </c>
      <c r="AU31" s="446">
        <f t="shared" ca="1" si="45"/>
        <v>4.95</v>
      </c>
      <c r="AV31" s="446">
        <f t="shared" ca="1" si="46"/>
        <v>4.45</v>
      </c>
      <c r="AW31" s="446">
        <f t="shared" ca="1" si="47"/>
        <v>2.02</v>
      </c>
    </row>
    <row r="32" spans="1:49" ht="15.75" x14ac:dyDescent="0.25">
      <c r="A32" s="437" t="str">
        <f>INDEX(Оглавление, ROW())</f>
        <v>[Цены на приграничных АЗС 2017-2020 (7138827 v1).XLSM]Цены на 05.03.2018</v>
      </c>
      <c r="B32" s="438">
        <f t="shared" ca="1" si="0"/>
        <v>43164</v>
      </c>
      <c r="C32" s="446">
        <f t="shared" ca="1" si="1"/>
        <v>7.3517999999999999</v>
      </c>
      <c r="D32" s="446">
        <f t="shared" ca="1" si="2"/>
        <v>1.9611000000000001</v>
      </c>
      <c r="E32" s="446">
        <f t="shared" ca="1" si="3"/>
        <v>2.4154</v>
      </c>
      <c r="F32" s="446">
        <f t="shared" ca="1" si="4"/>
        <v>5.7682000000000002</v>
      </c>
      <c r="G32" s="446">
        <f t="shared" ca="1" si="5"/>
        <v>3.4550000000000001</v>
      </c>
      <c r="H32" s="446">
        <f t="shared" ca="1" si="6"/>
        <v>1.21</v>
      </c>
      <c r="I32" s="446">
        <f t="shared" ca="1" si="7"/>
        <v>1.29</v>
      </c>
      <c r="J32" s="446">
        <f t="shared" ca="1" si="8"/>
        <v>1.4</v>
      </c>
      <c r="K32" s="446">
        <f t="shared" ca="1" si="9"/>
        <v>1.31</v>
      </c>
      <c r="L32" s="446">
        <f t="shared" ca="1" si="10"/>
        <v>0.71</v>
      </c>
      <c r="M32" s="446">
        <f t="shared" ca="1" si="11"/>
        <v>38.33</v>
      </c>
      <c r="N32" s="446">
        <f t="shared" ca="1" si="12"/>
        <v>41.6</v>
      </c>
      <c r="O32" s="446">
        <f t="shared" ca="1" si="13"/>
        <v>46.99</v>
      </c>
      <c r="P32" s="446">
        <f t="shared" ca="1" si="14"/>
        <v>39.79</v>
      </c>
      <c r="Q32" s="446">
        <f t="shared" ca="1" si="15"/>
        <v>19.09</v>
      </c>
      <c r="R32" s="446">
        <f t="shared" ca="1" si="16"/>
        <v>37.29</v>
      </c>
      <c r="S32" s="446">
        <f t="shared" ca="1" si="17"/>
        <v>40.29</v>
      </c>
      <c r="T32" s="446">
        <f t="shared" ca="1" si="18"/>
        <v>44.7</v>
      </c>
      <c r="U32" s="446">
        <f t="shared" ca="1" si="19"/>
        <v>39.93</v>
      </c>
      <c r="V32" s="446">
        <f t="shared" ca="1" si="20"/>
        <v>18.95</v>
      </c>
      <c r="W32" s="446">
        <f t="shared" ca="1" si="21"/>
        <v>37.950000000000003</v>
      </c>
      <c r="X32" s="446">
        <f t="shared" ca="1" si="22"/>
        <v>41</v>
      </c>
      <c r="Y32" s="446">
        <f t="shared" ca="1" si="23"/>
        <v>44.3</v>
      </c>
      <c r="Z32" s="446">
        <f t="shared" ca="1" si="24"/>
        <v>39.869999999999997</v>
      </c>
      <c r="AA32" s="446">
        <f t="shared" ca="1" si="25"/>
        <v>18.95</v>
      </c>
      <c r="AB32" s="446">
        <f t="shared" ca="1" si="26"/>
        <v>37.71</v>
      </c>
      <c r="AC32" s="446">
        <f t="shared" ca="1" si="27"/>
        <v>40.909999999999997</v>
      </c>
      <c r="AD32" s="446">
        <f t="shared" ca="1" si="28"/>
        <v>45.65</v>
      </c>
      <c r="AE32" s="446">
        <f t="shared" ca="1" si="29"/>
        <v>40.64</v>
      </c>
      <c r="AF32" s="446">
        <f t="shared" ca="1" si="30"/>
        <v>17.649999999999999</v>
      </c>
      <c r="AG32" s="446">
        <f t="shared" ca="1" si="31"/>
        <v>29.2</v>
      </c>
      <c r="AH32" s="446">
        <f t="shared" ca="1" si="32"/>
        <v>29.95</v>
      </c>
      <c r="AI32" s="446">
        <f t="shared" ca="1" si="33"/>
        <v>33.9</v>
      </c>
      <c r="AJ32" s="446">
        <f t="shared" ca="1" si="34"/>
        <v>25.84</v>
      </c>
      <c r="AK32" s="446">
        <f t="shared" ca="1" si="35"/>
        <v>13.4</v>
      </c>
      <c r="AL32" s="446">
        <f t="shared" ca="1" si="36"/>
        <v>1.2290000000000001</v>
      </c>
      <c r="AM32" s="446">
        <f t="shared" ca="1" si="37"/>
        <v>1.284</v>
      </c>
      <c r="AN32" s="446">
        <f t="shared" ca="1" si="38"/>
        <v>1.1339999999999999</v>
      </c>
      <c r="AO32" s="446">
        <f t="shared" ca="1" si="39"/>
        <v>0.55500000000000005</v>
      </c>
      <c r="AP32" s="446">
        <f t="shared" ca="1" si="40"/>
        <v>1.2050000000000001</v>
      </c>
      <c r="AQ32" s="446">
        <f t="shared" ca="1" si="41"/>
        <v>1.2769999999999999</v>
      </c>
      <c r="AR32" s="446">
        <f t="shared" ca="1" si="42"/>
        <v>1.1359999999999999</v>
      </c>
      <c r="AS32" s="446">
        <f t="shared" ca="1" si="43"/>
        <v>0.54900000000000004</v>
      </c>
      <c r="AT32" s="446">
        <f t="shared" ca="1" si="44"/>
        <v>4.5599999999999996</v>
      </c>
      <c r="AU32" s="446">
        <f t="shared" ca="1" si="45"/>
        <v>4.87</v>
      </c>
      <c r="AV32" s="446">
        <f t="shared" ca="1" si="46"/>
        <v>4.47</v>
      </c>
      <c r="AW32" s="446">
        <f t="shared" ca="1" si="47"/>
        <v>1.97</v>
      </c>
    </row>
    <row r="33" spans="1:49" ht="15.75" x14ac:dyDescent="0.25">
      <c r="A33" s="437" t="str">
        <f>INDEX(Оглавление, ROW())</f>
        <v>[Цены на приграничных АЗС 2017-2020 (7138827 v1).XLSM]Цены на 12.03.2018</v>
      </c>
      <c r="B33" s="438">
        <f t="shared" ca="1" si="0"/>
        <v>43171</v>
      </c>
      <c r="C33" s="446">
        <f t="shared" ca="1" si="1"/>
        <v>7.5031999999999996</v>
      </c>
      <c r="D33" s="446">
        <f t="shared" ca="1" si="2"/>
        <v>1.9589000000000001</v>
      </c>
      <c r="E33" s="446">
        <f t="shared" ca="1" si="3"/>
        <v>2.4314</v>
      </c>
      <c r="F33" s="446">
        <f t="shared" ca="1" si="4"/>
        <v>5.8041999999999998</v>
      </c>
      <c r="G33" s="446">
        <f t="shared" ca="1" si="5"/>
        <v>3.4481999999999999</v>
      </c>
      <c r="H33" s="446">
        <f t="shared" ca="1" si="6"/>
        <v>1.22</v>
      </c>
      <c r="I33" s="446">
        <f t="shared" ca="1" si="7"/>
        <v>1.3</v>
      </c>
      <c r="J33" s="446">
        <f t="shared" ca="1" si="8"/>
        <v>1.41</v>
      </c>
      <c r="K33" s="446">
        <f t="shared" ca="1" si="9"/>
        <v>1.33</v>
      </c>
      <c r="L33" s="446">
        <f t="shared" ca="1" si="10"/>
        <v>0.71</v>
      </c>
      <c r="M33" s="446">
        <f t="shared" ca="1" si="11"/>
        <v>38.270000000000003</v>
      </c>
      <c r="N33" s="446">
        <f t="shared" ca="1" si="12"/>
        <v>41.49</v>
      </c>
      <c r="O33" s="446">
        <f t="shared" ca="1" si="13"/>
        <v>47.13</v>
      </c>
      <c r="P33" s="446">
        <f t="shared" ca="1" si="14"/>
        <v>39.83</v>
      </c>
      <c r="Q33" s="446">
        <f t="shared" ca="1" si="15"/>
        <v>18.399999999999999</v>
      </c>
      <c r="R33" s="446">
        <f t="shared" ca="1" si="16"/>
        <v>37.130000000000003</v>
      </c>
      <c r="S33" s="446">
        <f t="shared" ca="1" si="17"/>
        <v>40.159999999999997</v>
      </c>
      <c r="T33" s="446">
        <f t="shared" ca="1" si="18"/>
        <v>44.7</v>
      </c>
      <c r="U33" s="446">
        <f t="shared" ca="1" si="19"/>
        <v>39.4</v>
      </c>
      <c r="V33" s="446">
        <f t="shared" ca="1" si="20"/>
        <v>17.2</v>
      </c>
      <c r="W33" s="446">
        <f t="shared" ca="1" si="21"/>
        <v>37.950000000000003</v>
      </c>
      <c r="X33" s="446">
        <f t="shared" ca="1" si="22"/>
        <v>40.950000000000003</v>
      </c>
      <c r="Y33" s="446">
        <f t="shared" ca="1" si="23"/>
        <v>44.3</v>
      </c>
      <c r="Z33" s="446">
        <f t="shared" ca="1" si="24"/>
        <v>39.85</v>
      </c>
      <c r="AA33" s="446">
        <f t="shared" ca="1" si="25"/>
        <v>17.2</v>
      </c>
      <c r="AB33" s="446">
        <f t="shared" ca="1" si="26"/>
        <v>37.71</v>
      </c>
      <c r="AC33" s="446">
        <f t="shared" ca="1" si="27"/>
        <v>40.549999999999997</v>
      </c>
      <c r="AD33" s="446">
        <f t="shared" ca="1" si="28"/>
        <v>45.65</v>
      </c>
      <c r="AE33" s="446">
        <f t="shared" ca="1" si="29"/>
        <v>40.64</v>
      </c>
      <c r="AF33" s="446">
        <f t="shared" ca="1" si="30"/>
        <v>17.649999999999999</v>
      </c>
      <c r="AG33" s="446">
        <f t="shared" ca="1" si="31"/>
        <v>29.1</v>
      </c>
      <c r="AH33" s="446">
        <f t="shared" ca="1" si="32"/>
        <v>29.85</v>
      </c>
      <c r="AI33" s="446">
        <f t="shared" ca="1" si="33"/>
        <v>33.4</v>
      </c>
      <c r="AJ33" s="446">
        <f t="shared" ca="1" si="34"/>
        <v>25.74</v>
      </c>
      <c r="AK33" s="446">
        <f t="shared" ca="1" si="35"/>
        <v>12.99</v>
      </c>
      <c r="AL33" s="446">
        <f t="shared" ca="1" si="36"/>
        <v>1.2290000000000001</v>
      </c>
      <c r="AM33" s="446">
        <f t="shared" ca="1" si="37"/>
        <v>1.284</v>
      </c>
      <c r="AN33" s="446">
        <f t="shared" ca="1" si="38"/>
        <v>1.1339999999999999</v>
      </c>
      <c r="AO33" s="446">
        <f t="shared" ca="1" si="39"/>
        <v>0.55500000000000005</v>
      </c>
      <c r="AP33" s="446">
        <f t="shared" ca="1" si="40"/>
        <v>1.2050000000000001</v>
      </c>
      <c r="AQ33" s="446">
        <f t="shared" ca="1" si="41"/>
        <v>1.276</v>
      </c>
      <c r="AR33" s="446">
        <f t="shared" ca="1" si="42"/>
        <v>1.1359999999999999</v>
      </c>
      <c r="AS33" s="446">
        <f t="shared" ca="1" si="43"/>
        <v>0.55200000000000005</v>
      </c>
      <c r="AT33" s="446">
        <f t="shared" ca="1" si="44"/>
        <v>4.5599999999999996</v>
      </c>
      <c r="AU33" s="446">
        <f t="shared" ca="1" si="45"/>
        <v>4.99</v>
      </c>
      <c r="AV33" s="446">
        <f t="shared" ca="1" si="46"/>
        <v>4.46</v>
      </c>
      <c r="AW33" s="446">
        <f t="shared" ca="1" si="47"/>
        <v>1.98</v>
      </c>
    </row>
    <row r="34" spans="1:49" ht="15.75" x14ac:dyDescent="0.25">
      <c r="A34" s="437" t="str">
        <f>INDEX(Оглавление, ROW())</f>
        <v>[Цены на приграничных АЗС 2017-2020 (7138827 v1).XLSM]Цены на 19.03.2018 (2)</v>
      </c>
      <c r="B34" s="438">
        <f t="shared" ca="1" si="0"/>
        <v>43178</v>
      </c>
      <c r="C34" s="446">
        <f t="shared" ca="1" si="1"/>
        <v>7.4516999999999998</v>
      </c>
      <c r="D34" s="446">
        <f t="shared" ca="1" si="2"/>
        <v>1.9623999999999999</v>
      </c>
      <c r="E34" s="446">
        <f t="shared" ca="1" si="3"/>
        <v>2.4171</v>
      </c>
      <c r="F34" s="446">
        <f t="shared" ca="1" si="4"/>
        <v>5.7339000000000002</v>
      </c>
      <c r="G34" s="446">
        <f t="shared" ca="1" si="5"/>
        <v>3.4133</v>
      </c>
      <c r="H34" s="446">
        <f t="shared" ca="1" si="6"/>
        <v>1.23</v>
      </c>
      <c r="I34" s="446">
        <f t="shared" ca="1" si="7"/>
        <v>1.31</v>
      </c>
      <c r="J34" s="446">
        <f t="shared" ca="1" si="8"/>
        <v>1.42</v>
      </c>
      <c r="K34" s="446">
        <f t="shared" ca="1" si="9"/>
        <v>1.34</v>
      </c>
      <c r="L34" s="446">
        <f t="shared" ca="1" si="10"/>
        <v>0.73</v>
      </c>
      <c r="M34" s="446">
        <f t="shared" ca="1" si="11"/>
        <v>38.35</v>
      </c>
      <c r="N34" s="446">
        <f t="shared" ca="1" si="12"/>
        <v>41.52</v>
      </c>
      <c r="O34" s="446">
        <f t="shared" ca="1" si="13"/>
        <v>46.84</v>
      </c>
      <c r="P34" s="446">
        <f t="shared" ca="1" si="14"/>
        <v>39.82</v>
      </c>
      <c r="Q34" s="446">
        <f t="shared" ca="1" si="15"/>
        <v>18.8</v>
      </c>
      <c r="R34" s="446">
        <f t="shared" ca="1" si="16"/>
        <v>37.14</v>
      </c>
      <c r="S34" s="446">
        <f t="shared" ca="1" si="17"/>
        <v>40.14</v>
      </c>
      <c r="T34" s="446">
        <f t="shared" ca="1" si="18"/>
        <v>44.7</v>
      </c>
      <c r="U34" s="446">
        <f t="shared" ca="1" si="19"/>
        <v>38.79</v>
      </c>
      <c r="V34" s="446">
        <f t="shared" ca="1" si="20"/>
        <v>19.399999999999999</v>
      </c>
      <c r="W34" s="446">
        <f t="shared" ca="1" si="21"/>
        <v>37.69</v>
      </c>
      <c r="X34" s="446">
        <f t="shared" ca="1" si="22"/>
        <v>40.78</v>
      </c>
      <c r="Y34" s="446">
        <f t="shared" ca="1" si="23"/>
        <v>44.3</v>
      </c>
      <c r="Z34" s="446">
        <f t="shared" ca="1" si="24"/>
        <v>39.75</v>
      </c>
      <c r="AA34" s="446">
        <f t="shared" ca="1" si="25"/>
        <v>19.399999999999999</v>
      </c>
      <c r="AB34" s="446">
        <f t="shared" ca="1" si="26"/>
        <v>37.6</v>
      </c>
      <c r="AC34" s="446">
        <f t="shared" ca="1" si="27"/>
        <v>40.5</v>
      </c>
      <c r="AD34" s="446">
        <f t="shared" ca="1" si="28"/>
        <v>45.65</v>
      </c>
      <c r="AE34" s="446">
        <f t="shared" ca="1" si="29"/>
        <v>40.6</v>
      </c>
      <c r="AF34" s="446">
        <f t="shared" ca="1" si="30"/>
        <v>17.7</v>
      </c>
      <c r="AG34" s="446">
        <f t="shared" ca="1" si="31"/>
        <v>28.95</v>
      </c>
      <c r="AH34" s="446">
        <f t="shared" ca="1" si="32"/>
        <v>29.7</v>
      </c>
      <c r="AI34" s="446">
        <f t="shared" ca="1" si="33"/>
        <v>32.75</v>
      </c>
      <c r="AJ34" s="446">
        <f t="shared" ca="1" si="34"/>
        <v>25.59</v>
      </c>
      <c r="AK34" s="446">
        <f t="shared" ca="1" si="35"/>
        <v>12.79</v>
      </c>
      <c r="AL34" s="446">
        <f t="shared" ca="1" si="36"/>
        <v>1.22</v>
      </c>
      <c r="AM34" s="446">
        <f t="shared" ca="1" si="37"/>
        <v>1.2749999999999999</v>
      </c>
      <c r="AN34" s="446">
        <f t="shared" ca="1" si="38"/>
        <v>1.1439999999999999</v>
      </c>
      <c r="AO34" s="446">
        <f t="shared" ca="1" si="39"/>
        <v>0.55500000000000005</v>
      </c>
      <c r="AP34" s="446">
        <f t="shared" ca="1" si="40"/>
        <v>1.2</v>
      </c>
      <c r="AQ34" s="446">
        <f t="shared" ca="1" si="41"/>
        <v>1.2689999999999999</v>
      </c>
      <c r="AR34" s="446">
        <f t="shared" ca="1" si="42"/>
        <v>1.131</v>
      </c>
      <c r="AS34" s="446">
        <f t="shared" ca="1" si="43"/>
        <v>0.54900000000000004</v>
      </c>
      <c r="AT34" s="446">
        <f t="shared" ca="1" si="44"/>
        <v>4.5199999999999996</v>
      </c>
      <c r="AU34" s="446">
        <f t="shared" ca="1" si="45"/>
        <v>4.8899999999999997</v>
      </c>
      <c r="AV34" s="446">
        <f t="shared" ca="1" si="46"/>
        <v>4.42</v>
      </c>
      <c r="AW34" s="446">
        <f t="shared" ca="1" si="47"/>
        <v>1.98</v>
      </c>
    </row>
    <row r="35" spans="1:49" ht="15.75" x14ac:dyDescent="0.25">
      <c r="A35" s="437" t="str">
        <f>INDEX(Оглавление, ROW())</f>
        <v>[Цены на приграничных АЗС 2017-2020 (7138827 v1).XLSM]Цены на 26.03.2018 (3)</v>
      </c>
      <c r="B35" s="438">
        <f t="shared" ca="1" si="0"/>
        <v>43185</v>
      </c>
      <c r="C35" s="446">
        <f t="shared" ca="1" si="1"/>
        <v>7.4194000000000004</v>
      </c>
      <c r="D35" s="446">
        <f t="shared" ca="1" si="2"/>
        <v>1.9487000000000001</v>
      </c>
      <c r="E35" s="446">
        <f t="shared" ca="1" si="3"/>
        <v>2.4028</v>
      </c>
      <c r="F35" s="446">
        <f t="shared" ca="1" si="4"/>
        <v>5.6784999999999997</v>
      </c>
      <c r="G35" s="446">
        <f t="shared" ca="1" si="5"/>
        <v>3.4127000000000001</v>
      </c>
      <c r="H35" s="446">
        <f t="shared" ca="1" si="6"/>
        <v>1.24</v>
      </c>
      <c r="I35" s="446">
        <f t="shared" ca="1" si="7"/>
        <v>1.32</v>
      </c>
      <c r="J35" s="446">
        <f t="shared" ca="1" si="8"/>
        <v>1.53</v>
      </c>
      <c r="K35" s="446">
        <f t="shared" ca="1" si="9"/>
        <v>1.35</v>
      </c>
      <c r="L35" s="446">
        <f t="shared" ca="1" si="10"/>
        <v>0.73</v>
      </c>
      <c r="M35" s="446">
        <f t="shared" ca="1" si="11"/>
        <v>38.340000000000003</v>
      </c>
      <c r="N35" s="446">
        <f t="shared" ca="1" si="12"/>
        <v>41.61</v>
      </c>
      <c r="O35" s="446">
        <f t="shared" ca="1" si="13"/>
        <v>47.07</v>
      </c>
      <c r="P35" s="446">
        <f t="shared" ca="1" si="14"/>
        <v>39.9</v>
      </c>
      <c r="Q35" s="446">
        <f t="shared" ca="1" si="15"/>
        <v>19.05</v>
      </c>
      <c r="R35" s="446">
        <f t="shared" ca="1" si="16"/>
        <v>37.29</v>
      </c>
      <c r="S35" s="446">
        <f t="shared" ca="1" si="17"/>
        <v>40.299999999999997</v>
      </c>
      <c r="T35" s="446">
        <f t="shared" ca="1" si="18"/>
        <v>44.7</v>
      </c>
      <c r="U35" s="446">
        <f t="shared" ca="1" si="19"/>
        <v>39.25</v>
      </c>
      <c r="V35" s="446">
        <f t="shared" ca="1" si="20"/>
        <v>18.95</v>
      </c>
      <c r="W35" s="446">
        <f t="shared" ca="1" si="21"/>
        <v>37.85</v>
      </c>
      <c r="X35" s="446">
        <f t="shared" ca="1" si="22"/>
        <v>40.99</v>
      </c>
      <c r="Y35" s="446">
        <f t="shared" ca="1" si="23"/>
        <v>44.3</v>
      </c>
      <c r="Z35" s="446">
        <f t="shared" ca="1" si="24"/>
        <v>39.770000000000003</v>
      </c>
      <c r="AA35" s="446">
        <f t="shared" ca="1" si="25"/>
        <v>18.95</v>
      </c>
      <c r="AB35" s="446">
        <f t="shared" ca="1" si="26"/>
        <v>37.71</v>
      </c>
      <c r="AC35" s="446">
        <f t="shared" ca="1" si="27"/>
        <v>40.549999999999997</v>
      </c>
      <c r="AD35" s="446">
        <f t="shared" ca="1" si="28"/>
        <v>45.65</v>
      </c>
      <c r="AE35" s="446">
        <f t="shared" ca="1" si="29"/>
        <v>40.64</v>
      </c>
      <c r="AF35" s="446">
        <f t="shared" ca="1" si="30"/>
        <v>17.649999999999999</v>
      </c>
      <c r="AG35" s="446">
        <f t="shared" ca="1" si="31"/>
        <v>28.95</v>
      </c>
      <c r="AH35" s="446">
        <f t="shared" ca="1" si="32"/>
        <v>29.7</v>
      </c>
      <c r="AI35" s="446">
        <f t="shared" ca="1" si="33"/>
        <v>32.9</v>
      </c>
      <c r="AJ35" s="446">
        <f t="shared" ca="1" si="34"/>
        <v>25.59</v>
      </c>
      <c r="AK35" s="446">
        <f t="shared" ca="1" si="35"/>
        <v>12.2</v>
      </c>
      <c r="AL35" s="446">
        <f t="shared" ca="1" si="36"/>
        <v>1.1870000000000001</v>
      </c>
      <c r="AM35" s="446">
        <f t="shared" ca="1" si="37"/>
        <v>1.2450000000000001</v>
      </c>
      <c r="AN35" s="446">
        <f t="shared" ca="1" si="38"/>
        <v>1.111</v>
      </c>
      <c r="AO35" s="446">
        <f t="shared" ca="1" si="39"/>
        <v>0.495</v>
      </c>
      <c r="AP35" s="446">
        <f t="shared" ca="1" si="40"/>
        <v>1.1990000000000001</v>
      </c>
      <c r="AQ35" s="446">
        <f t="shared" ca="1" si="41"/>
        <v>1.268</v>
      </c>
      <c r="AR35" s="446">
        <f t="shared" ca="1" si="42"/>
        <v>1.1299999999999999</v>
      </c>
      <c r="AS35" s="446">
        <f t="shared" ca="1" si="43"/>
        <v>0.55100000000000005</v>
      </c>
      <c r="AT35" s="446">
        <f t="shared" ca="1" si="44"/>
        <v>4.62</v>
      </c>
      <c r="AU35" s="446">
        <f t="shared" ca="1" si="45"/>
        <v>4.96</v>
      </c>
      <c r="AV35" s="446">
        <f t="shared" ca="1" si="46"/>
        <v>4.51</v>
      </c>
      <c r="AW35" s="446">
        <f t="shared" ca="1" si="47"/>
        <v>1.99</v>
      </c>
    </row>
    <row r="36" spans="1:49" ht="15.75" x14ac:dyDescent="0.25">
      <c r="A36" s="437" t="str">
        <f>INDEX(Оглавление, ROW())</f>
        <v>[Цены на приграничных АЗС 2017-2020 (7138827 v1).XLSM]Цены на 02.04.2018</v>
      </c>
      <c r="B36" s="438">
        <f t="shared" ca="1" si="0"/>
        <v>43192</v>
      </c>
      <c r="C36" s="446">
        <f t="shared" ca="1" si="1"/>
        <v>7.4233000000000002</v>
      </c>
      <c r="D36" s="446">
        <f t="shared" ca="1" si="2"/>
        <v>1.9500999999999999</v>
      </c>
      <c r="E36" s="446">
        <f t="shared" ca="1" si="3"/>
        <v>2.4032</v>
      </c>
      <c r="F36" s="446">
        <f t="shared" ca="1" si="4"/>
        <v>5.7069999999999999</v>
      </c>
      <c r="G36" s="446">
        <f t="shared" ca="1" si="5"/>
        <v>3.4022999999999999</v>
      </c>
      <c r="H36" s="446">
        <f t="shared" ca="1" si="6"/>
        <v>1.24</v>
      </c>
      <c r="I36" s="446">
        <f t="shared" ca="1" si="7"/>
        <v>1.32</v>
      </c>
      <c r="J36" s="446">
        <f t="shared" ca="1" si="8"/>
        <v>1.53</v>
      </c>
      <c r="K36" s="446">
        <f t="shared" ca="1" si="9"/>
        <v>1.35</v>
      </c>
      <c r="L36" s="446">
        <f t="shared" ca="1" si="10"/>
        <v>0.73</v>
      </c>
      <c r="M36" s="446">
        <f t="shared" ca="1" si="11"/>
        <v>38.35</v>
      </c>
      <c r="N36" s="446">
        <f t="shared" ca="1" si="12"/>
        <v>41.6</v>
      </c>
      <c r="O36" s="446">
        <f t="shared" ca="1" si="13"/>
        <v>47.19</v>
      </c>
      <c r="P36" s="446">
        <f t="shared" ca="1" si="14"/>
        <v>40</v>
      </c>
      <c r="Q36" s="446">
        <f t="shared" ca="1" si="15"/>
        <v>18.36</v>
      </c>
      <c r="R36" s="446">
        <f t="shared" ca="1" si="16"/>
        <v>37.29</v>
      </c>
      <c r="S36" s="446">
        <f t="shared" ca="1" si="17"/>
        <v>40.29</v>
      </c>
      <c r="T36" s="446">
        <f t="shared" ca="1" si="18"/>
        <v>44.7</v>
      </c>
      <c r="U36" s="446">
        <f t="shared" ca="1" si="19"/>
        <v>39.14</v>
      </c>
      <c r="V36" s="446">
        <f t="shared" ca="1" si="20"/>
        <v>18.95</v>
      </c>
      <c r="W36" s="446">
        <f t="shared" ca="1" si="21"/>
        <v>37.94</v>
      </c>
      <c r="X36" s="446">
        <f t="shared" ca="1" si="22"/>
        <v>40.94</v>
      </c>
      <c r="Y36" s="446">
        <f t="shared" ca="1" si="23"/>
        <v>44.3</v>
      </c>
      <c r="Z36" s="446">
        <f t="shared" ca="1" si="24"/>
        <v>39.71</v>
      </c>
      <c r="AA36" s="446">
        <f t="shared" ca="1" si="25"/>
        <v>18.95</v>
      </c>
      <c r="AB36" s="446">
        <f t="shared" ca="1" si="26"/>
        <v>39.03</v>
      </c>
      <c r="AC36" s="446">
        <f t="shared" ca="1" si="27"/>
        <v>40.85</v>
      </c>
      <c r="AD36" s="446">
        <f t="shared" ca="1" si="28"/>
        <v>45.65</v>
      </c>
      <c r="AE36" s="446">
        <f t="shared" ca="1" si="29"/>
        <v>41.22</v>
      </c>
      <c r="AF36" s="446">
        <f t="shared" ca="1" si="30"/>
        <v>17.649999999999999</v>
      </c>
      <c r="AG36" s="446">
        <f t="shared" ca="1" si="31"/>
        <v>28.95</v>
      </c>
      <c r="AH36" s="446">
        <f t="shared" ca="1" si="32"/>
        <v>29.7</v>
      </c>
      <c r="AI36" s="446">
        <f t="shared" ca="1" si="33"/>
        <v>33</v>
      </c>
      <c r="AJ36" s="446">
        <f t="shared" ca="1" si="34"/>
        <v>25.59</v>
      </c>
      <c r="AK36" s="446">
        <f t="shared" ca="1" si="35"/>
        <v>12</v>
      </c>
      <c r="AL36" s="446">
        <f t="shared" ca="1" si="36"/>
        <v>1.22</v>
      </c>
      <c r="AM36" s="446">
        <f t="shared" ca="1" si="37"/>
        <v>1.28</v>
      </c>
      <c r="AN36" s="446">
        <f t="shared" ca="1" si="38"/>
        <v>1.1399999999999999</v>
      </c>
      <c r="AO36" s="446">
        <f t="shared" ca="1" si="39"/>
        <v>0.53</v>
      </c>
      <c r="AP36" s="446">
        <f t="shared" ca="1" si="40"/>
        <v>1.2</v>
      </c>
      <c r="AQ36" s="446">
        <f t="shared" ca="1" si="41"/>
        <v>1.27</v>
      </c>
      <c r="AR36" s="446">
        <f t="shared" ca="1" si="42"/>
        <v>1.1299999999999999</v>
      </c>
      <c r="AS36" s="446">
        <f t="shared" ca="1" si="43"/>
        <v>0.55000000000000004</v>
      </c>
      <c r="AT36" s="446">
        <f t="shared" ca="1" si="44"/>
        <v>4.68</v>
      </c>
      <c r="AU36" s="446">
        <f t="shared" ca="1" si="45"/>
        <v>5.0199999999999996</v>
      </c>
      <c r="AV36" s="446">
        <f t="shared" ca="1" si="46"/>
        <v>4.5599999999999996</v>
      </c>
      <c r="AW36" s="446">
        <f t="shared" ca="1" si="47"/>
        <v>2.0099999999999998</v>
      </c>
    </row>
    <row r="37" spans="1:49" ht="15.75" x14ac:dyDescent="0.25">
      <c r="A37" s="437" t="str">
        <f>INDEX(Оглавление, ROW())</f>
        <v>[Цены на приграничных АЗС 2017-2020 (7138827 v1).XLSM]Цены на 09.04.2018</v>
      </c>
      <c r="B37" s="438">
        <f t="shared" ca="1" si="0"/>
        <v>43199</v>
      </c>
      <c r="C37" s="446">
        <f t="shared" ca="1" si="1"/>
        <v>7.5498000000000003</v>
      </c>
      <c r="D37" s="446">
        <f t="shared" ca="1" si="2"/>
        <v>1.9637</v>
      </c>
      <c r="E37" s="446">
        <f t="shared" ca="1" si="3"/>
        <v>2.4007000000000001</v>
      </c>
      <c r="F37" s="446">
        <f t="shared" ca="1" si="4"/>
        <v>5.7224000000000004</v>
      </c>
      <c r="G37" s="446">
        <f t="shared" ca="1" si="5"/>
        <v>3.3944999999999999</v>
      </c>
      <c r="H37" s="446">
        <f t="shared" ca="1" si="6"/>
        <v>1.26</v>
      </c>
      <c r="I37" s="446">
        <f t="shared" ca="1" si="7"/>
        <v>1.34</v>
      </c>
      <c r="J37" s="446">
        <f t="shared" ca="1" si="8"/>
        <v>1.55</v>
      </c>
      <c r="K37" s="446">
        <f t="shared" ca="1" si="9"/>
        <v>1.37</v>
      </c>
      <c r="L37" s="446">
        <f t="shared" ca="1" si="10"/>
        <v>0.74</v>
      </c>
      <c r="M37" s="446">
        <f t="shared" ca="1" si="11"/>
        <v>38.36</v>
      </c>
      <c r="N37" s="446">
        <f t="shared" ca="1" si="12"/>
        <v>41.66</v>
      </c>
      <c r="O37" s="446">
        <f t="shared" ca="1" si="13"/>
        <v>46.82</v>
      </c>
      <c r="P37" s="446">
        <f t="shared" ca="1" si="14"/>
        <v>39.99</v>
      </c>
      <c r="Q37" s="446">
        <f t="shared" ca="1" si="15"/>
        <v>18.53</v>
      </c>
      <c r="R37" s="446">
        <f t="shared" ca="1" si="16"/>
        <v>37.299999999999997</v>
      </c>
      <c r="S37" s="446">
        <f t="shared" ca="1" si="17"/>
        <v>40.31</v>
      </c>
      <c r="T37" s="446">
        <f t="shared" ca="1" si="18"/>
        <v>44.7</v>
      </c>
      <c r="U37" s="446">
        <f t="shared" ca="1" si="19"/>
        <v>39.049999999999997</v>
      </c>
      <c r="V37" s="446">
        <f t="shared" ca="1" si="20"/>
        <v>18.96</v>
      </c>
      <c r="W37" s="446">
        <f t="shared" ca="1" si="21"/>
        <v>37.96</v>
      </c>
      <c r="X37" s="446">
        <f t="shared" ca="1" si="22"/>
        <v>40.950000000000003</v>
      </c>
      <c r="Y37" s="446">
        <f t="shared" ca="1" si="23"/>
        <v>44.3</v>
      </c>
      <c r="Z37" s="446">
        <f t="shared" ca="1" si="24"/>
        <v>39.619999999999997</v>
      </c>
      <c r="AA37" s="446">
        <f t="shared" ca="1" si="25"/>
        <v>18.96</v>
      </c>
      <c r="AB37" s="446">
        <f t="shared" ca="1" si="26"/>
        <v>38.03</v>
      </c>
      <c r="AC37" s="446">
        <f t="shared" ca="1" si="27"/>
        <v>40.92</v>
      </c>
      <c r="AD37" s="446">
        <f t="shared" ca="1" si="28"/>
        <v>47.5</v>
      </c>
      <c r="AE37" s="446">
        <f t="shared" ca="1" si="29"/>
        <v>41.19</v>
      </c>
      <c r="AF37" s="446">
        <f t="shared" ca="1" si="30"/>
        <v>17.34</v>
      </c>
      <c r="AG37" s="446">
        <f t="shared" ca="1" si="31"/>
        <v>28.95</v>
      </c>
      <c r="AH37" s="446">
        <f t="shared" ca="1" si="32"/>
        <v>29.7</v>
      </c>
      <c r="AI37" s="446">
        <f t="shared" ca="1" si="33"/>
        <v>33</v>
      </c>
      <c r="AJ37" s="446">
        <f t="shared" ca="1" si="34"/>
        <v>25.59</v>
      </c>
      <c r="AK37" s="446">
        <f t="shared" ca="1" si="35"/>
        <v>12</v>
      </c>
      <c r="AL37" s="446">
        <f t="shared" ca="1" si="36"/>
        <v>1.22</v>
      </c>
      <c r="AM37" s="446">
        <f t="shared" ca="1" si="37"/>
        <v>1.28</v>
      </c>
      <c r="AN37" s="446">
        <f t="shared" ca="1" si="38"/>
        <v>1.1399999999999999</v>
      </c>
      <c r="AO37" s="446">
        <f t="shared" ca="1" si="39"/>
        <v>0.53</v>
      </c>
      <c r="AP37" s="446">
        <f t="shared" ca="1" si="40"/>
        <v>1.2</v>
      </c>
      <c r="AQ37" s="446">
        <f t="shared" ca="1" si="41"/>
        <v>1.27</v>
      </c>
      <c r="AR37" s="446">
        <f t="shared" ca="1" si="42"/>
        <v>1.1299999999999999</v>
      </c>
      <c r="AS37" s="446">
        <f t="shared" ca="1" si="43"/>
        <v>0.56000000000000005</v>
      </c>
      <c r="AT37" s="446">
        <f t="shared" ca="1" si="44"/>
        <v>4.66</v>
      </c>
      <c r="AU37" s="446">
        <f t="shared" ca="1" si="45"/>
        <v>4.99</v>
      </c>
      <c r="AV37" s="446">
        <f t="shared" ca="1" si="46"/>
        <v>4.54</v>
      </c>
      <c r="AW37" s="446">
        <f t="shared" ca="1" si="47"/>
        <v>2.0299999999999998</v>
      </c>
    </row>
    <row r="38" spans="1:49" ht="15.75" x14ac:dyDescent="0.25">
      <c r="A38" s="437" t="str">
        <f>INDEX(Оглавление, ROW())</f>
        <v>[Цены на приграничных АЗС 2017-2020 (7138827 v1).XLSM]Цены на 13.04.2018</v>
      </c>
      <c r="B38" s="438">
        <f t="shared" ca="1" si="0"/>
        <v>43203</v>
      </c>
      <c r="C38" s="446">
        <f t="shared" ca="1" si="1"/>
        <v>7.8761000000000001</v>
      </c>
      <c r="D38" s="446">
        <f t="shared" ca="1" si="2"/>
        <v>2.0470000000000002</v>
      </c>
      <c r="E38" s="446">
        <f t="shared" ca="1" si="3"/>
        <v>2.5289000000000001</v>
      </c>
      <c r="F38" s="446">
        <f t="shared" ca="1" si="4"/>
        <v>6.0292000000000003</v>
      </c>
      <c r="G38" s="446">
        <f t="shared" ca="1" si="5"/>
        <v>3.3012000000000001</v>
      </c>
      <c r="H38" s="446">
        <f t="shared" ca="1" si="6"/>
        <v>1.26</v>
      </c>
      <c r="I38" s="446">
        <f t="shared" ca="1" si="7"/>
        <v>1.34</v>
      </c>
      <c r="J38" s="446">
        <f t="shared" ca="1" si="8"/>
        <v>1.55</v>
      </c>
      <c r="K38" s="446">
        <f t="shared" ca="1" si="9"/>
        <v>1.37</v>
      </c>
      <c r="L38" s="446">
        <f t="shared" ca="1" si="10"/>
        <v>0.74</v>
      </c>
      <c r="M38" s="446">
        <f t="shared" ca="1" si="11"/>
        <v>38.36</v>
      </c>
      <c r="N38" s="446">
        <f t="shared" ca="1" si="12"/>
        <v>41.66</v>
      </c>
      <c r="O38" s="446">
        <f t="shared" ca="1" si="13"/>
        <v>46.82</v>
      </c>
      <c r="P38" s="446">
        <f t="shared" ca="1" si="14"/>
        <v>39.99</v>
      </c>
      <c r="Q38" s="446">
        <f t="shared" ca="1" si="15"/>
        <v>18.53</v>
      </c>
      <c r="R38" s="446">
        <f t="shared" ca="1" si="16"/>
        <v>37.299999999999997</v>
      </c>
      <c r="S38" s="446">
        <f t="shared" ca="1" si="17"/>
        <v>40.31</v>
      </c>
      <c r="T38" s="446">
        <f t="shared" ca="1" si="18"/>
        <v>44.7</v>
      </c>
      <c r="U38" s="446">
        <f t="shared" ca="1" si="19"/>
        <v>39.049999999999997</v>
      </c>
      <c r="V38" s="446">
        <f t="shared" ca="1" si="20"/>
        <v>18.96</v>
      </c>
      <c r="W38" s="446">
        <f t="shared" ca="1" si="21"/>
        <v>37.96</v>
      </c>
      <c r="X38" s="446">
        <f t="shared" ca="1" si="22"/>
        <v>40.950000000000003</v>
      </c>
      <c r="Y38" s="446">
        <f t="shared" ca="1" si="23"/>
        <v>44.3</v>
      </c>
      <c r="Z38" s="446">
        <f t="shared" ca="1" si="24"/>
        <v>39.619999999999997</v>
      </c>
      <c r="AA38" s="446">
        <f t="shared" ca="1" si="25"/>
        <v>18.96</v>
      </c>
      <c r="AB38" s="446">
        <f t="shared" ca="1" si="26"/>
        <v>38.06</v>
      </c>
      <c r="AC38" s="446">
        <f t="shared" ca="1" si="27"/>
        <v>40.92</v>
      </c>
      <c r="AD38" s="446">
        <f t="shared" ca="1" si="28"/>
        <v>47.5</v>
      </c>
      <c r="AE38" s="446">
        <f t="shared" ca="1" si="29"/>
        <v>41.19</v>
      </c>
      <c r="AF38" s="446">
        <f t="shared" ca="1" si="30"/>
        <v>17.34</v>
      </c>
      <c r="AG38" s="446">
        <f t="shared" ca="1" si="31"/>
        <v>28.95</v>
      </c>
      <c r="AH38" s="446">
        <f t="shared" ca="1" si="32"/>
        <v>29.7</v>
      </c>
      <c r="AI38" s="446">
        <f t="shared" ca="1" si="33"/>
        <v>33.47</v>
      </c>
      <c r="AJ38" s="446">
        <f t="shared" ca="1" si="34"/>
        <v>25.59</v>
      </c>
      <c r="AK38" s="446">
        <f t="shared" ca="1" si="35"/>
        <v>12.05</v>
      </c>
      <c r="AL38" s="446">
        <f t="shared" ca="1" si="36"/>
        <v>1.22</v>
      </c>
      <c r="AM38" s="446">
        <f t="shared" ca="1" si="37"/>
        <v>1.28</v>
      </c>
      <c r="AN38" s="446">
        <f t="shared" ca="1" si="38"/>
        <v>1.1399999999999999</v>
      </c>
      <c r="AO38" s="446">
        <f t="shared" ca="1" si="39"/>
        <v>0.53</v>
      </c>
      <c r="AP38" s="446">
        <f t="shared" ca="1" si="40"/>
        <v>1.2</v>
      </c>
      <c r="AQ38" s="446">
        <f t="shared" ca="1" si="41"/>
        <v>1.27</v>
      </c>
      <c r="AR38" s="446">
        <f t="shared" ca="1" si="42"/>
        <v>1.1299999999999999</v>
      </c>
      <c r="AS38" s="446">
        <f t="shared" ca="1" si="43"/>
        <v>0.56000000000000005</v>
      </c>
      <c r="AT38" s="446">
        <f t="shared" ca="1" si="44"/>
        <v>4.68</v>
      </c>
      <c r="AU38" s="446">
        <f t="shared" ca="1" si="45"/>
        <v>5.08</v>
      </c>
      <c r="AV38" s="446">
        <f t="shared" ca="1" si="46"/>
        <v>4.5999999999999996</v>
      </c>
      <c r="AW38" s="446">
        <f t="shared" ca="1" si="47"/>
        <v>2.0299999999999998</v>
      </c>
    </row>
    <row r="39" spans="1:49" ht="15.75" x14ac:dyDescent="0.25">
      <c r="A39" s="437" t="str">
        <f>INDEX(Оглавление, ROW())</f>
        <v>[Цены на приграничных АЗС 2017-2020 (7138827 v1).XLSM]Цены на 18.04.2018</v>
      </c>
      <c r="B39" s="438">
        <f t="shared" ca="1" si="0"/>
        <v>43208</v>
      </c>
      <c r="C39" s="446">
        <f t="shared" ca="1" si="1"/>
        <v>7.7864000000000004</v>
      </c>
      <c r="D39" s="446">
        <f t="shared" ca="1" si="2"/>
        <v>2.0375000000000001</v>
      </c>
      <c r="E39" s="446">
        <f t="shared" ca="1" si="3"/>
        <v>2.5122</v>
      </c>
      <c r="F39" s="446">
        <f t="shared" ca="1" si="4"/>
        <v>6.0279999999999996</v>
      </c>
      <c r="G39" s="446">
        <f t="shared" ca="1" si="5"/>
        <v>3.2706</v>
      </c>
      <c r="H39" s="446">
        <f t="shared" ca="1" si="6"/>
        <v>1.27</v>
      </c>
      <c r="I39" s="446">
        <f t="shared" ca="1" si="7"/>
        <v>1.35</v>
      </c>
      <c r="J39" s="446">
        <f t="shared" ca="1" si="8"/>
        <v>1.56</v>
      </c>
      <c r="K39" s="446">
        <f t="shared" ca="1" si="9"/>
        <v>1.36</v>
      </c>
      <c r="L39" s="446">
        <f t="shared" ca="1" si="10"/>
        <v>0.74</v>
      </c>
      <c r="M39" s="446">
        <f t="shared" ca="1" si="11"/>
        <v>38.44</v>
      </c>
      <c r="N39" s="446">
        <f t="shared" ca="1" si="12"/>
        <v>41.73</v>
      </c>
      <c r="O39" s="446">
        <f t="shared" ca="1" si="13"/>
        <v>47.11</v>
      </c>
      <c r="P39" s="446">
        <f t="shared" ca="1" si="14"/>
        <v>40.07</v>
      </c>
      <c r="Q39" s="446">
        <f t="shared" ca="1" si="15"/>
        <v>18.64</v>
      </c>
      <c r="R39" s="446">
        <f t="shared" ca="1" si="16"/>
        <v>37.57</v>
      </c>
      <c r="S39" s="446">
        <f t="shared" ca="1" si="17"/>
        <v>40.54</v>
      </c>
      <c r="T39" s="446">
        <f t="shared" ca="1" si="18"/>
        <v>44.7</v>
      </c>
      <c r="U39" s="446">
        <f t="shared" ca="1" si="19"/>
        <v>39.049999999999997</v>
      </c>
      <c r="V39" s="446">
        <f t="shared" ca="1" si="20"/>
        <v>18.96</v>
      </c>
      <c r="W39" s="446">
        <f t="shared" ca="1" si="21"/>
        <v>38.15</v>
      </c>
      <c r="X39" s="446">
        <f t="shared" ca="1" si="22"/>
        <v>41.18</v>
      </c>
      <c r="Y39" s="446">
        <f t="shared" ca="1" si="23"/>
        <v>44.48</v>
      </c>
      <c r="Z39" s="446">
        <f t="shared" ca="1" si="24"/>
        <v>39.979999999999997</v>
      </c>
      <c r="AA39" s="446">
        <f t="shared" ca="1" si="25"/>
        <v>18.96</v>
      </c>
      <c r="AB39" s="446">
        <f t="shared" ca="1" si="26"/>
        <v>37.83</v>
      </c>
      <c r="AC39" s="446">
        <f t="shared" ca="1" si="27"/>
        <v>41.3</v>
      </c>
      <c r="AD39" s="446">
        <f t="shared" ca="1" si="28"/>
        <v>47.5</v>
      </c>
      <c r="AE39" s="446">
        <f t="shared" ca="1" si="29"/>
        <v>41</v>
      </c>
      <c r="AF39" s="446">
        <f t="shared" ca="1" si="30"/>
        <v>17.34</v>
      </c>
      <c r="AG39" s="446">
        <f t="shared" ca="1" si="31"/>
        <v>28.95</v>
      </c>
      <c r="AH39" s="446">
        <f t="shared" ca="1" si="32"/>
        <v>29.7</v>
      </c>
      <c r="AI39" s="446">
        <f t="shared" ca="1" si="33"/>
        <v>33.520000000000003</v>
      </c>
      <c r="AJ39" s="446">
        <f t="shared" ca="1" si="34"/>
        <v>25.59</v>
      </c>
      <c r="AK39" s="446">
        <f t="shared" ca="1" si="35"/>
        <v>12.12</v>
      </c>
      <c r="AL39" s="446">
        <f t="shared" ca="1" si="36"/>
        <v>1.22</v>
      </c>
      <c r="AM39" s="446">
        <f t="shared" ca="1" si="37"/>
        <v>1.28</v>
      </c>
      <c r="AN39" s="446">
        <f t="shared" ca="1" si="38"/>
        <v>1.1399999999999999</v>
      </c>
      <c r="AO39" s="446">
        <f t="shared" ca="1" si="39"/>
        <v>0.53</v>
      </c>
      <c r="AP39" s="446">
        <f t="shared" ca="1" si="40"/>
        <v>1.2</v>
      </c>
      <c r="AQ39" s="446">
        <f t="shared" ca="1" si="41"/>
        <v>1.27</v>
      </c>
      <c r="AR39" s="446">
        <f t="shared" ca="1" si="42"/>
        <v>1.1299999999999999</v>
      </c>
      <c r="AS39" s="446">
        <f t="shared" ca="1" si="43"/>
        <v>0.55000000000000004</v>
      </c>
      <c r="AT39" s="446">
        <f t="shared" ca="1" si="44"/>
        <v>4.72</v>
      </c>
      <c r="AU39" s="446">
        <f t="shared" ca="1" si="45"/>
        <v>5.07</v>
      </c>
      <c r="AV39" s="446">
        <f t="shared" ca="1" si="46"/>
        <v>4.6399999999999997</v>
      </c>
      <c r="AW39" s="446">
        <f t="shared" ca="1" si="47"/>
        <v>2.04</v>
      </c>
    </row>
    <row r="40" spans="1:49" ht="15.75" x14ac:dyDescent="0.25">
      <c r="A40" s="437" t="str">
        <f>INDEX(Оглавление, ROW())</f>
        <v>[Цены на приграничных АЗС 2017-2020 (7138827 v1).XLSM]Цены на 20.04.2018</v>
      </c>
      <c r="B40" s="438">
        <f t="shared" ca="1" si="0"/>
        <v>43210</v>
      </c>
      <c r="C40" s="446">
        <f t="shared" ca="1" si="1"/>
        <v>7.6542000000000003</v>
      </c>
      <c r="D40" s="446">
        <f t="shared" ca="1" si="2"/>
        <v>2.0076999999999998</v>
      </c>
      <c r="E40" s="446">
        <f t="shared" ca="1" si="3"/>
        <v>2.4849000000000001</v>
      </c>
      <c r="F40" s="446">
        <f t="shared" ca="1" si="4"/>
        <v>5.9534000000000002</v>
      </c>
      <c r="G40" s="446">
        <f t="shared" ca="1" si="5"/>
        <v>3.2907999999999999</v>
      </c>
      <c r="H40" s="446">
        <f t="shared" ca="1" si="6"/>
        <v>1.27</v>
      </c>
      <c r="I40" s="446">
        <f t="shared" ca="1" si="7"/>
        <v>1.35</v>
      </c>
      <c r="J40" s="446">
        <f t="shared" ca="1" si="8"/>
        <v>1.56</v>
      </c>
      <c r="K40" s="446">
        <f t="shared" ca="1" si="9"/>
        <v>1.36</v>
      </c>
      <c r="L40" s="446">
        <f t="shared" ca="1" si="10"/>
        <v>0.74</v>
      </c>
      <c r="M40" s="446">
        <f t="shared" ca="1" si="11"/>
        <v>38.44</v>
      </c>
      <c r="N40" s="446">
        <f t="shared" ca="1" si="12"/>
        <v>41.73</v>
      </c>
      <c r="O40" s="446">
        <f t="shared" ca="1" si="13"/>
        <v>47.11</v>
      </c>
      <c r="P40" s="446">
        <f t="shared" ca="1" si="14"/>
        <v>40.07</v>
      </c>
      <c r="Q40" s="446">
        <f t="shared" ca="1" si="15"/>
        <v>18.64</v>
      </c>
      <c r="R40" s="446">
        <f t="shared" ca="1" si="16"/>
        <v>37.57</v>
      </c>
      <c r="S40" s="446">
        <f t="shared" ca="1" si="17"/>
        <v>40.54</v>
      </c>
      <c r="T40" s="446">
        <f t="shared" ca="1" si="18"/>
        <v>44.7</v>
      </c>
      <c r="U40" s="446">
        <f t="shared" ca="1" si="19"/>
        <v>39.049999999999997</v>
      </c>
      <c r="V40" s="446">
        <f t="shared" ca="1" si="20"/>
        <v>18.96</v>
      </c>
      <c r="W40" s="446">
        <f t="shared" ca="1" si="21"/>
        <v>38.15</v>
      </c>
      <c r="X40" s="446">
        <f t="shared" ca="1" si="22"/>
        <v>41.18</v>
      </c>
      <c r="Y40" s="446">
        <f t="shared" ca="1" si="23"/>
        <v>44.48</v>
      </c>
      <c r="Z40" s="446">
        <f t="shared" ca="1" si="24"/>
        <v>39.979999999999997</v>
      </c>
      <c r="AA40" s="446">
        <f t="shared" ca="1" si="25"/>
        <v>18.96</v>
      </c>
      <c r="AB40" s="446">
        <f t="shared" ca="1" si="26"/>
        <v>37.83</v>
      </c>
      <c r="AC40" s="446">
        <f t="shared" ca="1" si="27"/>
        <v>41.3</v>
      </c>
      <c r="AD40" s="446">
        <f t="shared" ca="1" si="28"/>
        <v>47.5</v>
      </c>
      <c r="AE40" s="446">
        <f t="shared" ca="1" si="29"/>
        <v>41</v>
      </c>
      <c r="AF40" s="446">
        <f t="shared" ca="1" si="30"/>
        <v>17.34</v>
      </c>
      <c r="AG40" s="446">
        <f t="shared" ca="1" si="31"/>
        <v>28.95</v>
      </c>
      <c r="AH40" s="446">
        <f t="shared" ca="1" si="32"/>
        <v>29.7</v>
      </c>
      <c r="AI40" s="446">
        <f t="shared" ca="1" si="33"/>
        <v>33.57</v>
      </c>
      <c r="AJ40" s="446">
        <f t="shared" ca="1" si="34"/>
        <v>25.59</v>
      </c>
      <c r="AK40" s="446">
        <f t="shared" ca="1" si="35"/>
        <v>12.1</v>
      </c>
      <c r="AL40" s="446">
        <f t="shared" ca="1" si="36"/>
        <v>1.22</v>
      </c>
      <c r="AM40" s="446">
        <f t="shared" ca="1" si="37"/>
        <v>1.27</v>
      </c>
      <c r="AN40" s="446">
        <f t="shared" ca="1" si="38"/>
        <v>1.1299999999999999</v>
      </c>
      <c r="AO40" s="446">
        <f t="shared" ca="1" si="39"/>
        <v>0.53</v>
      </c>
      <c r="AP40" s="446">
        <f t="shared" ca="1" si="40"/>
        <v>1.2</v>
      </c>
      <c r="AQ40" s="446">
        <f t="shared" ca="1" si="41"/>
        <v>1.27</v>
      </c>
      <c r="AR40" s="446">
        <f t="shared" ca="1" si="42"/>
        <v>1.1299999999999999</v>
      </c>
      <c r="AS40" s="446">
        <f t="shared" ca="1" si="43"/>
        <v>0.55000000000000004</v>
      </c>
      <c r="AT40" s="446">
        <f t="shared" ca="1" si="44"/>
        <v>4.74</v>
      </c>
      <c r="AU40" s="446">
        <f t="shared" ca="1" si="45"/>
        <v>5.05</v>
      </c>
      <c r="AV40" s="446">
        <f t="shared" ca="1" si="46"/>
        <v>4.66</v>
      </c>
      <c r="AW40" s="446">
        <f t="shared" ca="1" si="47"/>
        <v>2.02</v>
      </c>
    </row>
    <row r="41" spans="1:49" ht="15.75" x14ac:dyDescent="0.25">
      <c r="A41" s="437" t="str">
        <f>INDEX(Оглавление, ROW())</f>
        <v>[Цены на приграничных АЗС 2017-2020 (7138827 v1).XLSM]Цены на 23.04.2018</v>
      </c>
      <c r="B41" s="438">
        <f t="shared" ca="1" si="0"/>
        <v>43213</v>
      </c>
      <c r="C41" s="446">
        <f t="shared" ca="1" si="1"/>
        <v>7.6578999999999997</v>
      </c>
      <c r="D41" s="446">
        <f t="shared" ca="1" si="2"/>
        <v>2.0034999999999998</v>
      </c>
      <c r="E41" s="446">
        <f t="shared" ca="1" si="3"/>
        <v>2.4702000000000002</v>
      </c>
      <c r="F41" s="446">
        <f t="shared" ca="1" si="4"/>
        <v>5.9089999999999998</v>
      </c>
      <c r="G41" s="446">
        <f t="shared" ca="1" si="5"/>
        <v>3.2694000000000001</v>
      </c>
      <c r="H41" s="446">
        <f t="shared" ca="1" si="6"/>
        <v>1.27</v>
      </c>
      <c r="I41" s="446">
        <f t="shared" ca="1" si="7"/>
        <v>1.35</v>
      </c>
      <c r="J41" s="446">
        <f t="shared" ca="1" si="8"/>
        <v>1.56</v>
      </c>
      <c r="K41" s="446">
        <f t="shared" ca="1" si="9"/>
        <v>1.36</v>
      </c>
      <c r="L41" s="446">
        <f t="shared" ca="1" si="10"/>
        <v>0.74</v>
      </c>
      <c r="M41" s="446">
        <f t="shared" ca="1" si="11"/>
        <v>38.75</v>
      </c>
      <c r="N41" s="446">
        <f t="shared" ca="1" si="12"/>
        <v>42.01</v>
      </c>
      <c r="O41" s="446">
        <f t="shared" ca="1" si="13"/>
        <v>47.59</v>
      </c>
      <c r="P41" s="446">
        <f t="shared" ca="1" si="14"/>
        <v>40.369999999999997</v>
      </c>
      <c r="Q41" s="446">
        <f t="shared" ca="1" si="15"/>
        <v>18.43</v>
      </c>
      <c r="R41" s="446">
        <f t="shared" ca="1" si="16"/>
        <v>37.64</v>
      </c>
      <c r="S41" s="446">
        <f t="shared" ca="1" si="17"/>
        <v>40.65</v>
      </c>
      <c r="T41" s="446">
        <f t="shared" ca="1" si="18"/>
        <v>44.7</v>
      </c>
      <c r="U41" s="446">
        <f t="shared" ca="1" si="19"/>
        <v>39.4</v>
      </c>
      <c r="V41" s="446">
        <f t="shared" ca="1" si="20"/>
        <v>18.96</v>
      </c>
      <c r="W41" s="446">
        <f t="shared" ca="1" si="21"/>
        <v>38.24</v>
      </c>
      <c r="X41" s="446">
        <f t="shared" ca="1" si="22"/>
        <v>41.21</v>
      </c>
      <c r="Y41" s="446">
        <f t="shared" ca="1" si="23"/>
        <v>44.8</v>
      </c>
      <c r="Z41" s="446">
        <f t="shared" ca="1" si="24"/>
        <v>40.299999999999997</v>
      </c>
      <c r="AA41" s="446">
        <f t="shared" ca="1" si="25"/>
        <v>18.96</v>
      </c>
      <c r="AB41" s="446">
        <f t="shared" ca="1" si="26"/>
        <v>38.22</v>
      </c>
      <c r="AC41" s="446">
        <f t="shared" ca="1" si="27"/>
        <v>41.15</v>
      </c>
      <c r="AD41" s="446">
        <f t="shared" ca="1" si="28"/>
        <v>47.5</v>
      </c>
      <c r="AE41" s="446">
        <f t="shared" ca="1" si="29"/>
        <v>41.49</v>
      </c>
      <c r="AF41" s="446">
        <f t="shared" ca="1" si="30"/>
        <v>17.309999999999999</v>
      </c>
      <c r="AG41" s="446">
        <f t="shared" ca="1" si="31"/>
        <v>28.75</v>
      </c>
      <c r="AH41" s="446">
        <f t="shared" ca="1" si="32"/>
        <v>29.7</v>
      </c>
      <c r="AI41" s="446">
        <f t="shared" ca="1" si="33"/>
        <v>33.57</v>
      </c>
      <c r="AJ41" s="446">
        <f t="shared" ca="1" si="34"/>
        <v>25.59</v>
      </c>
      <c r="AK41" s="446">
        <f t="shared" ca="1" si="35"/>
        <v>12.1</v>
      </c>
      <c r="AL41" s="446">
        <f t="shared" ca="1" si="36"/>
        <v>1.22</v>
      </c>
      <c r="AM41" s="446">
        <f t="shared" ca="1" si="37"/>
        <v>1.27</v>
      </c>
      <c r="AN41" s="446">
        <f t="shared" ca="1" si="38"/>
        <v>1.1299999999999999</v>
      </c>
      <c r="AO41" s="446">
        <f t="shared" ca="1" si="39"/>
        <v>0.53</v>
      </c>
      <c r="AP41" s="446">
        <f t="shared" ca="1" si="40"/>
        <v>1.2</v>
      </c>
      <c r="AQ41" s="446">
        <f t="shared" ca="1" si="41"/>
        <v>1.27</v>
      </c>
      <c r="AR41" s="446">
        <f t="shared" ca="1" si="42"/>
        <v>1.1299999999999999</v>
      </c>
      <c r="AS41" s="446">
        <f t="shared" ca="1" si="43"/>
        <v>0.55000000000000004</v>
      </c>
      <c r="AT41" s="446">
        <f t="shared" ca="1" si="44"/>
        <v>4.7699999999999996</v>
      </c>
      <c r="AU41" s="446">
        <f t="shared" ca="1" si="45"/>
        <v>5.0999999999999996</v>
      </c>
      <c r="AV41" s="446">
        <f t="shared" ca="1" si="46"/>
        <v>4.68</v>
      </c>
      <c r="AW41" s="446">
        <f t="shared" ca="1" si="47"/>
        <v>2.02</v>
      </c>
    </row>
    <row r="42" spans="1:49" ht="15.75" x14ac:dyDescent="0.25">
      <c r="A42" s="437" t="str">
        <f>INDEX(Оглавление, ROW())</f>
        <v>[Цены на приграничных АЗС 2017-2020 (7138827 v1).XLSM]Цены на 25.04.2018</v>
      </c>
      <c r="B42" s="438">
        <f t="shared" ca="1" si="0"/>
        <v>43215</v>
      </c>
      <c r="C42" s="446">
        <f t="shared" ca="1" si="1"/>
        <v>7.6715</v>
      </c>
      <c r="D42" s="446">
        <f t="shared" ca="1" si="2"/>
        <v>2.0034000000000001</v>
      </c>
      <c r="E42" s="446">
        <f t="shared" ca="1" si="3"/>
        <v>2.4437000000000002</v>
      </c>
      <c r="F42" s="446">
        <f t="shared" ca="1" si="4"/>
        <v>5.8254000000000001</v>
      </c>
      <c r="G42" s="446">
        <f t="shared" ca="1" si="5"/>
        <v>3.2492000000000001</v>
      </c>
      <c r="H42" s="446">
        <f t="shared" ca="1" si="6"/>
        <v>1.27</v>
      </c>
      <c r="I42" s="446">
        <f t="shared" ca="1" si="7"/>
        <v>1.35</v>
      </c>
      <c r="J42" s="446">
        <f t="shared" ca="1" si="8"/>
        <v>1.56</v>
      </c>
      <c r="K42" s="446">
        <f t="shared" ca="1" si="9"/>
        <v>1.36</v>
      </c>
      <c r="L42" s="446">
        <f t="shared" ca="1" si="10"/>
        <v>0.74</v>
      </c>
      <c r="M42" s="446">
        <f t="shared" ca="1" si="11"/>
        <v>38.76</v>
      </c>
      <c r="N42" s="446">
        <f t="shared" ca="1" si="12"/>
        <v>42.01</v>
      </c>
      <c r="O42" s="446">
        <f t="shared" ca="1" si="13"/>
        <v>47.63</v>
      </c>
      <c r="P42" s="446">
        <f t="shared" ca="1" si="14"/>
        <v>40.380000000000003</v>
      </c>
      <c r="Q42" s="446">
        <f t="shared" ca="1" si="15"/>
        <v>18.43</v>
      </c>
      <c r="R42" s="446">
        <f t="shared" ca="1" si="16"/>
        <v>37.67</v>
      </c>
      <c r="S42" s="446">
        <f t="shared" ca="1" si="17"/>
        <v>40.67</v>
      </c>
      <c r="T42" s="446">
        <f t="shared" ca="1" si="18"/>
        <v>45.32</v>
      </c>
      <c r="U42" s="446">
        <f t="shared" ca="1" si="19"/>
        <v>39.409999999999997</v>
      </c>
      <c r="V42" s="446">
        <f t="shared" ca="1" si="20"/>
        <v>19.329999999999998</v>
      </c>
      <c r="W42" s="446">
        <f t="shared" ca="1" si="21"/>
        <v>38.28</v>
      </c>
      <c r="X42" s="446">
        <f t="shared" ca="1" si="22"/>
        <v>41.26</v>
      </c>
      <c r="Y42" s="446">
        <f t="shared" ca="1" si="23"/>
        <v>44.83</v>
      </c>
      <c r="Z42" s="446">
        <f t="shared" ca="1" si="24"/>
        <v>40.409999999999997</v>
      </c>
      <c r="AA42" s="446">
        <f t="shared" ca="1" si="25"/>
        <v>19.329999999999998</v>
      </c>
      <c r="AB42" s="446">
        <f t="shared" ca="1" si="26"/>
        <v>38.200000000000003</v>
      </c>
      <c r="AC42" s="446">
        <f t="shared" ca="1" si="27"/>
        <v>41.13</v>
      </c>
      <c r="AD42" s="446">
        <f t="shared" ca="1" si="28"/>
        <v>47.5</v>
      </c>
      <c r="AE42" s="446">
        <f t="shared" ca="1" si="29"/>
        <v>41.47</v>
      </c>
      <c r="AF42" s="446">
        <f t="shared" ca="1" si="30"/>
        <v>17.34</v>
      </c>
      <c r="AG42" s="446">
        <f t="shared" ca="1" si="31"/>
        <v>28.7</v>
      </c>
      <c r="AH42" s="446">
        <f t="shared" ca="1" si="32"/>
        <v>29.7</v>
      </c>
      <c r="AI42" s="446">
        <f t="shared" ca="1" si="33"/>
        <v>33.57</v>
      </c>
      <c r="AJ42" s="446">
        <f t="shared" ca="1" si="34"/>
        <v>25.59</v>
      </c>
      <c r="AK42" s="446">
        <f t="shared" ca="1" si="35"/>
        <v>12.22</v>
      </c>
      <c r="AL42" s="446">
        <f t="shared" ca="1" si="36"/>
        <v>1.22</v>
      </c>
      <c r="AM42" s="446">
        <f t="shared" ca="1" si="37"/>
        <v>1.27</v>
      </c>
      <c r="AN42" s="446">
        <f t="shared" ca="1" si="38"/>
        <v>1.1299999999999999</v>
      </c>
      <c r="AO42" s="446">
        <f t="shared" ca="1" si="39"/>
        <v>0.53</v>
      </c>
      <c r="AP42" s="446">
        <f t="shared" ca="1" si="40"/>
        <v>1.2</v>
      </c>
      <c r="AQ42" s="446">
        <f t="shared" ca="1" si="41"/>
        <v>1.27</v>
      </c>
      <c r="AR42" s="446">
        <f t="shared" ca="1" si="42"/>
        <v>1.1299999999999999</v>
      </c>
      <c r="AS42" s="446">
        <f t="shared" ca="1" si="43"/>
        <v>0.55000000000000004</v>
      </c>
      <c r="AT42" s="446">
        <f t="shared" ca="1" si="44"/>
        <v>4.78</v>
      </c>
      <c r="AU42" s="446">
        <f t="shared" ca="1" si="45"/>
        <v>5.13</v>
      </c>
      <c r="AV42" s="446">
        <f t="shared" ca="1" si="46"/>
        <v>4.7</v>
      </c>
      <c r="AW42" s="446">
        <f t="shared" ca="1" si="47"/>
        <v>2.02</v>
      </c>
    </row>
    <row r="43" spans="1:49" ht="15.75" x14ac:dyDescent="0.25">
      <c r="A43" s="437" t="str">
        <f>INDEX(Оглавление, ROW())</f>
        <v>[Цены на приграничных АЗС 2017-2020 (7138827 v1).XLSM]Цены на 02.05.2018</v>
      </c>
      <c r="B43" s="438">
        <f t="shared" ca="1" si="0"/>
        <v>43222</v>
      </c>
      <c r="C43" s="446">
        <f t="shared" ca="1" si="1"/>
        <v>7.6249000000000002</v>
      </c>
      <c r="D43" s="446">
        <f t="shared" ca="1" si="2"/>
        <v>2</v>
      </c>
      <c r="E43" s="446">
        <f t="shared" ca="1" si="3"/>
        <v>2.4258000000000002</v>
      </c>
      <c r="F43" s="446">
        <f t="shared" ca="1" si="4"/>
        <v>5.7637</v>
      </c>
      <c r="G43" s="446">
        <f t="shared" ca="1" si="5"/>
        <v>3.2212000000000001</v>
      </c>
      <c r="H43" s="446">
        <f t="shared" ca="1" si="6"/>
        <v>1.27</v>
      </c>
      <c r="I43" s="446">
        <f t="shared" ca="1" si="7"/>
        <v>1.35</v>
      </c>
      <c r="J43" s="446">
        <f t="shared" ca="1" si="8"/>
        <v>1.56</v>
      </c>
      <c r="K43" s="446">
        <f t="shared" ca="1" si="9"/>
        <v>1.35</v>
      </c>
      <c r="L43" s="446">
        <f t="shared" ca="1" si="10"/>
        <v>0.74</v>
      </c>
      <c r="M43" s="446">
        <f t="shared" ca="1" si="11"/>
        <v>39.049999999999997</v>
      </c>
      <c r="N43" s="446">
        <f t="shared" ca="1" si="12"/>
        <v>42.33</v>
      </c>
      <c r="O43" s="446">
        <f t="shared" ca="1" si="13"/>
        <v>48.03</v>
      </c>
      <c r="P43" s="446">
        <f t="shared" ca="1" si="14"/>
        <v>40.78</v>
      </c>
      <c r="Q43" s="446">
        <f t="shared" ca="1" si="15"/>
        <v>18.63</v>
      </c>
      <c r="R43" s="446">
        <f t="shared" ca="1" si="16"/>
        <v>38.06</v>
      </c>
      <c r="S43" s="446">
        <f t="shared" ca="1" si="17"/>
        <v>40.950000000000003</v>
      </c>
      <c r="T43" s="446">
        <f t="shared" ca="1" si="18"/>
        <v>45.32</v>
      </c>
      <c r="U43" s="446">
        <f t="shared" ca="1" si="19"/>
        <v>39.67</v>
      </c>
      <c r="V43" s="446">
        <f t="shared" ca="1" si="20"/>
        <v>19.11</v>
      </c>
      <c r="W43" s="446">
        <f t="shared" ca="1" si="21"/>
        <v>38.5</v>
      </c>
      <c r="X43" s="446">
        <f t="shared" ca="1" si="22"/>
        <v>41.5</v>
      </c>
      <c r="Y43" s="446">
        <f t="shared" ca="1" si="23"/>
        <v>45.09</v>
      </c>
      <c r="Z43" s="446">
        <f t="shared" ca="1" si="24"/>
        <v>40.72</v>
      </c>
      <c r="AA43" s="446">
        <f t="shared" ca="1" si="25"/>
        <v>19.11</v>
      </c>
      <c r="AB43" s="446">
        <f t="shared" ca="1" si="26"/>
        <v>38.19</v>
      </c>
      <c r="AC43" s="446">
        <f t="shared" ca="1" si="27"/>
        <v>41.03</v>
      </c>
      <c r="AD43" s="446">
        <f t="shared" ca="1" si="28"/>
        <v>47.5</v>
      </c>
      <c r="AE43" s="446">
        <f t="shared" ca="1" si="29"/>
        <v>41.33</v>
      </c>
      <c r="AF43" s="446">
        <f t="shared" ca="1" si="30"/>
        <v>17.34</v>
      </c>
      <c r="AG43" s="446">
        <f t="shared" ca="1" si="31"/>
        <v>28.1</v>
      </c>
      <c r="AH43" s="446">
        <f t="shared" ca="1" si="32"/>
        <v>28.85</v>
      </c>
      <c r="AI43" s="446">
        <f t="shared" ca="1" si="33"/>
        <v>33.57</v>
      </c>
      <c r="AJ43" s="446">
        <f t="shared" ca="1" si="34"/>
        <v>25.59</v>
      </c>
      <c r="AK43" s="446">
        <f t="shared" ca="1" si="35"/>
        <v>12.4</v>
      </c>
      <c r="AL43" s="446">
        <f t="shared" ca="1" si="36"/>
        <v>1.2290000000000001</v>
      </c>
      <c r="AM43" s="446">
        <f t="shared" ca="1" si="37"/>
        <v>1.284</v>
      </c>
      <c r="AN43" s="446">
        <f t="shared" ca="1" si="38"/>
        <v>1.1220000000000001</v>
      </c>
      <c r="AO43" s="446">
        <f t="shared" ca="1" si="39"/>
        <v>0.51500000000000001</v>
      </c>
      <c r="AP43" s="446">
        <f t="shared" ca="1" si="40"/>
        <v>1.236</v>
      </c>
      <c r="AQ43" s="446">
        <f t="shared" ca="1" si="41"/>
        <v>1.304</v>
      </c>
      <c r="AR43" s="446">
        <f t="shared" ca="1" si="42"/>
        <v>1.165</v>
      </c>
      <c r="AS43" s="446">
        <f t="shared" ca="1" si="43"/>
        <v>0.55300000000000005</v>
      </c>
      <c r="AT43" s="446">
        <f t="shared" ca="1" si="44"/>
        <v>4.8499999999999996</v>
      </c>
      <c r="AU43" s="446">
        <f t="shared" ca="1" si="45"/>
        <v>5.14</v>
      </c>
      <c r="AV43" s="446">
        <f t="shared" ca="1" si="46"/>
        <v>4.78</v>
      </c>
      <c r="AW43" s="446">
        <f t="shared" ca="1" si="47"/>
        <v>2.06</v>
      </c>
    </row>
    <row r="44" spans="1:49" ht="15.75" x14ac:dyDescent="0.25">
      <c r="A44" s="437" t="str">
        <f>INDEX(Оглавление, ROW())</f>
        <v>[Цены на приграничных АЗС 2017-2020 (7138827 v1).XLSM]Цены на 07.05.2018</v>
      </c>
      <c r="B44" s="438">
        <f t="shared" ca="1" si="0"/>
        <v>43227</v>
      </c>
      <c r="C44" s="446">
        <f t="shared" ca="1" si="1"/>
        <v>7.6848000000000001</v>
      </c>
      <c r="D44" s="446">
        <f t="shared" ca="1" si="2"/>
        <v>2.0234000000000001</v>
      </c>
      <c r="E44" s="446">
        <f t="shared" ca="1" si="3"/>
        <v>2.4213</v>
      </c>
      <c r="F44" s="446">
        <f t="shared" ca="1" si="4"/>
        <v>5.6677</v>
      </c>
      <c r="G44" s="446">
        <f t="shared" ca="1" si="5"/>
        <v>3.1989999999999998</v>
      </c>
      <c r="H44" s="446">
        <f t="shared" ca="1" si="6"/>
        <v>1.27</v>
      </c>
      <c r="I44" s="446">
        <f t="shared" ca="1" si="7"/>
        <v>1.35</v>
      </c>
      <c r="J44" s="446">
        <f t="shared" ca="1" si="8"/>
        <v>1.56</v>
      </c>
      <c r="K44" s="446">
        <f t="shared" ca="1" si="9"/>
        <v>1.35</v>
      </c>
      <c r="L44" s="446">
        <f t="shared" ca="1" si="10"/>
        <v>0.74</v>
      </c>
      <c r="M44" s="446">
        <f t="shared" ca="1" si="11"/>
        <v>39.44</v>
      </c>
      <c r="N44" s="446">
        <f t="shared" ca="1" si="12"/>
        <v>42.72</v>
      </c>
      <c r="O44" s="446">
        <f t="shared" ca="1" si="13"/>
        <v>48.77</v>
      </c>
      <c r="P44" s="446">
        <f t="shared" ca="1" si="14"/>
        <v>41.14</v>
      </c>
      <c r="Q44" s="446">
        <f t="shared" ca="1" si="15"/>
        <v>18.63</v>
      </c>
      <c r="R44" s="446">
        <f t="shared" ca="1" si="16"/>
        <v>38.119999999999997</v>
      </c>
      <c r="S44" s="446">
        <f t="shared" ca="1" si="17"/>
        <v>41.12</v>
      </c>
      <c r="T44" s="446">
        <f t="shared" ca="1" si="18"/>
        <v>45.32</v>
      </c>
      <c r="U44" s="446">
        <f t="shared" ca="1" si="19"/>
        <v>40.520000000000003</v>
      </c>
      <c r="V44" s="446">
        <f t="shared" ca="1" si="20"/>
        <v>19.11</v>
      </c>
      <c r="W44" s="446">
        <f t="shared" ca="1" si="21"/>
        <v>38.659999999999997</v>
      </c>
      <c r="X44" s="446">
        <f t="shared" ca="1" si="22"/>
        <v>41.68</v>
      </c>
      <c r="Y44" s="446">
        <f t="shared" ca="1" si="23"/>
        <v>45.09</v>
      </c>
      <c r="Z44" s="446">
        <f t="shared" ca="1" si="24"/>
        <v>40.81</v>
      </c>
      <c r="AA44" s="446">
        <f t="shared" ca="1" si="25"/>
        <v>19.11</v>
      </c>
      <c r="AB44" s="446">
        <f t="shared" ca="1" si="26"/>
        <v>38.549999999999997</v>
      </c>
      <c r="AC44" s="446">
        <f t="shared" ca="1" si="27"/>
        <v>41.52</v>
      </c>
      <c r="AD44" s="446">
        <f t="shared" ca="1" si="28"/>
        <v>47.7</v>
      </c>
      <c r="AE44" s="446">
        <f t="shared" ca="1" si="29"/>
        <v>41.78</v>
      </c>
      <c r="AF44" s="446">
        <f t="shared" ca="1" si="30"/>
        <v>17.34</v>
      </c>
      <c r="AG44" s="446">
        <f t="shared" ca="1" si="31"/>
        <v>28.33</v>
      </c>
      <c r="AH44" s="446">
        <f t="shared" ca="1" si="32"/>
        <v>29.28</v>
      </c>
      <c r="AI44" s="446">
        <f t="shared" ca="1" si="33"/>
        <v>33.46</v>
      </c>
      <c r="AJ44" s="446">
        <f t="shared" ca="1" si="34"/>
        <v>27.03</v>
      </c>
      <c r="AK44" s="446">
        <f t="shared" ca="1" si="35"/>
        <v>12.75</v>
      </c>
      <c r="AL44" s="446">
        <f t="shared" ca="1" si="36"/>
        <v>1.2290000000000001</v>
      </c>
      <c r="AM44" s="446">
        <f t="shared" ca="1" si="37"/>
        <v>1.284</v>
      </c>
      <c r="AN44" s="446">
        <f t="shared" ca="1" si="38"/>
        <v>1.1220000000000001</v>
      </c>
      <c r="AO44" s="446">
        <f t="shared" ca="1" si="39"/>
        <v>0.51500000000000001</v>
      </c>
      <c r="AP44" s="446">
        <f t="shared" ca="1" si="40"/>
        <v>1.248</v>
      </c>
      <c r="AQ44" s="446">
        <f t="shared" ca="1" si="41"/>
        <v>1.3140000000000001</v>
      </c>
      <c r="AR44" s="446">
        <f t="shared" ca="1" si="42"/>
        <v>1.167</v>
      </c>
      <c r="AS44" s="446">
        <f t="shared" ca="1" si="43"/>
        <v>0.57199999999999995</v>
      </c>
      <c r="AT44" s="446">
        <f t="shared" ca="1" si="44"/>
        <v>4.88</v>
      </c>
      <c r="AU44" s="446">
        <f t="shared" ca="1" si="45"/>
        <v>5.14</v>
      </c>
      <c r="AV44" s="446">
        <f t="shared" ca="1" si="46"/>
        <v>4.8099999999999996</v>
      </c>
      <c r="AW44" s="446">
        <f t="shared" ca="1" si="47"/>
        <v>2.0499999999999998</v>
      </c>
    </row>
    <row r="45" spans="1:49" ht="15.75" x14ac:dyDescent="0.25">
      <c r="A45" s="437" t="str">
        <f>INDEX(Оглавление, ROW())</f>
        <v>[Цены на приграничных АЗС 2017-2020 (7138827 v1).XLSM]Цены на 14.05.2018</v>
      </c>
      <c r="B45" s="438">
        <f t="shared" ca="1" si="0"/>
        <v>43234</v>
      </c>
      <c r="C45" s="446">
        <f t="shared" ca="1" si="1"/>
        <v>7.6481000000000003</v>
      </c>
      <c r="D45" s="446">
        <f t="shared" ca="1" si="2"/>
        <v>2.004</v>
      </c>
      <c r="E45" s="446">
        <f t="shared" ca="1" si="3"/>
        <v>2.387</v>
      </c>
      <c r="F45" s="446">
        <f t="shared" ca="1" si="4"/>
        <v>5.6219999999999999</v>
      </c>
      <c r="G45" s="446">
        <f t="shared" ca="1" si="5"/>
        <v>3.2469999999999999</v>
      </c>
      <c r="H45" s="446">
        <f t="shared" ca="1" si="6"/>
        <v>1.28</v>
      </c>
      <c r="I45" s="446">
        <f t="shared" ca="1" si="7"/>
        <v>1.36</v>
      </c>
      <c r="J45" s="446">
        <f t="shared" ca="1" si="8"/>
        <v>1.57</v>
      </c>
      <c r="K45" s="446">
        <f t="shared" ca="1" si="9"/>
        <v>1.36</v>
      </c>
      <c r="L45" s="446">
        <f t="shared" ca="1" si="10"/>
        <v>0.75</v>
      </c>
      <c r="M45" s="446">
        <f t="shared" ca="1" si="11"/>
        <v>39.99</v>
      </c>
      <c r="N45" s="446">
        <f t="shared" ca="1" si="12"/>
        <v>43.24</v>
      </c>
      <c r="O45" s="446">
        <f t="shared" ca="1" si="13"/>
        <v>48.93</v>
      </c>
      <c r="P45" s="446">
        <f t="shared" ca="1" si="14"/>
        <v>41.67</v>
      </c>
      <c r="Q45" s="446">
        <f t="shared" ca="1" si="15"/>
        <v>18.96</v>
      </c>
      <c r="R45" s="446">
        <f t="shared" ca="1" si="16"/>
        <v>38.22</v>
      </c>
      <c r="S45" s="446">
        <f t="shared" ca="1" si="17"/>
        <v>41.22</v>
      </c>
      <c r="T45" s="446">
        <f t="shared" ca="1" si="18"/>
        <v>45.32</v>
      </c>
      <c r="U45" s="446">
        <f t="shared" ca="1" si="19"/>
        <v>40.880000000000003</v>
      </c>
      <c r="V45" s="446">
        <f t="shared" ca="1" si="20"/>
        <v>19.21</v>
      </c>
      <c r="W45" s="446">
        <f t="shared" ca="1" si="21"/>
        <v>39.03</v>
      </c>
      <c r="X45" s="446">
        <f t="shared" ca="1" si="22"/>
        <v>42.01</v>
      </c>
      <c r="Y45" s="446">
        <f t="shared" ca="1" si="23"/>
        <v>45.51</v>
      </c>
      <c r="Z45" s="446">
        <f t="shared" ca="1" si="24"/>
        <v>41.21</v>
      </c>
      <c r="AA45" s="446">
        <f t="shared" ca="1" si="25"/>
        <v>19.21</v>
      </c>
      <c r="AB45" s="446">
        <f t="shared" ca="1" si="26"/>
        <v>38.619999999999997</v>
      </c>
      <c r="AC45" s="446">
        <f t="shared" ca="1" si="27"/>
        <v>41.72</v>
      </c>
      <c r="AD45" s="446">
        <f t="shared" ca="1" si="28"/>
        <v>47.7</v>
      </c>
      <c r="AE45" s="446">
        <f t="shared" ca="1" si="29"/>
        <v>41.91</v>
      </c>
      <c r="AF45" s="446">
        <f t="shared" ca="1" si="30"/>
        <v>17.34</v>
      </c>
      <c r="AG45" s="446">
        <f t="shared" ca="1" si="31"/>
        <v>28.36</v>
      </c>
      <c r="AH45" s="446">
        <f t="shared" ca="1" si="32"/>
        <v>29.3</v>
      </c>
      <c r="AI45" s="446">
        <f t="shared" ca="1" si="33"/>
        <v>33.5</v>
      </c>
      <c r="AJ45" s="446">
        <f t="shared" ca="1" si="34"/>
        <v>27.09</v>
      </c>
      <c r="AK45" s="446">
        <f t="shared" ca="1" si="35"/>
        <v>12.98</v>
      </c>
      <c r="AL45" s="446">
        <f t="shared" ca="1" si="36"/>
        <v>1.2290000000000001</v>
      </c>
      <c r="AM45" s="446">
        <f t="shared" ca="1" si="37"/>
        <v>1.284</v>
      </c>
      <c r="AN45" s="446">
        <f t="shared" ca="1" si="38"/>
        <v>1.1220000000000001</v>
      </c>
      <c r="AO45" s="446">
        <f t="shared" ca="1" si="39"/>
        <v>0.51500000000000001</v>
      </c>
      <c r="AP45" s="446">
        <f t="shared" ca="1" si="40"/>
        <v>1.2789999999999999</v>
      </c>
      <c r="AQ45" s="446">
        <f t="shared" ca="1" si="41"/>
        <v>1.349</v>
      </c>
      <c r="AR45" s="446">
        <f t="shared" ca="1" si="42"/>
        <v>1.1990000000000001</v>
      </c>
      <c r="AS45" s="446">
        <f t="shared" ca="1" si="43"/>
        <v>0.60699999999999998</v>
      </c>
      <c r="AT45" s="446">
        <f t="shared" ca="1" si="44"/>
        <v>4.96</v>
      </c>
      <c r="AU45" s="446">
        <f t="shared" ca="1" si="45"/>
        <v>5.21</v>
      </c>
      <c r="AV45" s="446">
        <f t="shared" ca="1" si="46"/>
        <v>4.92</v>
      </c>
      <c r="AW45" s="446">
        <f t="shared" ca="1" si="47"/>
        <v>2.08</v>
      </c>
    </row>
    <row r="46" spans="1:49" ht="15.75" x14ac:dyDescent="0.25">
      <c r="A46" s="437" t="str">
        <f>INDEX(Оглавление, ROW())</f>
        <v>[Цены на приграничных АЗС 2017-2020 (7138827 v1).XLSM]Цены на 17.05.2018</v>
      </c>
      <c r="B46" s="438">
        <f t="shared" ca="1" si="0"/>
        <v>43237</v>
      </c>
      <c r="C46" s="446">
        <f t="shared" ca="1" si="1"/>
        <v>7.6367000000000003</v>
      </c>
      <c r="D46" s="446">
        <f t="shared" ca="1" si="2"/>
        <v>2.0030999999999999</v>
      </c>
      <c r="E46" s="446">
        <f t="shared" ca="1" si="3"/>
        <v>2.3704000000000001</v>
      </c>
      <c r="F46" s="446">
        <f t="shared" ca="1" si="4"/>
        <v>5.5050999999999997</v>
      </c>
      <c r="G46" s="446">
        <f t="shared" ca="1" si="5"/>
        <v>3.2122000000000002</v>
      </c>
      <c r="H46" s="446">
        <f t="shared" ca="1" si="6"/>
        <v>1.29</v>
      </c>
      <c r="I46" s="446">
        <f t="shared" ca="1" si="7"/>
        <v>1.37</v>
      </c>
      <c r="J46" s="446">
        <f t="shared" ca="1" si="8"/>
        <v>1.58</v>
      </c>
      <c r="K46" s="446">
        <f t="shared" ca="1" si="9"/>
        <v>1.37</v>
      </c>
      <c r="L46" s="446">
        <f t="shared" ca="1" si="10"/>
        <v>0.75</v>
      </c>
      <c r="M46" s="446">
        <f t="shared" ca="1" si="11"/>
        <v>40.01</v>
      </c>
      <c r="N46" s="446">
        <f t="shared" ca="1" si="12"/>
        <v>43.26</v>
      </c>
      <c r="O46" s="446">
        <f t="shared" ca="1" si="13"/>
        <v>49</v>
      </c>
      <c r="P46" s="446">
        <f t="shared" ca="1" si="14"/>
        <v>41.7</v>
      </c>
      <c r="Q46" s="446">
        <f t="shared" ca="1" si="15"/>
        <v>18.96</v>
      </c>
      <c r="R46" s="446">
        <f t="shared" ca="1" si="16"/>
        <v>38.25</v>
      </c>
      <c r="S46" s="446">
        <f t="shared" ca="1" si="17"/>
        <v>41.25</v>
      </c>
      <c r="T46" s="446">
        <f t="shared" ca="1" si="18"/>
        <v>46.17</v>
      </c>
      <c r="U46" s="446">
        <f t="shared" ca="1" si="19"/>
        <v>40.909999999999997</v>
      </c>
      <c r="V46" s="446">
        <f t="shared" ca="1" si="20"/>
        <v>19.22</v>
      </c>
      <c r="W46" s="446">
        <f t="shared" ca="1" si="21"/>
        <v>39.049999999999997</v>
      </c>
      <c r="X46" s="446">
        <f t="shared" ca="1" si="22"/>
        <v>42.03</v>
      </c>
      <c r="Y46" s="446">
        <f t="shared" ca="1" si="23"/>
        <v>45.53</v>
      </c>
      <c r="Z46" s="446">
        <f t="shared" ca="1" si="24"/>
        <v>41.25</v>
      </c>
      <c r="AA46" s="446">
        <f t="shared" ca="1" si="25"/>
        <v>19.22</v>
      </c>
      <c r="AB46" s="446">
        <f t="shared" ca="1" si="26"/>
        <v>38.79</v>
      </c>
      <c r="AC46" s="446">
        <f t="shared" ca="1" si="27"/>
        <v>41.76</v>
      </c>
      <c r="AD46" s="446">
        <f t="shared" ca="1" si="28"/>
        <v>47.7</v>
      </c>
      <c r="AE46" s="446">
        <f t="shared" ca="1" si="29"/>
        <v>42.07</v>
      </c>
      <c r="AF46" s="446">
        <f t="shared" ca="1" si="30"/>
        <v>17.34</v>
      </c>
      <c r="AG46" s="446">
        <f t="shared" ca="1" si="31"/>
        <v>28.93</v>
      </c>
      <c r="AH46" s="446">
        <f t="shared" ca="1" si="32"/>
        <v>29.93</v>
      </c>
      <c r="AI46" s="446">
        <f t="shared" ca="1" si="33"/>
        <v>33.82</v>
      </c>
      <c r="AJ46" s="446">
        <f t="shared" ca="1" si="34"/>
        <v>25.82</v>
      </c>
      <c r="AK46" s="446">
        <f t="shared" ca="1" si="35"/>
        <v>13</v>
      </c>
      <c r="AL46" s="446">
        <f t="shared" ca="1" si="36"/>
        <v>1.24</v>
      </c>
      <c r="AM46" s="446">
        <f t="shared" ca="1" si="37"/>
        <v>1.2949999999999999</v>
      </c>
      <c r="AN46" s="446">
        <f t="shared" ca="1" si="38"/>
        <v>1.1519999999999999</v>
      </c>
      <c r="AO46" s="446">
        <f t="shared" ca="1" si="39"/>
        <v>0.51500000000000001</v>
      </c>
      <c r="AP46" s="446">
        <f t="shared" ca="1" si="40"/>
        <v>1.294</v>
      </c>
      <c r="AQ46" s="446">
        <f t="shared" ca="1" si="41"/>
        <v>1.363</v>
      </c>
      <c r="AR46" s="446">
        <f t="shared" ca="1" si="42"/>
        <v>1.2130000000000001</v>
      </c>
      <c r="AS46" s="446">
        <f t="shared" ca="1" si="43"/>
        <v>0.621</v>
      </c>
      <c r="AT46" s="446">
        <f t="shared" ca="1" si="44"/>
        <v>5.0199999999999996</v>
      </c>
      <c r="AU46" s="446">
        <f t="shared" ca="1" si="45"/>
        <v>5.26</v>
      </c>
      <c r="AV46" s="446">
        <f t="shared" ca="1" si="46"/>
        <v>4.97</v>
      </c>
      <c r="AW46" s="446">
        <f t="shared" ca="1" si="47"/>
        <v>2.11</v>
      </c>
    </row>
    <row r="47" spans="1:49" ht="15.75" x14ac:dyDescent="0.25">
      <c r="A47" s="437" t="str">
        <f>INDEX(Оглавление, ROW())</f>
        <v>[Цены на приграничных АЗС 2017-2020 (7138827 v1).XLSM]Цены на 21.05.2018</v>
      </c>
      <c r="B47" s="438">
        <f t="shared" ca="1" si="0"/>
        <v>43241</v>
      </c>
      <c r="C47" s="446">
        <f t="shared" ca="1" si="1"/>
        <v>7.6258999999999997</v>
      </c>
      <c r="D47" s="446">
        <f t="shared" ca="1" si="2"/>
        <v>1.9938</v>
      </c>
      <c r="E47" s="446">
        <f t="shared" ca="1" si="3"/>
        <v>2.355</v>
      </c>
      <c r="F47" s="446">
        <f t="shared" ca="1" si="4"/>
        <v>5.4622000000000002</v>
      </c>
      <c r="G47" s="446">
        <f t="shared" ca="1" si="5"/>
        <v>3.2176</v>
      </c>
      <c r="H47" s="446">
        <f t="shared" ca="1" si="6"/>
        <v>1.29</v>
      </c>
      <c r="I47" s="446">
        <f t="shared" ca="1" si="7"/>
        <v>1.37</v>
      </c>
      <c r="J47" s="446">
        <f t="shared" ca="1" si="8"/>
        <v>1.58</v>
      </c>
      <c r="K47" s="446">
        <f t="shared" ca="1" si="9"/>
        <v>1.37</v>
      </c>
      <c r="L47" s="446">
        <f t="shared" ca="1" si="10"/>
        <v>0.75</v>
      </c>
      <c r="M47" s="446">
        <f t="shared" ca="1" si="11"/>
        <v>40.68</v>
      </c>
      <c r="N47" s="446">
        <f t="shared" ca="1" si="12"/>
        <v>43.98</v>
      </c>
      <c r="O47" s="446">
        <f t="shared" ca="1" si="13"/>
        <v>49.65</v>
      </c>
      <c r="P47" s="446">
        <f t="shared" ca="1" si="14"/>
        <v>42.47</v>
      </c>
      <c r="Q47" s="446">
        <f t="shared" ca="1" si="15"/>
        <v>18.920000000000002</v>
      </c>
      <c r="R47" s="446">
        <f t="shared" ca="1" si="16"/>
        <v>39</v>
      </c>
      <c r="S47" s="446">
        <f t="shared" ca="1" si="17"/>
        <v>41.97</v>
      </c>
      <c r="T47" s="446">
        <f t="shared" ca="1" si="18"/>
        <v>46.85</v>
      </c>
      <c r="U47" s="446">
        <f t="shared" ca="1" si="19"/>
        <v>41.8</v>
      </c>
      <c r="V47" s="446">
        <f t="shared" ca="1" si="20"/>
        <v>19.25</v>
      </c>
      <c r="W47" s="446">
        <f t="shared" ca="1" si="21"/>
        <v>39.64</v>
      </c>
      <c r="X47" s="446">
        <f t="shared" ca="1" si="22"/>
        <v>42.67</v>
      </c>
      <c r="Y47" s="446">
        <f t="shared" ca="1" si="23"/>
        <v>46.11</v>
      </c>
      <c r="Z47" s="446">
        <f t="shared" ca="1" si="24"/>
        <v>41.96</v>
      </c>
      <c r="AA47" s="446">
        <f t="shared" ca="1" si="25"/>
        <v>19.25</v>
      </c>
      <c r="AB47" s="446">
        <f t="shared" ca="1" si="26"/>
        <v>39.19</v>
      </c>
      <c r="AC47" s="446">
        <f t="shared" ca="1" si="27"/>
        <v>41.95</v>
      </c>
      <c r="AD47" s="446">
        <f t="shared" ca="1" si="28"/>
        <v>47.88</v>
      </c>
      <c r="AE47" s="446">
        <f t="shared" ca="1" si="29"/>
        <v>42.45</v>
      </c>
      <c r="AF47" s="446">
        <f t="shared" ca="1" si="30"/>
        <v>17.28</v>
      </c>
      <c r="AG47" s="446">
        <f t="shared" ca="1" si="31"/>
        <v>29.05</v>
      </c>
      <c r="AH47" s="446">
        <f t="shared" ca="1" si="32"/>
        <v>30.05</v>
      </c>
      <c r="AI47" s="446">
        <f t="shared" ca="1" si="33"/>
        <v>34.119999999999997</v>
      </c>
      <c r="AJ47" s="446">
        <f t="shared" ca="1" si="34"/>
        <v>25.89</v>
      </c>
      <c r="AK47" s="446">
        <f t="shared" ca="1" si="35"/>
        <v>12.85</v>
      </c>
      <c r="AL47" s="446">
        <f t="shared" ca="1" si="36"/>
        <v>1.24</v>
      </c>
      <c r="AM47" s="446">
        <f t="shared" ca="1" si="37"/>
        <v>1.2949999999999999</v>
      </c>
      <c r="AN47" s="446">
        <f t="shared" ca="1" si="38"/>
        <v>1.1519999999999999</v>
      </c>
      <c r="AO47" s="446">
        <f t="shared" ca="1" si="39"/>
        <v>0.51500000000000001</v>
      </c>
      <c r="AP47" s="446">
        <f t="shared" ca="1" si="40"/>
        <v>1.29</v>
      </c>
      <c r="AQ47" s="446">
        <f t="shared" ca="1" si="41"/>
        <v>1.3580000000000001</v>
      </c>
      <c r="AR47" s="446">
        <f t="shared" ca="1" si="42"/>
        <v>1.2090000000000001</v>
      </c>
      <c r="AS47" s="446">
        <f t="shared" ca="1" si="43"/>
        <v>0.60599999999999998</v>
      </c>
      <c r="AT47" s="446">
        <f t="shared" ca="1" si="44"/>
        <v>5.05</v>
      </c>
      <c r="AU47" s="446">
        <f t="shared" ca="1" si="45"/>
        <v>5.35</v>
      </c>
      <c r="AV47" s="446">
        <f t="shared" ca="1" si="46"/>
        <v>5</v>
      </c>
      <c r="AW47" s="446">
        <f t="shared" ca="1" si="47"/>
        <v>2.13</v>
      </c>
    </row>
    <row r="48" spans="1:49" ht="15.75" x14ac:dyDescent="0.25">
      <c r="A48" s="437" t="str">
        <f>INDEX(Оглавление, ROW())</f>
        <v>[Цены на приграничных АЗС 2017-2020 (7138827 v1).XLSM]Цены на 28.05.2018</v>
      </c>
      <c r="B48" s="438">
        <f t="shared" ca="1" si="0"/>
        <v>43248</v>
      </c>
      <c r="C48" s="446">
        <f t="shared" ca="1" si="1"/>
        <v>7.6554000000000002</v>
      </c>
      <c r="D48" s="446">
        <f t="shared" ca="1" si="2"/>
        <v>2.0017</v>
      </c>
      <c r="E48" s="446">
        <f t="shared" ca="1" si="3"/>
        <v>2.3397999999999999</v>
      </c>
      <c r="F48" s="446">
        <f t="shared" ca="1" si="4"/>
        <v>5.4501999999999997</v>
      </c>
      <c r="G48" s="446">
        <f t="shared" ca="1" si="5"/>
        <v>3.2467000000000001</v>
      </c>
      <c r="H48" s="446">
        <f t="shared" ca="1" si="6"/>
        <v>1.29</v>
      </c>
      <c r="I48" s="446">
        <f t="shared" ca="1" si="7"/>
        <v>1.37</v>
      </c>
      <c r="J48" s="446">
        <f t="shared" ca="1" si="8"/>
        <v>1.58</v>
      </c>
      <c r="K48" s="446">
        <f t="shared" ca="1" si="9"/>
        <v>1.37</v>
      </c>
      <c r="L48" s="446">
        <f t="shared" ca="1" si="10"/>
        <v>0.75</v>
      </c>
      <c r="M48" s="446">
        <f t="shared" ca="1" si="11"/>
        <v>41.39</v>
      </c>
      <c r="N48" s="446">
        <f t="shared" ca="1" si="12"/>
        <v>44.74</v>
      </c>
      <c r="O48" s="446">
        <f t="shared" ca="1" si="13"/>
        <v>49.79</v>
      </c>
      <c r="P48" s="446">
        <f t="shared" ca="1" si="14"/>
        <v>43.15</v>
      </c>
      <c r="Q48" s="446">
        <f t="shared" ca="1" si="15"/>
        <v>18.920000000000002</v>
      </c>
      <c r="R48" s="446">
        <f t="shared" ca="1" si="16"/>
        <v>39.86</v>
      </c>
      <c r="S48" s="446">
        <f t="shared" ca="1" si="17"/>
        <v>42.74</v>
      </c>
      <c r="T48" s="446">
        <f t="shared" ca="1" si="18"/>
        <v>47.68</v>
      </c>
      <c r="U48" s="446">
        <f t="shared" ca="1" si="19"/>
        <v>42.75</v>
      </c>
      <c r="V48" s="446">
        <f t="shared" ca="1" si="20"/>
        <v>19.649999999999999</v>
      </c>
      <c r="W48" s="446">
        <f t="shared" ca="1" si="21"/>
        <v>40.11</v>
      </c>
      <c r="X48" s="446">
        <f t="shared" ca="1" si="22"/>
        <v>43.21</v>
      </c>
      <c r="Y48" s="446">
        <f t="shared" ca="1" si="23"/>
        <v>46.65</v>
      </c>
      <c r="Z48" s="446">
        <f t="shared" ca="1" si="24"/>
        <v>42.58</v>
      </c>
      <c r="AA48" s="446">
        <f t="shared" ca="1" si="25"/>
        <v>19.649999999999999</v>
      </c>
      <c r="AB48" s="446">
        <f t="shared" ca="1" si="26"/>
        <v>39.44</v>
      </c>
      <c r="AC48" s="446">
        <f t="shared" ca="1" si="27"/>
        <v>42.09</v>
      </c>
      <c r="AD48" s="446">
        <f t="shared" ca="1" si="28"/>
        <v>46.65</v>
      </c>
      <c r="AE48" s="446">
        <f t="shared" ca="1" si="29"/>
        <v>42.72</v>
      </c>
      <c r="AF48" s="446">
        <f t="shared" ca="1" si="30"/>
        <v>18.079999999999998</v>
      </c>
      <c r="AG48" s="446">
        <f t="shared" ca="1" si="31"/>
        <v>29.2</v>
      </c>
      <c r="AH48" s="446">
        <f t="shared" ca="1" si="32"/>
        <v>30.2</v>
      </c>
      <c r="AI48" s="446">
        <f t="shared" ca="1" si="33"/>
        <v>34.42</v>
      </c>
      <c r="AJ48" s="446">
        <f t="shared" ca="1" si="34"/>
        <v>26.09</v>
      </c>
      <c r="AK48" s="446">
        <f t="shared" ca="1" si="35"/>
        <v>13.14</v>
      </c>
      <c r="AL48" s="446">
        <f t="shared" ca="1" si="36"/>
        <v>1.28</v>
      </c>
      <c r="AM48" s="446">
        <f t="shared" ca="1" si="37"/>
        <v>1.335</v>
      </c>
      <c r="AN48" s="446">
        <f t="shared" ca="1" si="38"/>
        <v>1.1919999999999999</v>
      </c>
      <c r="AO48" s="446">
        <f t="shared" ca="1" si="39"/>
        <v>0.51500000000000001</v>
      </c>
      <c r="AP48" s="446">
        <f t="shared" ca="1" si="40"/>
        <v>1.31</v>
      </c>
      <c r="AQ48" s="446">
        <f t="shared" ca="1" si="41"/>
        <v>1.3839999999999999</v>
      </c>
      <c r="AR48" s="446">
        <f t="shared" ca="1" si="42"/>
        <v>1.2290000000000001</v>
      </c>
      <c r="AS48" s="446">
        <f t="shared" ca="1" si="43"/>
        <v>0.6</v>
      </c>
      <c r="AT48" s="446">
        <f t="shared" ca="1" si="44"/>
        <v>5.12</v>
      </c>
      <c r="AU48" s="446">
        <f t="shared" ca="1" si="45"/>
        <v>5.4</v>
      </c>
      <c r="AV48" s="446">
        <f t="shared" ca="1" si="46"/>
        <v>5.08</v>
      </c>
      <c r="AW48" s="446">
        <f t="shared" ca="1" si="47"/>
        <v>2.15</v>
      </c>
    </row>
    <row r="49" spans="1:49" ht="15.75" x14ac:dyDescent="0.25">
      <c r="A49" s="437" t="str">
        <f>INDEX(Оглавление, ROW())</f>
        <v>[Цены на приграничных АЗС 2017-2020 (7138827 v1).XLSM]Цены на 31.05.2018</v>
      </c>
      <c r="B49" s="438">
        <f t="shared" ca="1" si="0"/>
        <v>43251</v>
      </c>
      <c r="C49" s="446">
        <f t="shared" ca="1" si="1"/>
        <v>7.7401</v>
      </c>
      <c r="D49" s="446">
        <f t="shared" ca="1" si="2"/>
        <v>2.0225</v>
      </c>
      <c r="E49" s="446">
        <f t="shared" ca="1" si="3"/>
        <v>2.3441999999999998</v>
      </c>
      <c r="F49" s="446">
        <f t="shared" ca="1" si="4"/>
        <v>5.4404000000000003</v>
      </c>
      <c r="G49" s="446">
        <f t="shared" ca="1" si="5"/>
        <v>3.2330999999999999</v>
      </c>
      <c r="H49" s="446">
        <f t="shared" ca="1" si="6"/>
        <v>1.29</v>
      </c>
      <c r="I49" s="446">
        <f t="shared" ca="1" si="7"/>
        <v>1.37</v>
      </c>
      <c r="J49" s="446">
        <f t="shared" ca="1" si="8"/>
        <v>1.58</v>
      </c>
      <c r="K49" s="446">
        <f t="shared" ca="1" si="9"/>
        <v>1.37</v>
      </c>
      <c r="L49" s="446">
        <f t="shared" ca="1" si="10"/>
        <v>0.75</v>
      </c>
      <c r="M49" s="446">
        <f t="shared" ca="1" si="11"/>
        <v>41.51</v>
      </c>
      <c r="N49" s="446">
        <f t="shared" ca="1" si="12"/>
        <v>44.83</v>
      </c>
      <c r="O49" s="446">
        <f t="shared" ca="1" si="13"/>
        <v>49.85</v>
      </c>
      <c r="P49" s="446">
        <f t="shared" ca="1" si="14"/>
        <v>43.26</v>
      </c>
      <c r="Q49" s="446">
        <f t="shared" ca="1" si="15"/>
        <v>20.100000000000001</v>
      </c>
      <c r="R49" s="446">
        <f t="shared" ca="1" si="16"/>
        <v>39.99</v>
      </c>
      <c r="S49" s="446">
        <f t="shared" ca="1" si="17"/>
        <v>42.87</v>
      </c>
      <c r="T49" s="446">
        <f t="shared" ca="1" si="18"/>
        <v>47.7</v>
      </c>
      <c r="U49" s="446">
        <f t="shared" ca="1" si="19"/>
        <v>42.89</v>
      </c>
      <c r="V49" s="446">
        <f t="shared" ca="1" si="20"/>
        <v>19.75</v>
      </c>
      <c r="W49" s="446">
        <f t="shared" ca="1" si="21"/>
        <v>40.22</v>
      </c>
      <c r="X49" s="446">
        <f t="shared" ca="1" si="22"/>
        <v>43.33</v>
      </c>
      <c r="Y49" s="446">
        <f t="shared" ca="1" si="23"/>
        <v>46.72</v>
      </c>
      <c r="Z49" s="446">
        <f t="shared" ca="1" si="24"/>
        <v>42.68</v>
      </c>
      <c r="AA49" s="446">
        <f t="shared" ca="1" si="25"/>
        <v>19.75</v>
      </c>
      <c r="AB49" s="446">
        <f t="shared" ca="1" si="26"/>
        <v>39.590000000000003</v>
      </c>
      <c r="AC49" s="446">
        <f t="shared" ca="1" si="27"/>
        <v>42.2</v>
      </c>
      <c r="AD49" s="446">
        <f t="shared" ca="1" si="28"/>
        <v>48.45</v>
      </c>
      <c r="AE49" s="446">
        <f t="shared" ca="1" si="29"/>
        <v>42.88</v>
      </c>
      <c r="AF49" s="446">
        <f t="shared" ca="1" si="30"/>
        <v>17.989999999999998</v>
      </c>
      <c r="AG49" s="446">
        <f t="shared" ca="1" si="31"/>
        <v>29.2</v>
      </c>
      <c r="AH49" s="446">
        <f t="shared" ca="1" si="32"/>
        <v>30.2</v>
      </c>
      <c r="AI49" s="446">
        <f t="shared" ca="1" si="33"/>
        <v>34.42</v>
      </c>
      <c r="AJ49" s="446">
        <f t="shared" ca="1" si="34"/>
        <v>26.09</v>
      </c>
      <c r="AK49" s="446">
        <f t="shared" ca="1" si="35"/>
        <v>13.19</v>
      </c>
      <c r="AL49" s="446">
        <f t="shared" ca="1" si="36"/>
        <v>1.28</v>
      </c>
      <c r="AM49" s="446">
        <f t="shared" ca="1" si="37"/>
        <v>1.335</v>
      </c>
      <c r="AN49" s="446">
        <f t="shared" ca="1" si="38"/>
        <v>1.1919999999999999</v>
      </c>
      <c r="AO49" s="446">
        <f t="shared" ca="1" si="39"/>
        <v>0.51500000000000001</v>
      </c>
      <c r="AP49" s="446">
        <f t="shared" ca="1" si="40"/>
        <v>1.3089999999999999</v>
      </c>
      <c r="AQ49" s="446">
        <f t="shared" ca="1" si="41"/>
        <v>1.379</v>
      </c>
      <c r="AR49" s="446">
        <f t="shared" ca="1" si="42"/>
        <v>1.2270000000000001</v>
      </c>
      <c r="AS49" s="446">
        <f t="shared" ca="1" si="43"/>
        <v>0.6</v>
      </c>
      <c r="AT49" s="446">
        <f t="shared" ca="1" si="44"/>
        <v>5.12</v>
      </c>
      <c r="AU49" s="446">
        <f t="shared" ca="1" si="45"/>
        <v>5.42</v>
      </c>
      <c r="AV49" s="446">
        <f t="shared" ca="1" si="46"/>
        <v>5.09</v>
      </c>
      <c r="AW49" s="446">
        <f t="shared" ca="1" si="47"/>
        <v>2.15</v>
      </c>
    </row>
    <row r="50" spans="1:49" ht="15.75" x14ac:dyDescent="0.25">
      <c r="A50" s="437" t="str">
        <f>INDEX(Оглавление, ROW())</f>
        <v>[Цены на приграничных АЗС 2017-2020 (7138827 v1).XLSM]Цены на 03.06.2018</v>
      </c>
      <c r="B50" s="438">
        <f t="shared" ca="1" si="0"/>
        <v>43254</v>
      </c>
      <c r="C50" s="446">
        <f t="shared" ca="1" si="1"/>
        <v>7.6932999999999998</v>
      </c>
      <c r="D50" s="446">
        <f t="shared" ca="1" si="2"/>
        <v>2.0093000000000001</v>
      </c>
      <c r="E50" s="446">
        <f t="shared" ca="1" si="3"/>
        <v>2.3452999999999999</v>
      </c>
      <c r="F50" s="446">
        <f t="shared" ca="1" si="4"/>
        <v>5.4573</v>
      </c>
      <c r="G50" s="446">
        <f t="shared" ca="1" si="5"/>
        <v>3.2324999999999999</v>
      </c>
      <c r="H50" s="446">
        <f t="shared" ca="1" si="6"/>
        <v>1.29</v>
      </c>
      <c r="I50" s="446">
        <f t="shared" ca="1" si="7"/>
        <v>1.37</v>
      </c>
      <c r="J50" s="446">
        <f t="shared" ca="1" si="8"/>
        <v>1.58</v>
      </c>
      <c r="K50" s="446">
        <f t="shared" ca="1" si="9"/>
        <v>1.37</v>
      </c>
      <c r="L50" s="446">
        <f t="shared" ca="1" si="10"/>
        <v>0.75</v>
      </c>
      <c r="M50" s="446">
        <f t="shared" ca="1" si="11"/>
        <v>42.15</v>
      </c>
      <c r="N50" s="446">
        <f t="shared" ca="1" si="12"/>
        <v>45.63</v>
      </c>
      <c r="O50" s="446">
        <f t="shared" ca="1" si="13"/>
        <v>46.78</v>
      </c>
      <c r="P50" s="446">
        <f t="shared" ca="1" si="14"/>
        <v>44.08</v>
      </c>
      <c r="Q50" s="446">
        <f t="shared" ca="1" si="15"/>
        <v>20.85</v>
      </c>
      <c r="R50" s="446">
        <f t="shared" ca="1" si="16"/>
        <v>42.11</v>
      </c>
      <c r="S50" s="446">
        <f t="shared" ca="1" si="17"/>
        <v>45.11</v>
      </c>
      <c r="T50" s="446">
        <f t="shared" ca="1" si="18"/>
        <v>47.7</v>
      </c>
      <c r="U50" s="446">
        <f t="shared" ca="1" si="19"/>
        <v>45.05</v>
      </c>
      <c r="V50" s="446">
        <f t="shared" ca="1" si="20"/>
        <v>19.75</v>
      </c>
      <c r="W50" s="446">
        <f t="shared" ca="1" si="21"/>
        <v>40.9</v>
      </c>
      <c r="X50" s="446">
        <f t="shared" ca="1" si="22"/>
        <v>44.11</v>
      </c>
      <c r="Y50" s="446">
        <f t="shared" ca="1" si="23"/>
        <v>47.6</v>
      </c>
      <c r="Z50" s="446">
        <f t="shared" ca="1" si="24"/>
        <v>43.5</v>
      </c>
      <c r="AA50" s="446">
        <f t="shared" ca="1" si="25"/>
        <v>19.75</v>
      </c>
      <c r="AB50" s="446">
        <f t="shared" ca="1" si="26"/>
        <v>39.590000000000003</v>
      </c>
      <c r="AC50" s="446">
        <f t="shared" ca="1" si="27"/>
        <v>42.2</v>
      </c>
      <c r="AD50" s="446">
        <f t="shared" ca="1" si="28"/>
        <v>48.45</v>
      </c>
      <c r="AE50" s="446">
        <f t="shared" ca="1" si="29"/>
        <v>42.88</v>
      </c>
      <c r="AF50" s="446">
        <f t="shared" ca="1" si="30"/>
        <v>17.989999999999998</v>
      </c>
      <c r="AG50" s="446">
        <f t="shared" ca="1" si="31"/>
        <v>29.15</v>
      </c>
      <c r="AH50" s="446">
        <f t="shared" ca="1" si="32"/>
        <v>30.15</v>
      </c>
      <c r="AI50" s="446">
        <f t="shared" ca="1" si="33"/>
        <v>34.17</v>
      </c>
      <c r="AJ50" s="446">
        <f t="shared" ca="1" si="34"/>
        <v>25.99</v>
      </c>
      <c r="AK50" s="446">
        <f t="shared" ca="1" si="35"/>
        <v>13.19</v>
      </c>
      <c r="AL50" s="446">
        <f t="shared" ca="1" si="36"/>
        <v>1.28</v>
      </c>
      <c r="AM50" s="446">
        <f t="shared" ca="1" si="37"/>
        <v>1.335</v>
      </c>
      <c r="AN50" s="446">
        <f t="shared" ca="1" si="38"/>
        <v>1.1990000000000001</v>
      </c>
      <c r="AO50" s="446">
        <f t="shared" ca="1" si="39"/>
        <v>0.51500000000000001</v>
      </c>
      <c r="AP50" s="446">
        <f t="shared" ca="1" si="40"/>
        <v>1.3089999999999999</v>
      </c>
      <c r="AQ50" s="446">
        <f t="shared" ca="1" si="41"/>
        <v>1.38</v>
      </c>
      <c r="AR50" s="446">
        <f t="shared" ca="1" si="42"/>
        <v>1.2270000000000001</v>
      </c>
      <c r="AS50" s="446">
        <f t="shared" ca="1" si="43"/>
        <v>0.59599999999999997</v>
      </c>
      <c r="AT50" s="446">
        <f t="shared" ca="1" si="44"/>
        <v>5.13</v>
      </c>
      <c r="AU50" s="446">
        <f t="shared" ca="1" si="45"/>
        <v>5.35</v>
      </c>
      <c r="AV50" s="446">
        <f t="shared" ca="1" si="46"/>
        <v>5.09</v>
      </c>
      <c r="AW50" s="446">
        <f t="shared" ca="1" si="47"/>
        <v>2.14</v>
      </c>
    </row>
    <row r="51" spans="1:49" ht="15.75" x14ac:dyDescent="0.25">
      <c r="A51" s="437" t="str">
        <f>INDEX(Оглавление, ROW())</f>
        <v>[Цены на приграничных АЗС 2017-2020 (7138827 v1).XLSM]Цены на 11.06.2018</v>
      </c>
      <c r="B51" s="438">
        <f t="shared" ca="1" si="0"/>
        <v>43262</v>
      </c>
      <c r="C51" s="446">
        <f t="shared" ca="1" si="1"/>
        <v>7.6571999999999996</v>
      </c>
      <c r="D51" s="446">
        <f t="shared" ca="1" si="2"/>
        <v>2.0015999999999998</v>
      </c>
      <c r="E51" s="446">
        <f t="shared" ca="1" si="3"/>
        <v>2.3552</v>
      </c>
      <c r="F51" s="446">
        <f t="shared" ca="1" si="4"/>
        <v>5.4858000000000002</v>
      </c>
      <c r="G51" s="446">
        <f t="shared" ca="1" si="5"/>
        <v>3.1926999999999999</v>
      </c>
      <c r="H51" s="446">
        <f t="shared" ca="1" si="6"/>
        <v>1.29</v>
      </c>
      <c r="I51" s="446">
        <f t="shared" ca="1" si="7"/>
        <v>1.37</v>
      </c>
      <c r="J51" s="446">
        <f t="shared" ca="1" si="8"/>
        <v>1.58</v>
      </c>
      <c r="K51" s="446">
        <f t="shared" ca="1" si="9"/>
        <v>1.37</v>
      </c>
      <c r="L51" s="446">
        <f t="shared" ca="1" si="10"/>
        <v>0.75</v>
      </c>
      <c r="M51" s="446">
        <f t="shared" ca="1" si="11"/>
        <v>42.42</v>
      </c>
      <c r="N51" s="446">
        <f t="shared" ca="1" si="12"/>
        <v>45.64</v>
      </c>
      <c r="O51" s="446">
        <f t="shared" ca="1" si="13"/>
        <v>50.93</v>
      </c>
      <c r="P51" s="446">
        <f t="shared" ca="1" si="14"/>
        <v>44.03</v>
      </c>
      <c r="Q51" s="446">
        <f t="shared" ca="1" si="15"/>
        <v>20.91</v>
      </c>
      <c r="R51" s="446">
        <f t="shared" ca="1" si="16"/>
        <v>41.9</v>
      </c>
      <c r="S51" s="446">
        <f t="shared" ca="1" si="17"/>
        <v>44.16</v>
      </c>
      <c r="T51" s="446">
        <f t="shared" ca="1" si="18"/>
        <v>47.7</v>
      </c>
      <c r="U51" s="446">
        <f t="shared" ca="1" si="19"/>
        <v>44.01</v>
      </c>
      <c r="V51" s="446">
        <f t="shared" ca="1" si="20"/>
        <v>20.47</v>
      </c>
      <c r="W51" s="446">
        <f t="shared" ca="1" si="21"/>
        <v>40.96</v>
      </c>
      <c r="X51" s="446">
        <f t="shared" ca="1" si="22"/>
        <v>44.16</v>
      </c>
      <c r="Y51" s="446">
        <f t="shared" ca="1" si="23"/>
        <v>47.6</v>
      </c>
      <c r="Z51" s="446">
        <f t="shared" ca="1" si="24"/>
        <v>43.44</v>
      </c>
      <c r="AA51" s="446">
        <f t="shared" ca="1" si="25"/>
        <v>20.47</v>
      </c>
      <c r="AB51" s="446">
        <f t="shared" ca="1" si="26"/>
        <v>40.26</v>
      </c>
      <c r="AC51" s="446">
        <f t="shared" ca="1" si="27"/>
        <v>42.92</v>
      </c>
      <c r="AD51" s="446">
        <f t="shared" ca="1" si="28"/>
        <v>48.45</v>
      </c>
      <c r="AE51" s="446">
        <f t="shared" ca="1" si="29"/>
        <v>43.58</v>
      </c>
      <c r="AF51" s="446">
        <f t="shared" ca="1" si="30"/>
        <v>17.760000000000002</v>
      </c>
      <c r="AG51" s="446">
        <f t="shared" ca="1" si="31"/>
        <v>28.95</v>
      </c>
      <c r="AH51" s="446">
        <f t="shared" ca="1" si="32"/>
        <v>29.95</v>
      </c>
      <c r="AI51" s="446">
        <f t="shared" ca="1" si="33"/>
        <v>33.97</v>
      </c>
      <c r="AJ51" s="446">
        <f t="shared" ca="1" si="34"/>
        <v>25.84</v>
      </c>
      <c r="AK51" s="446">
        <f t="shared" ca="1" si="35"/>
        <v>13.17</v>
      </c>
      <c r="AL51" s="446">
        <f t="shared" ca="1" si="36"/>
        <v>1.29</v>
      </c>
      <c r="AM51" s="446">
        <f t="shared" ca="1" si="37"/>
        <v>1.345</v>
      </c>
      <c r="AN51" s="446">
        <f t="shared" ca="1" si="38"/>
        <v>1.202</v>
      </c>
      <c r="AO51" s="446">
        <f t="shared" ca="1" si="39"/>
        <v>0.53500000000000003</v>
      </c>
      <c r="AP51" s="446">
        <f t="shared" ca="1" si="40"/>
        <v>1.3049999999999999</v>
      </c>
      <c r="AQ51" s="446">
        <f t="shared" ca="1" si="41"/>
        <v>1.3720000000000001</v>
      </c>
      <c r="AR51" s="446">
        <f t="shared" ca="1" si="42"/>
        <v>1.2230000000000001</v>
      </c>
      <c r="AS51" s="446">
        <f t="shared" ca="1" si="43"/>
        <v>0.59499999999999997</v>
      </c>
      <c r="AT51" s="446">
        <f t="shared" ca="1" si="44"/>
        <v>5.09</v>
      </c>
      <c r="AU51" s="446">
        <f t="shared" ca="1" si="45"/>
        <v>5.33</v>
      </c>
      <c r="AV51" s="446">
        <f t="shared" ca="1" si="46"/>
        <v>5.07</v>
      </c>
      <c r="AW51" s="446">
        <f t="shared" ca="1" si="47"/>
        <v>2.11</v>
      </c>
    </row>
    <row r="52" spans="1:49" ht="15.75" x14ac:dyDescent="0.25">
      <c r="A52" s="437" t="str">
        <f>INDEX(Оглавление, ROW())</f>
        <v>[Цены на приграничных АЗС 2017-2020 (7138827 v1).XLSM]Цены на 18.06.2018</v>
      </c>
      <c r="B52" s="438">
        <f t="shared" ca="1" si="0"/>
        <v>43269</v>
      </c>
      <c r="C52" s="446">
        <f t="shared" ca="1" si="1"/>
        <v>7.5913000000000004</v>
      </c>
      <c r="D52" s="446">
        <f t="shared" ca="1" si="2"/>
        <v>2.0007000000000001</v>
      </c>
      <c r="E52" s="446">
        <f t="shared" ca="1" si="3"/>
        <v>2.3168000000000002</v>
      </c>
      <c r="F52" s="446">
        <f t="shared" ca="1" si="4"/>
        <v>5.4257</v>
      </c>
      <c r="G52" s="446">
        <f t="shared" ca="1" si="5"/>
        <v>3.1911</v>
      </c>
      <c r="H52" s="446">
        <f t="shared" ca="1" si="6"/>
        <v>1.29</v>
      </c>
      <c r="I52" s="446">
        <f t="shared" ca="1" si="7"/>
        <v>1.37</v>
      </c>
      <c r="J52" s="446">
        <f t="shared" ca="1" si="8"/>
        <v>1.58</v>
      </c>
      <c r="K52" s="446">
        <f t="shared" ca="1" si="9"/>
        <v>1.37</v>
      </c>
      <c r="L52" s="446">
        <f t="shared" ca="1" si="10"/>
        <v>0.75</v>
      </c>
      <c r="M52" s="446">
        <f t="shared" ca="1" si="11"/>
        <v>42.17</v>
      </c>
      <c r="N52" s="446">
        <f t="shared" ca="1" si="12"/>
        <v>45.4</v>
      </c>
      <c r="O52" s="446">
        <f t="shared" ca="1" si="13"/>
        <v>50.97</v>
      </c>
      <c r="P52" s="446">
        <f t="shared" ca="1" si="14"/>
        <v>43.91</v>
      </c>
      <c r="Q52" s="446">
        <f t="shared" ca="1" si="15"/>
        <v>21.28</v>
      </c>
      <c r="R52" s="446">
        <f t="shared" ca="1" si="16"/>
        <v>42.12</v>
      </c>
      <c r="S52" s="446">
        <f t="shared" ca="1" si="17"/>
        <v>43.07</v>
      </c>
      <c r="T52" s="446">
        <f t="shared" ca="1" si="18"/>
        <v>45.59</v>
      </c>
      <c r="U52" s="446">
        <f t="shared" ca="1" si="19"/>
        <v>45.58</v>
      </c>
      <c r="V52" s="446">
        <f t="shared" ca="1" si="20"/>
        <v>20.6</v>
      </c>
      <c r="W52" s="446">
        <f t="shared" ca="1" si="21"/>
        <v>40.98</v>
      </c>
      <c r="X52" s="446">
        <f t="shared" ca="1" si="22"/>
        <v>44.16</v>
      </c>
      <c r="Y52" s="446">
        <f t="shared" ca="1" si="23"/>
        <v>47.6</v>
      </c>
      <c r="Z52" s="446">
        <f t="shared" ca="1" si="24"/>
        <v>43.52</v>
      </c>
      <c r="AA52" s="446">
        <f t="shared" ca="1" si="25"/>
        <v>20.6</v>
      </c>
      <c r="AB52" s="446">
        <f t="shared" ca="1" si="26"/>
        <v>40.54</v>
      </c>
      <c r="AC52" s="446">
        <f t="shared" ca="1" si="27"/>
        <v>43.09</v>
      </c>
      <c r="AD52" s="446">
        <f t="shared" ca="1" si="28"/>
        <v>48.45</v>
      </c>
      <c r="AE52" s="446">
        <f t="shared" ca="1" si="29"/>
        <v>43.81</v>
      </c>
      <c r="AF52" s="446">
        <f t="shared" ca="1" si="30"/>
        <v>17.760000000000002</v>
      </c>
      <c r="AG52" s="446">
        <f t="shared" ca="1" si="31"/>
        <v>28.95</v>
      </c>
      <c r="AH52" s="446">
        <f t="shared" ca="1" si="32"/>
        <v>29.95</v>
      </c>
      <c r="AI52" s="446">
        <f t="shared" ca="1" si="33"/>
        <v>33.97</v>
      </c>
      <c r="AJ52" s="446">
        <f t="shared" ca="1" si="34"/>
        <v>25.84</v>
      </c>
      <c r="AK52" s="446">
        <f t="shared" ca="1" si="35"/>
        <v>13.19</v>
      </c>
      <c r="AL52" s="446">
        <f t="shared" ca="1" si="36"/>
        <v>1.2889999999999999</v>
      </c>
      <c r="AM52" s="446">
        <f t="shared" ca="1" si="37"/>
        <v>1.3440000000000001</v>
      </c>
      <c r="AN52" s="446">
        <f t="shared" ca="1" si="38"/>
        <v>1.1990000000000001</v>
      </c>
      <c r="AO52" s="446">
        <f t="shared" ca="1" si="39"/>
        <v>0.53500000000000003</v>
      </c>
      <c r="AP52" s="446">
        <f t="shared" ca="1" si="40"/>
        <v>1.296</v>
      </c>
      <c r="AQ52" s="446">
        <f t="shared" ca="1" si="41"/>
        <v>1.36</v>
      </c>
      <c r="AR52" s="446">
        <f t="shared" ca="1" si="42"/>
        <v>1.216</v>
      </c>
      <c r="AS52" s="446">
        <f t="shared" ca="1" si="43"/>
        <v>0.59399999999999997</v>
      </c>
      <c r="AT52" s="446">
        <f t="shared" ca="1" si="44"/>
        <v>5.05</v>
      </c>
      <c r="AU52" s="446">
        <f t="shared" ca="1" si="45"/>
        <v>5.28</v>
      </c>
      <c r="AV52" s="446">
        <f t="shared" ca="1" si="46"/>
        <v>5.01</v>
      </c>
      <c r="AW52" s="446">
        <f t="shared" ca="1" si="47"/>
        <v>2.0699999999999998</v>
      </c>
    </row>
    <row r="53" spans="1:49" ht="15.75" x14ac:dyDescent="0.25">
      <c r="A53" s="437" t="str">
        <f>INDEX(Оглавление, ROW())</f>
        <v>[Цены на приграничных АЗС 2017-2020 (7138827 v1).XLSM]Цены на 25.06.2018</v>
      </c>
      <c r="B53" s="438">
        <f t="shared" ca="1" si="0"/>
        <v>43276</v>
      </c>
      <c r="C53" s="446">
        <f t="shared" ca="1" si="1"/>
        <v>7.6085000000000003</v>
      </c>
      <c r="D53" s="446">
        <f t="shared" ca="1" si="2"/>
        <v>1.9961</v>
      </c>
      <c r="E53" s="446">
        <f t="shared" ca="1" si="3"/>
        <v>2.3275000000000001</v>
      </c>
      <c r="F53" s="446">
        <f t="shared" ca="1" si="4"/>
        <v>5.3860999999999999</v>
      </c>
      <c r="G53" s="446">
        <f t="shared" ca="1" si="5"/>
        <v>3.1585999999999999</v>
      </c>
      <c r="H53" s="446">
        <f t="shared" ca="1" si="6"/>
        <v>1.29</v>
      </c>
      <c r="I53" s="446">
        <f t="shared" ca="1" si="7"/>
        <v>1.37</v>
      </c>
      <c r="J53" s="446">
        <f t="shared" ca="1" si="8"/>
        <v>1.58</v>
      </c>
      <c r="K53" s="446">
        <f t="shared" ca="1" si="9"/>
        <v>1.37</v>
      </c>
      <c r="L53" s="446">
        <f t="shared" ca="1" si="10"/>
        <v>0.75</v>
      </c>
      <c r="M53" s="446">
        <f t="shared" ca="1" si="11"/>
        <v>42.51</v>
      </c>
      <c r="N53" s="446">
        <f t="shared" ca="1" si="12"/>
        <v>45.71</v>
      </c>
      <c r="O53" s="446">
        <f t="shared" ca="1" si="13"/>
        <v>50.97</v>
      </c>
      <c r="P53" s="446">
        <f t="shared" ca="1" si="14"/>
        <v>44.38</v>
      </c>
      <c r="Q53" s="446">
        <f t="shared" ca="1" si="15"/>
        <v>21.28</v>
      </c>
      <c r="R53" s="446">
        <f t="shared" ca="1" si="16"/>
        <v>42.59</v>
      </c>
      <c r="S53" s="446">
        <f t="shared" ca="1" si="17"/>
        <v>45.59</v>
      </c>
      <c r="T53" s="446">
        <f t="shared" ca="1" si="18"/>
        <v>50.97</v>
      </c>
      <c r="U53" s="446">
        <f t="shared" ca="1" si="19"/>
        <v>42.51</v>
      </c>
      <c r="V53" s="446">
        <f t="shared" ca="1" si="20"/>
        <v>20.78</v>
      </c>
      <c r="W53" s="446">
        <f t="shared" ca="1" si="21"/>
        <v>40.950000000000003</v>
      </c>
      <c r="X53" s="446">
        <f t="shared" ca="1" si="22"/>
        <v>44.13</v>
      </c>
      <c r="Y53" s="446">
        <f t="shared" ca="1" si="23"/>
        <v>47.6</v>
      </c>
      <c r="Z53" s="446">
        <f t="shared" ca="1" si="24"/>
        <v>43.48</v>
      </c>
      <c r="AA53" s="446">
        <f t="shared" ca="1" si="25"/>
        <v>20.78</v>
      </c>
      <c r="AB53" s="446">
        <f t="shared" ca="1" si="26"/>
        <v>40.57</v>
      </c>
      <c r="AC53" s="446">
        <f t="shared" ca="1" si="27"/>
        <v>43.88</v>
      </c>
      <c r="AD53" s="446">
        <f t="shared" ca="1" si="28"/>
        <v>47.6</v>
      </c>
      <c r="AE53" s="446">
        <f t="shared" ca="1" si="29"/>
        <v>43.86</v>
      </c>
      <c r="AF53" s="446">
        <f t="shared" ca="1" si="30"/>
        <v>18.07</v>
      </c>
      <c r="AG53" s="446">
        <f t="shared" ca="1" si="31"/>
        <v>28.7</v>
      </c>
      <c r="AH53" s="446">
        <f t="shared" ca="1" si="32"/>
        <v>29.7</v>
      </c>
      <c r="AI53" s="446">
        <f t="shared" ca="1" si="33"/>
        <v>33.520000000000003</v>
      </c>
      <c r="AJ53" s="446">
        <f t="shared" ca="1" si="34"/>
        <v>25.59</v>
      </c>
      <c r="AK53" s="446">
        <f t="shared" ca="1" si="35"/>
        <v>13.17</v>
      </c>
      <c r="AL53" s="446">
        <f t="shared" ca="1" si="36"/>
        <v>1.2829999999999999</v>
      </c>
      <c r="AM53" s="446">
        <f t="shared" ca="1" si="37"/>
        <v>1.3380000000000001</v>
      </c>
      <c r="AN53" s="446">
        <f t="shared" ca="1" si="38"/>
        <v>1.1950000000000001</v>
      </c>
      <c r="AO53" s="446">
        <f t="shared" ca="1" si="39"/>
        <v>0.52900000000000003</v>
      </c>
      <c r="AP53" s="446">
        <f t="shared" ca="1" si="40"/>
        <v>1.2949999999999999</v>
      </c>
      <c r="AQ53" s="446">
        <f t="shared" ca="1" si="41"/>
        <v>1.36</v>
      </c>
      <c r="AR53" s="446">
        <f t="shared" ca="1" si="42"/>
        <v>1.2130000000000001</v>
      </c>
      <c r="AS53" s="446">
        <f t="shared" ca="1" si="43"/>
        <v>0.59</v>
      </c>
      <c r="AT53" s="446">
        <f t="shared" ca="1" si="44"/>
        <v>4.99</v>
      </c>
      <c r="AU53" s="446">
        <f t="shared" ca="1" si="45"/>
        <v>5.26</v>
      </c>
      <c r="AV53" s="446">
        <f t="shared" ca="1" si="46"/>
        <v>4.9800000000000004</v>
      </c>
      <c r="AW53" s="446">
        <f t="shared" ca="1" si="47"/>
        <v>2.0699999999999998</v>
      </c>
    </row>
    <row r="54" spans="1:49" ht="15.75" x14ac:dyDescent="0.25">
      <c r="A54" s="437" t="str">
        <f>INDEX(Оглавление, ROW())</f>
        <v>[Цены на приграничных АЗС 2017-2020 (7138827 v1).XLSM]Цены на 04.07.2018</v>
      </c>
      <c r="B54" s="438">
        <f t="shared" ca="1" si="0"/>
        <v>43285</v>
      </c>
      <c r="C54" s="446">
        <f t="shared" ca="1" si="1"/>
        <v>7.5629</v>
      </c>
      <c r="D54" s="446">
        <f t="shared" ca="1" si="2"/>
        <v>1.9898</v>
      </c>
      <c r="E54" s="446">
        <f t="shared" ca="1" si="3"/>
        <v>2.3142</v>
      </c>
      <c r="F54" s="446">
        <f t="shared" ca="1" si="4"/>
        <v>5.3085000000000004</v>
      </c>
      <c r="G54" s="446">
        <f t="shared" ca="1" si="5"/>
        <v>3.1705000000000001</v>
      </c>
      <c r="H54" s="446">
        <f t="shared" ca="1" si="6"/>
        <v>1.29</v>
      </c>
      <c r="I54" s="446">
        <f t="shared" ca="1" si="7"/>
        <v>1.37</v>
      </c>
      <c r="J54" s="446">
        <f t="shared" ca="1" si="8"/>
        <v>1.58</v>
      </c>
      <c r="K54" s="446">
        <f t="shared" ca="1" si="9"/>
        <v>1.37</v>
      </c>
      <c r="L54" s="446">
        <f t="shared" ca="1" si="10"/>
        <v>0.75</v>
      </c>
      <c r="M54" s="446">
        <f t="shared" ca="1" si="11"/>
        <v>42.05</v>
      </c>
      <c r="N54" s="446">
        <f t="shared" ca="1" si="12"/>
        <v>45.2</v>
      </c>
      <c r="O54" s="446">
        <f t="shared" ca="1" si="13"/>
        <v>51.41</v>
      </c>
      <c r="P54" s="446">
        <f t="shared" ca="1" si="14"/>
        <v>44.01</v>
      </c>
      <c r="Q54" s="446">
        <f t="shared" ca="1" si="15"/>
        <v>21.28</v>
      </c>
      <c r="R54" s="446">
        <f t="shared" ca="1" si="16"/>
        <v>41.46</v>
      </c>
      <c r="S54" s="446">
        <f t="shared" ca="1" si="17"/>
        <v>44.39</v>
      </c>
      <c r="T54" s="446">
        <f t="shared" ca="1" si="18"/>
        <v>48.5</v>
      </c>
      <c r="U54" s="446">
        <f t="shared" ca="1" si="19"/>
        <v>44.19</v>
      </c>
      <c r="V54" s="446">
        <f t="shared" ca="1" si="20"/>
        <v>20.78</v>
      </c>
      <c r="W54" s="446">
        <f t="shared" ca="1" si="21"/>
        <v>41.44</v>
      </c>
      <c r="X54" s="446">
        <f t="shared" ca="1" si="22"/>
        <v>44.15</v>
      </c>
      <c r="Y54" s="446">
        <f t="shared" ca="1" si="23"/>
        <v>47.6</v>
      </c>
      <c r="Z54" s="446">
        <f t="shared" ca="1" si="24"/>
        <v>43.78</v>
      </c>
      <c r="AA54" s="446">
        <f t="shared" ca="1" si="25"/>
        <v>20.78</v>
      </c>
      <c r="AB54" s="446">
        <f t="shared" ca="1" si="26"/>
        <v>40.369999999999997</v>
      </c>
      <c r="AC54" s="446">
        <f t="shared" ca="1" si="27"/>
        <v>42.86</v>
      </c>
      <c r="AD54" s="446">
        <f t="shared" ca="1" si="28"/>
        <v>49.9</v>
      </c>
      <c r="AE54" s="446">
        <f t="shared" ca="1" si="29"/>
        <v>43.71</v>
      </c>
      <c r="AF54" s="446">
        <f t="shared" ca="1" si="30"/>
        <v>18.07</v>
      </c>
      <c r="AG54" s="446">
        <f t="shared" ca="1" si="31"/>
        <v>28.7</v>
      </c>
      <c r="AH54" s="446">
        <f t="shared" ca="1" si="32"/>
        <v>29.7</v>
      </c>
      <c r="AI54" s="446">
        <f t="shared" ca="1" si="33"/>
        <v>33.520000000000003</v>
      </c>
      <c r="AJ54" s="446">
        <f t="shared" ca="1" si="34"/>
        <v>25.59</v>
      </c>
      <c r="AK54" s="446">
        <f t="shared" ca="1" si="35"/>
        <v>12.72</v>
      </c>
      <c r="AL54" s="446">
        <f t="shared" ca="1" si="36"/>
        <v>1.2829999999999999</v>
      </c>
      <c r="AM54" s="446">
        <f t="shared" ca="1" si="37"/>
        <v>1.3380000000000001</v>
      </c>
      <c r="AN54" s="446">
        <f t="shared" ca="1" si="38"/>
        <v>1.194</v>
      </c>
      <c r="AO54" s="446">
        <f t="shared" ca="1" si="39"/>
        <v>0.54900000000000004</v>
      </c>
      <c r="AP54" s="446">
        <f t="shared" ca="1" si="40"/>
        <v>1.169</v>
      </c>
      <c r="AQ54" s="446">
        <f t="shared" ca="1" si="41"/>
        <v>1.2470000000000001</v>
      </c>
      <c r="AR54" s="446">
        <f t="shared" ca="1" si="42"/>
        <v>1.079</v>
      </c>
      <c r="AS54" s="446">
        <f t="shared" ca="1" si="43"/>
        <v>0.54300000000000004</v>
      </c>
      <c r="AT54" s="446">
        <f t="shared" ca="1" si="44"/>
        <v>5</v>
      </c>
      <c r="AU54" s="446">
        <f t="shared" ca="1" si="45"/>
        <v>5.31</v>
      </c>
      <c r="AV54" s="446">
        <f t="shared" ca="1" si="46"/>
        <v>4.97</v>
      </c>
      <c r="AW54" s="446">
        <f t="shared" ca="1" si="47"/>
        <v>2.09</v>
      </c>
    </row>
    <row r="55" spans="1:49" ht="15.75" x14ac:dyDescent="0.25">
      <c r="A55" s="437" t="str">
        <f>INDEX(Оглавление, ROW())</f>
        <v>[Цены на приграничных АЗС 2017-2020 (7138827 v1).XLSM]Цены на 09.07.2018</v>
      </c>
      <c r="B55" s="438">
        <f t="shared" ca="1" si="0"/>
        <v>43290</v>
      </c>
      <c r="C55" s="446">
        <f t="shared" ca="1" si="1"/>
        <v>7.5171000000000001</v>
      </c>
      <c r="D55" s="446">
        <f t="shared" ca="1" si="2"/>
        <v>1.9802</v>
      </c>
      <c r="E55" s="446">
        <f t="shared" ca="1" si="3"/>
        <v>2.3248000000000002</v>
      </c>
      <c r="F55" s="446">
        <f t="shared" ca="1" si="4"/>
        <v>5.3415999999999997</v>
      </c>
      <c r="G55" s="446">
        <f t="shared" ca="1" si="5"/>
        <v>3.1427999999999998</v>
      </c>
      <c r="H55" s="446">
        <f t="shared" ca="1" si="6"/>
        <v>1.29</v>
      </c>
      <c r="I55" s="446">
        <f t="shared" ca="1" si="7"/>
        <v>1.37</v>
      </c>
      <c r="J55" s="446">
        <f t="shared" ca="1" si="8"/>
        <v>1.58</v>
      </c>
      <c r="K55" s="446">
        <f t="shared" ca="1" si="9"/>
        <v>1.37</v>
      </c>
      <c r="L55" s="446">
        <f t="shared" ca="1" si="10"/>
        <v>0.75</v>
      </c>
      <c r="M55" s="446">
        <f t="shared" ca="1" si="11"/>
        <v>42.07</v>
      </c>
      <c r="N55" s="446">
        <f t="shared" ca="1" si="12"/>
        <v>45.37</v>
      </c>
      <c r="O55" s="446">
        <f t="shared" ca="1" si="13"/>
        <v>50.76</v>
      </c>
      <c r="P55" s="446">
        <f t="shared" ca="1" si="14"/>
        <v>43.97</v>
      </c>
      <c r="Q55" s="446">
        <f t="shared" ca="1" si="15"/>
        <v>22.04</v>
      </c>
      <c r="R55" s="446">
        <f t="shared" ca="1" si="16"/>
        <v>42.11</v>
      </c>
      <c r="S55" s="446">
        <f t="shared" ca="1" si="17"/>
        <v>44.68</v>
      </c>
      <c r="T55" s="446">
        <f t="shared" ca="1" si="18"/>
        <v>48.08</v>
      </c>
      <c r="U55" s="446">
        <f t="shared" ca="1" si="19"/>
        <v>43.07</v>
      </c>
      <c r="V55" s="446">
        <f t="shared" ca="1" si="20"/>
        <v>21.63</v>
      </c>
      <c r="W55" s="446">
        <f t="shared" ca="1" si="21"/>
        <v>41.25</v>
      </c>
      <c r="X55" s="446">
        <f t="shared" ca="1" si="22"/>
        <v>43.65</v>
      </c>
      <c r="Y55" s="446">
        <f t="shared" ca="1" si="23"/>
        <v>48.99</v>
      </c>
      <c r="Z55" s="446">
        <f t="shared" ca="1" si="24"/>
        <v>43.93</v>
      </c>
      <c r="AA55" s="446">
        <f t="shared" ca="1" si="25"/>
        <v>21.63</v>
      </c>
      <c r="AB55" s="446">
        <f t="shared" ca="1" si="26"/>
        <v>40.57</v>
      </c>
      <c r="AC55" s="446">
        <f t="shared" ca="1" si="27"/>
        <v>43.16</v>
      </c>
      <c r="AD55" s="446">
        <f t="shared" ca="1" si="28"/>
        <v>49.17</v>
      </c>
      <c r="AE55" s="446">
        <f t="shared" ca="1" si="29"/>
        <v>43.86</v>
      </c>
      <c r="AF55" s="446">
        <f t="shared" ca="1" si="30"/>
        <v>19.07</v>
      </c>
      <c r="AG55" s="446">
        <f t="shared" ca="1" si="31"/>
        <v>28.7</v>
      </c>
      <c r="AH55" s="446">
        <f t="shared" ca="1" si="32"/>
        <v>29.7</v>
      </c>
      <c r="AI55" s="446">
        <f t="shared" ca="1" si="33"/>
        <v>33.520000000000003</v>
      </c>
      <c r="AJ55" s="446">
        <f t="shared" ca="1" si="34"/>
        <v>25.59</v>
      </c>
      <c r="AK55" s="446">
        <f t="shared" ca="1" si="35"/>
        <v>13.19</v>
      </c>
      <c r="AL55" s="446">
        <f t="shared" ca="1" si="36"/>
        <v>1.2829999999999999</v>
      </c>
      <c r="AM55" s="446">
        <f t="shared" ca="1" si="37"/>
        <v>1.3380000000000001</v>
      </c>
      <c r="AN55" s="446">
        <f t="shared" ca="1" si="38"/>
        <v>1.194</v>
      </c>
      <c r="AO55" s="446">
        <f t="shared" ca="1" si="39"/>
        <v>0.54900000000000004</v>
      </c>
      <c r="AP55" s="446">
        <f t="shared" ca="1" si="40"/>
        <v>1.2190000000000001</v>
      </c>
      <c r="AQ55" s="446">
        <f t="shared" ca="1" si="41"/>
        <v>1.3049999999999999</v>
      </c>
      <c r="AR55" s="446">
        <f t="shared" ca="1" si="42"/>
        <v>1.129</v>
      </c>
      <c r="AS55" s="446">
        <f t="shared" ca="1" si="43"/>
        <v>0.57599999999999996</v>
      </c>
      <c r="AT55" s="446">
        <f t="shared" ca="1" si="44"/>
        <v>5.04</v>
      </c>
      <c r="AU55" s="446">
        <f t="shared" ca="1" si="45"/>
        <v>5.319</v>
      </c>
      <c r="AV55" s="446">
        <f t="shared" ca="1" si="46"/>
        <v>4.99</v>
      </c>
      <c r="AW55" s="446">
        <f t="shared" ca="1" si="47"/>
        <v>2.14</v>
      </c>
    </row>
    <row r="56" spans="1:49" ht="15.75" x14ac:dyDescent="0.25">
      <c r="A56" s="437" t="str">
        <f>INDEX(Оглавление, ROW())</f>
        <v>[Цены на приграничных АЗС 2017-2020 (7138827 v1).XLSM]Цены на 16.07.2018</v>
      </c>
      <c r="B56" s="438">
        <f t="shared" ca="1" si="0"/>
        <v>43297</v>
      </c>
      <c r="C56" s="446">
        <f t="shared" ca="1" si="1"/>
        <v>7.5128000000000004</v>
      </c>
      <c r="D56" s="446">
        <f t="shared" ca="1" si="2"/>
        <v>1.9705999999999999</v>
      </c>
      <c r="E56" s="446">
        <f t="shared" ca="1" si="3"/>
        <v>2.2898000000000001</v>
      </c>
      <c r="F56" s="446">
        <f t="shared" ca="1" si="4"/>
        <v>5.2961999999999998</v>
      </c>
      <c r="G56" s="446">
        <f t="shared" ca="1" si="5"/>
        <v>3.1631999999999998</v>
      </c>
      <c r="H56" s="446">
        <f t="shared" ca="1" si="6"/>
        <v>1.29</v>
      </c>
      <c r="I56" s="446">
        <f t="shared" ca="1" si="7"/>
        <v>1.37</v>
      </c>
      <c r="J56" s="446">
        <f t="shared" ca="1" si="8"/>
        <v>1.58</v>
      </c>
      <c r="K56" s="446">
        <f t="shared" ca="1" si="9"/>
        <v>1.37</v>
      </c>
      <c r="L56" s="446">
        <f t="shared" ca="1" si="10"/>
        <v>0.75</v>
      </c>
      <c r="M56" s="446">
        <f t="shared" ca="1" si="11"/>
        <v>41.85</v>
      </c>
      <c r="N56" s="446">
        <f t="shared" ca="1" si="12"/>
        <v>45.8</v>
      </c>
      <c r="O56" s="446">
        <f t="shared" ca="1" si="13"/>
        <v>51.26</v>
      </c>
      <c r="P56" s="446">
        <f t="shared" ca="1" si="14"/>
        <v>43.9</v>
      </c>
      <c r="Q56" s="446">
        <f t="shared" ca="1" si="15"/>
        <v>22.4</v>
      </c>
      <c r="R56" s="446">
        <f t="shared" ca="1" si="16"/>
        <v>41.43</v>
      </c>
      <c r="S56" s="446">
        <f t="shared" ca="1" si="17"/>
        <v>44.43</v>
      </c>
      <c r="T56" s="446">
        <f t="shared" ca="1" si="18"/>
        <v>48.08</v>
      </c>
      <c r="U56" s="446">
        <f t="shared" ca="1" si="19"/>
        <v>44.37</v>
      </c>
      <c r="V56" s="446">
        <f t="shared" ca="1" si="20"/>
        <v>21.63</v>
      </c>
      <c r="W56" s="446">
        <f t="shared" ca="1" si="21"/>
        <v>40.950000000000003</v>
      </c>
      <c r="X56" s="446">
        <f t="shared" ca="1" si="22"/>
        <v>44.13</v>
      </c>
      <c r="Y56" s="446">
        <f t="shared" ca="1" si="23"/>
        <v>47.21</v>
      </c>
      <c r="Z56" s="446">
        <f t="shared" ca="1" si="24"/>
        <v>43.49</v>
      </c>
      <c r="AA56" s="446">
        <f t="shared" ca="1" si="25"/>
        <v>21.63</v>
      </c>
      <c r="AB56" s="446">
        <f t="shared" ca="1" si="26"/>
        <v>40.56</v>
      </c>
      <c r="AC56" s="446">
        <f t="shared" ca="1" si="27"/>
        <v>43.15</v>
      </c>
      <c r="AD56" s="446">
        <f t="shared" ca="1" si="28"/>
        <v>49.17</v>
      </c>
      <c r="AE56" s="446">
        <f t="shared" ca="1" si="29"/>
        <v>43.86</v>
      </c>
      <c r="AF56" s="446">
        <f t="shared" ca="1" si="30"/>
        <v>19.07</v>
      </c>
      <c r="AG56" s="446">
        <f t="shared" ca="1" si="31"/>
        <v>28.7</v>
      </c>
      <c r="AH56" s="446">
        <f t="shared" ca="1" si="32"/>
        <v>29.7</v>
      </c>
      <c r="AI56" s="446">
        <f t="shared" ca="1" si="33"/>
        <v>33.520000000000003</v>
      </c>
      <c r="AJ56" s="446">
        <f t="shared" ca="1" si="34"/>
        <v>25.59</v>
      </c>
      <c r="AK56" s="446">
        <f t="shared" ca="1" si="35"/>
        <v>13.52</v>
      </c>
      <c r="AL56" s="446">
        <f t="shared" ca="1" si="36"/>
        <v>1.298</v>
      </c>
      <c r="AM56" s="446">
        <f t="shared" ca="1" si="37"/>
        <v>1.353</v>
      </c>
      <c r="AN56" s="446">
        <f t="shared" ca="1" si="38"/>
        <v>1.2170000000000001</v>
      </c>
      <c r="AO56" s="446">
        <f t="shared" ca="1" si="39"/>
        <v>0.56000000000000005</v>
      </c>
      <c r="AP56" s="446">
        <f t="shared" ca="1" si="40"/>
        <v>1.22</v>
      </c>
      <c r="AQ56" s="446">
        <f t="shared" ca="1" si="41"/>
        <v>1.3149999999999999</v>
      </c>
      <c r="AR56" s="446">
        <f t="shared" ca="1" si="42"/>
        <v>1.139</v>
      </c>
      <c r="AS56" s="446">
        <f t="shared" ca="1" si="43"/>
        <v>0.55900000000000005</v>
      </c>
      <c r="AT56" s="446">
        <f t="shared" ca="1" si="44"/>
        <v>5.08</v>
      </c>
      <c r="AU56" s="446">
        <f t="shared" ca="1" si="45"/>
        <v>5.27</v>
      </c>
      <c r="AV56" s="446">
        <f t="shared" ca="1" si="46"/>
        <v>5.07</v>
      </c>
      <c r="AW56" s="446">
        <f t="shared" ca="1" si="47"/>
        <v>2.2400000000000002</v>
      </c>
    </row>
    <row r="57" spans="1:49" ht="15.75" x14ac:dyDescent="0.25">
      <c r="A57" s="437" t="str">
        <f>INDEX(Оглавление, ROW())</f>
        <v>[Цены на приграничных АЗС 2017-2020 (7138827 v1).XLSM]Цены на 23.07.2018</v>
      </c>
      <c r="B57" s="438">
        <f t="shared" ca="1" si="0"/>
        <v>43304</v>
      </c>
      <c r="C57" s="446">
        <f t="shared" ca="1" si="1"/>
        <v>7.5582000000000003</v>
      </c>
      <c r="D57" s="446">
        <f t="shared" ca="1" si="2"/>
        <v>1.9984</v>
      </c>
      <c r="E57" s="446">
        <f t="shared" ca="1" si="3"/>
        <v>2.3271999999999999</v>
      </c>
      <c r="F57" s="446">
        <f t="shared" ca="1" si="4"/>
        <v>5.3815</v>
      </c>
      <c r="G57" s="446">
        <f t="shared" ca="1" si="5"/>
        <v>3.1480999999999999</v>
      </c>
      <c r="H57" s="446">
        <f t="shared" ca="1" si="6"/>
        <v>1.29</v>
      </c>
      <c r="I57" s="446">
        <f t="shared" ca="1" si="7"/>
        <v>1.37</v>
      </c>
      <c r="J57" s="446">
        <f t="shared" ca="1" si="8"/>
        <v>1.58</v>
      </c>
      <c r="K57" s="446">
        <f t="shared" ca="1" si="9"/>
        <v>1.37</v>
      </c>
      <c r="L57" s="446">
        <f t="shared" ca="1" si="10"/>
        <v>0.75</v>
      </c>
      <c r="M57" s="446">
        <f t="shared" ca="1" si="11"/>
        <v>41.86</v>
      </c>
      <c r="N57" s="446">
        <f t="shared" ca="1" si="12"/>
        <v>44.97</v>
      </c>
      <c r="O57" s="446">
        <f t="shared" ca="1" si="13"/>
        <v>51.36</v>
      </c>
      <c r="P57" s="446">
        <f t="shared" ca="1" si="14"/>
        <v>43.43</v>
      </c>
      <c r="Q57" s="446">
        <f t="shared" ca="1" si="15"/>
        <v>22.82</v>
      </c>
      <c r="R57" s="446">
        <f t="shared" ca="1" si="16"/>
        <v>41.63</v>
      </c>
      <c r="S57" s="446">
        <f t="shared" ca="1" si="17"/>
        <v>44.24</v>
      </c>
      <c r="T57" s="446">
        <f t="shared" ca="1" si="18"/>
        <v>48.08</v>
      </c>
      <c r="U57" s="446">
        <f t="shared" ca="1" si="19"/>
        <v>44.4</v>
      </c>
      <c r="V57" s="446">
        <f t="shared" ca="1" si="20"/>
        <v>21.63</v>
      </c>
      <c r="W57" s="446">
        <f t="shared" ca="1" si="21"/>
        <v>41.14</v>
      </c>
      <c r="X57" s="446">
        <f t="shared" ca="1" si="22"/>
        <v>43.95</v>
      </c>
      <c r="Y57" s="446">
        <f t="shared" ca="1" si="23"/>
        <v>47.6</v>
      </c>
      <c r="Z57" s="446">
        <f t="shared" ca="1" si="24"/>
        <v>43.72</v>
      </c>
      <c r="AA57" s="446">
        <f t="shared" ca="1" si="25"/>
        <v>21.63</v>
      </c>
      <c r="AB57" s="446">
        <f t="shared" ca="1" si="26"/>
        <v>40.549999999999997</v>
      </c>
      <c r="AC57" s="446">
        <f t="shared" ca="1" si="27"/>
        <v>43.66</v>
      </c>
      <c r="AD57" s="446">
        <f t="shared" ca="1" si="28"/>
        <v>49.17</v>
      </c>
      <c r="AE57" s="446">
        <f t="shared" ca="1" si="29"/>
        <v>43.78</v>
      </c>
      <c r="AF57" s="446">
        <f t="shared" ca="1" si="30"/>
        <v>19.07</v>
      </c>
      <c r="AG57" s="446">
        <f t="shared" ca="1" si="31"/>
        <v>28.7</v>
      </c>
      <c r="AH57" s="446">
        <f t="shared" ca="1" si="32"/>
        <v>29.7</v>
      </c>
      <c r="AI57" s="446">
        <f t="shared" ca="1" si="33"/>
        <v>33.520000000000003</v>
      </c>
      <c r="AJ57" s="446">
        <f t="shared" ca="1" si="34"/>
        <v>25.59</v>
      </c>
      <c r="AK57" s="446">
        <f t="shared" ca="1" si="35"/>
        <v>14.03</v>
      </c>
      <c r="AL57" s="446">
        <f t="shared" ca="1" si="36"/>
        <v>1.298</v>
      </c>
      <c r="AM57" s="446">
        <f t="shared" ca="1" si="37"/>
        <v>1.353</v>
      </c>
      <c r="AN57" s="446">
        <f t="shared" ca="1" si="38"/>
        <v>1.2170000000000001</v>
      </c>
      <c r="AO57" s="446">
        <f t="shared" ca="1" si="39"/>
        <v>0.55900000000000005</v>
      </c>
      <c r="AP57" s="446">
        <f t="shared" ca="1" si="40"/>
        <v>1.22</v>
      </c>
      <c r="AQ57" s="446">
        <f t="shared" ca="1" si="41"/>
        <v>1.3160000000000001</v>
      </c>
      <c r="AR57" s="446">
        <f t="shared" ca="1" si="42"/>
        <v>1.1439999999999999</v>
      </c>
      <c r="AS57" s="446">
        <f t="shared" ca="1" si="43"/>
        <v>0.56899999999999995</v>
      </c>
      <c r="AT57" s="446">
        <f t="shared" ca="1" si="44"/>
        <v>5.09</v>
      </c>
      <c r="AU57" s="446">
        <f t="shared" ca="1" si="45"/>
        <v>5.33</v>
      </c>
      <c r="AV57" s="446">
        <f t="shared" ca="1" si="46"/>
        <v>5.04</v>
      </c>
      <c r="AW57" s="446">
        <f t="shared" ca="1" si="47"/>
        <v>2.3199999999999998</v>
      </c>
    </row>
    <row r="58" spans="1:49" ht="15.75" x14ac:dyDescent="0.25">
      <c r="A58" s="437" t="str">
        <f>INDEX(Оглавление, ROW())</f>
        <v>[Цены на приграничных АЗС 2017-2020 (7138827 v1).XLSM]Цены на 30.07.2018</v>
      </c>
      <c r="B58" s="438">
        <f t="shared" ca="1" si="0"/>
        <v>43311</v>
      </c>
      <c r="C58" s="446">
        <f t="shared" ca="1" si="1"/>
        <v>7.4390999999999998</v>
      </c>
      <c r="D58" s="446">
        <f t="shared" ca="1" si="2"/>
        <v>1.9922</v>
      </c>
      <c r="E58" s="446">
        <f t="shared" ca="1" si="3"/>
        <v>2.3199999999999998</v>
      </c>
      <c r="F58" s="446">
        <f t="shared" ca="1" si="4"/>
        <v>5.3901000000000003</v>
      </c>
      <c r="G58" s="446">
        <f t="shared" ca="1" si="5"/>
        <v>3.1638000000000002</v>
      </c>
      <c r="H58" s="446">
        <f t="shared" ca="1" si="6"/>
        <v>1.29</v>
      </c>
      <c r="I58" s="446">
        <f t="shared" ca="1" si="7"/>
        <v>1.37</v>
      </c>
      <c r="J58" s="446">
        <f t="shared" ca="1" si="8"/>
        <v>1.58</v>
      </c>
      <c r="K58" s="446">
        <f t="shared" ca="1" si="9"/>
        <v>1.37</v>
      </c>
      <c r="L58" s="446">
        <f t="shared" ca="1" si="10"/>
        <v>0.75</v>
      </c>
      <c r="M58" s="446">
        <f t="shared" ca="1" si="11"/>
        <v>41.9</v>
      </c>
      <c r="N58" s="446">
        <f t="shared" ca="1" si="12"/>
        <v>45.36</v>
      </c>
      <c r="O58" s="446">
        <f t="shared" ca="1" si="13"/>
        <v>50.68</v>
      </c>
      <c r="P58" s="446">
        <f t="shared" ca="1" si="14"/>
        <v>43.86</v>
      </c>
      <c r="Q58" s="446">
        <f t="shared" ca="1" si="15"/>
        <v>22.91</v>
      </c>
      <c r="R58" s="446">
        <f t="shared" ca="1" si="16"/>
        <v>41.1</v>
      </c>
      <c r="S58" s="446">
        <f t="shared" ca="1" si="17"/>
        <v>44.06</v>
      </c>
      <c r="T58" s="446">
        <f t="shared" ca="1" si="18"/>
        <v>48.08</v>
      </c>
      <c r="U58" s="446">
        <f t="shared" ca="1" si="19"/>
        <v>44.18</v>
      </c>
      <c r="V58" s="446">
        <f t="shared" ca="1" si="20"/>
        <v>21.63</v>
      </c>
      <c r="W58" s="446">
        <f t="shared" ca="1" si="21"/>
        <v>40.98</v>
      </c>
      <c r="X58" s="446">
        <f t="shared" ca="1" si="22"/>
        <v>44.12</v>
      </c>
      <c r="Y58" s="446">
        <f t="shared" ca="1" si="23"/>
        <v>47.46</v>
      </c>
      <c r="Z58" s="446">
        <f t="shared" ca="1" si="24"/>
        <v>43.53</v>
      </c>
      <c r="AA58" s="446">
        <f t="shared" ca="1" si="25"/>
        <v>21.63</v>
      </c>
      <c r="AB58" s="446">
        <f t="shared" ca="1" si="26"/>
        <v>40.549999999999997</v>
      </c>
      <c r="AC58" s="446">
        <f t="shared" ca="1" si="27"/>
        <v>43.11</v>
      </c>
      <c r="AD58" s="446">
        <f t="shared" ca="1" si="28"/>
        <v>49.17</v>
      </c>
      <c r="AE58" s="446">
        <f t="shared" ca="1" si="29"/>
        <v>43.78</v>
      </c>
      <c r="AF58" s="446">
        <f t="shared" ca="1" si="30"/>
        <v>19.07</v>
      </c>
      <c r="AG58" s="446">
        <f t="shared" ca="1" si="31"/>
        <v>28.54</v>
      </c>
      <c r="AH58" s="446">
        <f t="shared" ca="1" si="32"/>
        <v>29.54</v>
      </c>
      <c r="AI58" s="446">
        <f t="shared" ca="1" si="33"/>
        <v>32.97</v>
      </c>
      <c r="AJ58" s="446">
        <f t="shared" ca="1" si="34"/>
        <v>27.24</v>
      </c>
      <c r="AK58" s="446">
        <f t="shared" ca="1" si="35"/>
        <v>13.42</v>
      </c>
      <c r="AL58" s="446">
        <f t="shared" ca="1" si="36"/>
        <v>1.298</v>
      </c>
      <c r="AM58" s="446">
        <f t="shared" ca="1" si="37"/>
        <v>1.353</v>
      </c>
      <c r="AN58" s="446">
        <f t="shared" ca="1" si="38"/>
        <v>1.2170000000000001</v>
      </c>
      <c r="AO58" s="446">
        <f t="shared" ca="1" si="39"/>
        <v>0.55900000000000005</v>
      </c>
      <c r="AP58" s="446">
        <f t="shared" ca="1" si="40"/>
        <v>1.2090000000000001</v>
      </c>
      <c r="AQ58" s="446">
        <f t="shared" ca="1" si="41"/>
        <v>1.306</v>
      </c>
      <c r="AR58" s="446">
        <f t="shared" ca="1" si="42"/>
        <v>1.1240000000000001</v>
      </c>
      <c r="AS58" s="446">
        <f t="shared" ca="1" si="43"/>
        <v>0.56899999999999995</v>
      </c>
      <c r="AT58" s="446">
        <f t="shared" ca="1" si="44"/>
        <v>5.08</v>
      </c>
      <c r="AU58" s="446">
        <f t="shared" ca="1" si="45"/>
        <v>5.34</v>
      </c>
      <c r="AV58" s="446">
        <f t="shared" ca="1" si="46"/>
        <v>5.0199999999999996</v>
      </c>
      <c r="AW58" s="446">
        <f t="shared" ca="1" si="47"/>
        <v>2.34</v>
      </c>
    </row>
    <row r="59" spans="1:49" ht="15.75" x14ac:dyDescent="0.25">
      <c r="A59" s="437" t="str">
        <f>INDEX(Оглавление, ROW())</f>
        <v>[Цены на приграничных АЗС 2017-2020 (7138827 v1).XLSM]Цены на 06.08.2018</v>
      </c>
      <c r="B59" s="438">
        <f t="shared" ca="1" si="0"/>
        <v>43318</v>
      </c>
      <c r="C59" s="446">
        <f t="shared" ca="1" si="1"/>
        <v>7.4153000000000002</v>
      </c>
      <c r="D59" s="446">
        <f t="shared" ca="1" si="2"/>
        <v>2.0125000000000002</v>
      </c>
      <c r="E59" s="446">
        <f t="shared" ca="1" si="3"/>
        <v>2.3269000000000002</v>
      </c>
      <c r="F59" s="446">
        <f t="shared" ca="1" si="4"/>
        <v>5.4469000000000003</v>
      </c>
      <c r="G59" s="446">
        <f t="shared" ca="1" si="5"/>
        <v>3.1688999999999998</v>
      </c>
      <c r="H59" s="446">
        <f t="shared" ca="1" si="6"/>
        <v>1.29</v>
      </c>
      <c r="I59" s="446">
        <f t="shared" ca="1" si="7"/>
        <v>1.37</v>
      </c>
      <c r="J59" s="446">
        <f t="shared" ca="1" si="8"/>
        <v>1.58</v>
      </c>
      <c r="K59" s="446">
        <f t="shared" ca="1" si="9"/>
        <v>1.37</v>
      </c>
      <c r="L59" s="446">
        <f t="shared" ca="1" si="10"/>
        <v>0.75</v>
      </c>
      <c r="M59" s="446">
        <f t="shared" ca="1" si="11"/>
        <v>41.91</v>
      </c>
      <c r="N59" s="446">
        <f t="shared" ca="1" si="12"/>
        <v>45.39</v>
      </c>
      <c r="O59" s="446">
        <f t="shared" ca="1" si="13"/>
        <v>50.38</v>
      </c>
      <c r="P59" s="446">
        <f t="shared" ca="1" si="14"/>
        <v>43.93</v>
      </c>
      <c r="Q59" s="446">
        <f t="shared" ca="1" si="15"/>
        <v>23.18</v>
      </c>
      <c r="R59" s="446">
        <f t="shared" ca="1" si="16"/>
        <v>41.59</v>
      </c>
      <c r="S59" s="446">
        <f t="shared" ca="1" si="17"/>
        <v>44.59</v>
      </c>
      <c r="T59" s="446">
        <f t="shared" ca="1" si="18"/>
        <v>50.38</v>
      </c>
      <c r="U59" s="446">
        <f t="shared" ca="1" si="19"/>
        <v>45.4</v>
      </c>
      <c r="V59" s="446">
        <f t="shared" ca="1" si="20"/>
        <v>23.18</v>
      </c>
      <c r="W59" s="446">
        <f t="shared" ca="1" si="21"/>
        <v>41.5</v>
      </c>
      <c r="X59" s="446">
        <f t="shared" ca="1" si="22"/>
        <v>44.96</v>
      </c>
      <c r="Y59" s="446">
        <f t="shared" ca="1" si="23"/>
        <v>50.38</v>
      </c>
      <c r="Z59" s="446">
        <f t="shared" ca="1" si="24"/>
        <v>44.91</v>
      </c>
      <c r="AA59" s="446">
        <f t="shared" ca="1" si="25"/>
        <v>23.18</v>
      </c>
      <c r="AB59" s="446">
        <f t="shared" ca="1" si="26"/>
        <v>40.549999999999997</v>
      </c>
      <c r="AC59" s="446">
        <f t="shared" ca="1" si="27"/>
        <v>43.11</v>
      </c>
      <c r="AD59" s="446">
        <f t="shared" ca="1" si="28"/>
        <v>50.38</v>
      </c>
      <c r="AE59" s="446">
        <f t="shared" ca="1" si="29"/>
        <v>43.78</v>
      </c>
      <c r="AF59" s="446">
        <f t="shared" ca="1" si="30"/>
        <v>19.07</v>
      </c>
      <c r="AG59" s="446">
        <f t="shared" ca="1" si="31"/>
        <v>28.95</v>
      </c>
      <c r="AH59" s="446">
        <f t="shared" ca="1" si="32"/>
        <v>29.95</v>
      </c>
      <c r="AI59" s="446">
        <f t="shared" ca="1" si="33"/>
        <v>34.020000000000003</v>
      </c>
      <c r="AJ59" s="446">
        <f t="shared" ca="1" si="34"/>
        <v>25.84</v>
      </c>
      <c r="AK59" s="446">
        <f t="shared" ca="1" si="35"/>
        <v>14.03</v>
      </c>
      <c r="AL59" s="446">
        <f t="shared" ca="1" si="36"/>
        <v>1.2869999999999999</v>
      </c>
      <c r="AM59" s="446">
        <f t="shared" ca="1" si="37"/>
        <v>1.3420000000000001</v>
      </c>
      <c r="AN59" s="446">
        <f t="shared" ca="1" si="38"/>
        <v>1.2170000000000001</v>
      </c>
      <c r="AO59" s="446">
        <f t="shared" ca="1" si="39"/>
        <v>0.54900000000000004</v>
      </c>
      <c r="AP59" s="446">
        <f t="shared" ca="1" si="40"/>
        <v>1.2090000000000001</v>
      </c>
      <c r="AQ59" s="446">
        <f t="shared" ca="1" si="41"/>
        <v>1.329</v>
      </c>
      <c r="AR59" s="446">
        <f t="shared" ca="1" si="42"/>
        <v>1.1439999999999999</v>
      </c>
      <c r="AS59" s="446">
        <f t="shared" ca="1" si="43"/>
        <v>0.55200000000000005</v>
      </c>
      <c r="AT59" s="446">
        <f t="shared" ca="1" si="44"/>
        <v>5.08</v>
      </c>
      <c r="AU59" s="446">
        <f t="shared" ca="1" si="45"/>
        <v>5.29</v>
      </c>
      <c r="AV59" s="446">
        <f t="shared" ca="1" si="46"/>
        <v>5.04</v>
      </c>
      <c r="AW59" s="446">
        <f t="shared" ca="1" si="47"/>
        <v>2.33</v>
      </c>
    </row>
    <row r="60" spans="1:49" ht="15.75" x14ac:dyDescent="0.25">
      <c r="A60" s="437" t="str">
        <f>INDEX(Оглавление, ROW())</f>
        <v>[Цены на приграничных АЗС 2017-2020 (7138827 v1).XLSM]Цены на 13.08.2018</v>
      </c>
      <c r="B60" s="438">
        <f t="shared" ca="1" si="0"/>
        <v>43325</v>
      </c>
      <c r="C60" s="446">
        <f t="shared" ca="1" si="1"/>
        <v>7.5641999999999996</v>
      </c>
      <c r="D60" s="446">
        <f t="shared" ca="1" si="2"/>
        <v>2.0707</v>
      </c>
      <c r="E60" s="446">
        <f t="shared" ca="1" si="3"/>
        <v>2.3553999999999999</v>
      </c>
      <c r="F60" s="446">
        <f t="shared" ca="1" si="4"/>
        <v>5.4688999999999997</v>
      </c>
      <c r="G60" s="446">
        <f t="shared" ca="1" si="5"/>
        <v>3.0415000000000001</v>
      </c>
      <c r="H60" s="446">
        <f t="shared" ca="1" si="6"/>
        <v>1.3</v>
      </c>
      <c r="I60" s="446">
        <f t="shared" ca="1" si="7"/>
        <v>1.38</v>
      </c>
      <c r="J60" s="446">
        <f t="shared" ca="1" si="8"/>
        <v>1.59</v>
      </c>
      <c r="K60" s="446">
        <f t="shared" ca="1" si="9"/>
        <v>1.38</v>
      </c>
      <c r="L60" s="446">
        <f t="shared" ca="1" si="10"/>
        <v>0.75</v>
      </c>
      <c r="M60" s="446">
        <f t="shared" ca="1" si="11"/>
        <v>41.87</v>
      </c>
      <c r="N60" s="446">
        <f t="shared" ca="1" si="12"/>
        <v>45.41</v>
      </c>
      <c r="O60" s="446">
        <f t="shared" ca="1" si="13"/>
        <v>50.5</v>
      </c>
      <c r="P60" s="446">
        <f t="shared" ca="1" si="14"/>
        <v>43.92</v>
      </c>
      <c r="Q60" s="446">
        <f t="shared" ca="1" si="15"/>
        <v>24.01</v>
      </c>
      <c r="R60" s="446">
        <f t="shared" ca="1" si="16"/>
        <v>40.869999999999997</v>
      </c>
      <c r="S60" s="446">
        <f t="shared" ca="1" si="17"/>
        <v>44.12</v>
      </c>
      <c r="T60" s="446">
        <f t="shared" ca="1" si="18"/>
        <v>50.5</v>
      </c>
      <c r="U60" s="446">
        <f t="shared" ca="1" si="19"/>
        <v>43.34</v>
      </c>
      <c r="V60" s="446">
        <f t="shared" ca="1" si="20"/>
        <v>24.01</v>
      </c>
      <c r="W60" s="446">
        <f t="shared" ca="1" si="21"/>
        <v>40.92</v>
      </c>
      <c r="X60" s="446">
        <f t="shared" ca="1" si="22"/>
        <v>44.09</v>
      </c>
      <c r="Y60" s="446">
        <f t="shared" ca="1" si="23"/>
        <v>47.6</v>
      </c>
      <c r="Z60" s="446">
        <f t="shared" ca="1" si="24"/>
        <v>42.89</v>
      </c>
      <c r="AA60" s="446">
        <f t="shared" ca="1" si="25"/>
        <v>24.01</v>
      </c>
      <c r="AB60" s="446">
        <f t="shared" ca="1" si="26"/>
        <v>40.57</v>
      </c>
      <c r="AC60" s="446">
        <f t="shared" ca="1" si="27"/>
        <v>43.14</v>
      </c>
      <c r="AD60" s="446">
        <f t="shared" ca="1" si="28"/>
        <v>47.6</v>
      </c>
      <c r="AE60" s="446">
        <f t="shared" ca="1" si="29"/>
        <v>43.87</v>
      </c>
      <c r="AF60" s="446">
        <f t="shared" ca="1" si="30"/>
        <v>20.63</v>
      </c>
      <c r="AG60" s="446">
        <f t="shared" ca="1" si="31"/>
        <v>28.95</v>
      </c>
      <c r="AH60" s="446">
        <f t="shared" ca="1" si="32"/>
        <v>29.95</v>
      </c>
      <c r="AI60" s="446">
        <f t="shared" ca="1" si="33"/>
        <v>34.07</v>
      </c>
      <c r="AJ60" s="446">
        <f t="shared" ca="1" si="34"/>
        <v>25.84</v>
      </c>
      <c r="AK60" s="446">
        <f t="shared" ca="1" si="35"/>
        <v>14.03</v>
      </c>
      <c r="AL60" s="446">
        <f t="shared" ca="1" si="36"/>
        <v>1.2869999999999999</v>
      </c>
      <c r="AM60" s="446">
        <f t="shared" ca="1" si="37"/>
        <v>1.3420000000000001</v>
      </c>
      <c r="AN60" s="446">
        <f t="shared" ca="1" si="38"/>
        <v>1.2170000000000001</v>
      </c>
      <c r="AO60" s="446">
        <f t="shared" ca="1" si="39"/>
        <v>0.54900000000000004</v>
      </c>
      <c r="AP60" s="446">
        <f t="shared" ca="1" si="40"/>
        <v>1.2</v>
      </c>
      <c r="AQ60" s="446">
        <f t="shared" ca="1" si="41"/>
        <v>1.286</v>
      </c>
      <c r="AR60" s="446">
        <f t="shared" ca="1" si="42"/>
        <v>1.1200000000000001</v>
      </c>
      <c r="AS60" s="446">
        <f t="shared" ca="1" si="43"/>
        <v>0.54200000000000004</v>
      </c>
      <c r="AT60" s="446">
        <f t="shared" ca="1" si="44"/>
        <v>5.08</v>
      </c>
      <c r="AU60" s="446">
        <f t="shared" ca="1" si="45"/>
        <v>5.3</v>
      </c>
      <c r="AV60" s="446">
        <f t="shared" ca="1" si="46"/>
        <v>4.99</v>
      </c>
      <c r="AW60" s="446">
        <f t="shared" ca="1" si="47"/>
        <v>2.3199999999999998</v>
      </c>
    </row>
    <row r="61" spans="1:49" ht="15.75" x14ac:dyDescent="0.25">
      <c r="A61" s="437" t="str">
        <f>INDEX(Оглавление, ROW())</f>
        <v>[Цены на приграничных АЗС 2017-2020 (7138827 v1).XLSM]Цены на 20.08.2018</v>
      </c>
      <c r="B61" s="438">
        <f t="shared" ca="1" si="0"/>
        <v>43332</v>
      </c>
      <c r="C61" s="446">
        <f t="shared" ca="1" si="1"/>
        <v>7.3361000000000001</v>
      </c>
      <c r="D61" s="446">
        <f t="shared" ca="1" si="2"/>
        <v>2.0508000000000002</v>
      </c>
      <c r="E61" s="446">
        <f t="shared" ca="1" si="3"/>
        <v>2.3365999999999998</v>
      </c>
      <c r="F61" s="446">
        <f t="shared" ca="1" si="4"/>
        <v>5.4074999999999998</v>
      </c>
      <c r="G61" s="446">
        <f t="shared" ca="1" si="5"/>
        <v>3.0609999999999999</v>
      </c>
      <c r="H61" s="446">
        <f t="shared" ca="1" si="6"/>
        <v>1.31</v>
      </c>
      <c r="I61" s="446">
        <f t="shared" ca="1" si="7"/>
        <v>1.39</v>
      </c>
      <c r="J61" s="446">
        <f t="shared" ca="1" si="8"/>
        <v>1.6</v>
      </c>
      <c r="K61" s="446">
        <f t="shared" ca="1" si="9"/>
        <v>1.39</v>
      </c>
      <c r="L61" s="446">
        <f t="shared" ca="1" si="10"/>
        <v>0.75</v>
      </c>
      <c r="M61" s="446">
        <f t="shared" ca="1" si="11"/>
        <v>41.76</v>
      </c>
      <c r="N61" s="446">
        <f t="shared" ca="1" si="12"/>
        <v>45.55</v>
      </c>
      <c r="O61" s="446">
        <f t="shared" ca="1" si="13"/>
        <v>50.94</v>
      </c>
      <c r="P61" s="446">
        <f t="shared" ca="1" si="14"/>
        <v>43.85</v>
      </c>
      <c r="Q61" s="446">
        <f t="shared" ca="1" si="15"/>
        <v>24.49</v>
      </c>
      <c r="R61" s="446">
        <f t="shared" ca="1" si="16"/>
        <v>41.06</v>
      </c>
      <c r="S61" s="446">
        <f t="shared" ca="1" si="17"/>
        <v>44.06</v>
      </c>
      <c r="T61" s="446">
        <f t="shared" ca="1" si="18"/>
        <v>50.94</v>
      </c>
      <c r="U61" s="446">
        <f t="shared" ca="1" si="19"/>
        <v>44.67</v>
      </c>
      <c r="V61" s="446">
        <f t="shared" ca="1" si="20"/>
        <v>24.49</v>
      </c>
      <c r="W61" s="446">
        <f t="shared" ca="1" si="21"/>
        <v>40.93</v>
      </c>
      <c r="X61" s="446">
        <f t="shared" ca="1" si="22"/>
        <v>44.11</v>
      </c>
      <c r="Y61" s="446">
        <f t="shared" ca="1" si="23"/>
        <v>47.6</v>
      </c>
      <c r="Z61" s="446">
        <f t="shared" ca="1" si="24"/>
        <v>42.83</v>
      </c>
      <c r="AA61" s="446">
        <f t="shared" ca="1" si="25"/>
        <v>24.49</v>
      </c>
      <c r="AB61" s="446">
        <f t="shared" ca="1" si="26"/>
        <v>40.479999999999997</v>
      </c>
      <c r="AC61" s="446">
        <f t="shared" ca="1" si="27"/>
        <v>44.04</v>
      </c>
      <c r="AD61" s="446">
        <f t="shared" ca="1" si="28"/>
        <v>47.6</v>
      </c>
      <c r="AE61" s="446">
        <f t="shared" ca="1" si="29"/>
        <v>44.73</v>
      </c>
      <c r="AF61" s="446">
        <f t="shared" ca="1" si="30"/>
        <v>24.49</v>
      </c>
      <c r="AG61" s="446">
        <f t="shared" ca="1" si="31"/>
        <v>29.2</v>
      </c>
      <c r="AH61" s="446">
        <f t="shared" ca="1" si="32"/>
        <v>30.2</v>
      </c>
      <c r="AI61" s="446">
        <f t="shared" ca="1" si="33"/>
        <v>34.369999999999997</v>
      </c>
      <c r="AJ61" s="446">
        <f t="shared" ca="1" si="34"/>
        <v>26.09</v>
      </c>
      <c r="AK61" s="446">
        <f t="shared" ca="1" si="35"/>
        <v>14.03</v>
      </c>
      <c r="AL61" s="446">
        <f t="shared" ca="1" si="36"/>
        <v>1.2869999999999999</v>
      </c>
      <c r="AM61" s="446">
        <f t="shared" ca="1" si="37"/>
        <v>1.3420000000000001</v>
      </c>
      <c r="AN61" s="446">
        <f t="shared" ca="1" si="38"/>
        <v>1.2070000000000001</v>
      </c>
      <c r="AO61" s="446">
        <f t="shared" ca="1" si="39"/>
        <v>0.53900000000000003</v>
      </c>
      <c r="AP61" s="446">
        <f t="shared" ca="1" si="40"/>
        <v>1.244</v>
      </c>
      <c r="AQ61" s="446">
        <f t="shared" ca="1" si="41"/>
        <v>1.3240000000000001</v>
      </c>
      <c r="AR61" s="446">
        <f t="shared" ca="1" si="42"/>
        <v>1.1240000000000001</v>
      </c>
      <c r="AS61" s="446">
        <f t="shared" ca="1" si="43"/>
        <v>0.54500000000000004</v>
      </c>
      <c r="AT61" s="446">
        <f t="shared" ca="1" si="44"/>
        <v>5.07</v>
      </c>
      <c r="AU61" s="446">
        <f t="shared" ca="1" si="45"/>
        <v>5.34</v>
      </c>
      <c r="AV61" s="446">
        <f t="shared" ca="1" si="46"/>
        <v>4.99</v>
      </c>
      <c r="AW61" s="446">
        <f t="shared" ca="1" si="47"/>
        <v>2.2799999999999998</v>
      </c>
    </row>
    <row r="62" spans="1:49" ht="15.75" x14ac:dyDescent="0.25">
      <c r="A62" s="437" t="str">
        <f>INDEX(Оглавление, ROW())</f>
        <v>[Цены на приграничных АЗС 2017-2020 (7138827 v1).XLSM]Цены на 27.08.2018</v>
      </c>
      <c r="B62" s="438">
        <f t="shared" ca="1" si="0"/>
        <v>43339</v>
      </c>
      <c r="C62" s="446">
        <f t="shared" ca="1" si="1"/>
        <v>7.3851000000000004</v>
      </c>
      <c r="D62" s="446">
        <f t="shared" ca="1" si="2"/>
        <v>2.056</v>
      </c>
      <c r="E62" s="446">
        <f t="shared" ca="1" si="3"/>
        <v>2.3753000000000002</v>
      </c>
      <c r="F62" s="446">
        <f t="shared" ca="1" si="4"/>
        <v>5.5517000000000003</v>
      </c>
      <c r="G62" s="446">
        <f t="shared" ca="1" si="5"/>
        <v>3.0327000000000002</v>
      </c>
      <c r="H62" s="446">
        <f t="shared" ca="1" si="6"/>
        <v>1.32</v>
      </c>
      <c r="I62" s="446">
        <f t="shared" ca="1" si="7"/>
        <v>1.4</v>
      </c>
      <c r="J62" s="446">
        <f t="shared" ca="1" si="8"/>
        <v>1.61</v>
      </c>
      <c r="K62" s="446">
        <f t="shared" ca="1" si="9"/>
        <v>1.4</v>
      </c>
      <c r="L62" s="446">
        <f t="shared" ca="1" si="10"/>
        <v>0.76</v>
      </c>
      <c r="M62" s="446">
        <f t="shared" ca="1" si="11"/>
        <v>41.83</v>
      </c>
      <c r="N62" s="446">
        <f t="shared" ca="1" si="12"/>
        <v>45.47</v>
      </c>
      <c r="O62" s="446">
        <f t="shared" ca="1" si="13"/>
        <v>50.94</v>
      </c>
      <c r="P62" s="446">
        <f t="shared" ca="1" si="14"/>
        <v>43.83</v>
      </c>
      <c r="Q62" s="446">
        <f t="shared" ca="1" si="15"/>
        <v>25.27</v>
      </c>
      <c r="R62" s="446">
        <f t="shared" ca="1" si="16"/>
        <v>41.12</v>
      </c>
      <c r="S62" s="446">
        <f t="shared" ca="1" si="17"/>
        <v>44.12</v>
      </c>
      <c r="T62" s="446">
        <f t="shared" ca="1" si="18"/>
        <v>50.94</v>
      </c>
      <c r="U62" s="446">
        <f t="shared" ca="1" si="19"/>
        <v>44.11</v>
      </c>
      <c r="V62" s="446">
        <f t="shared" ca="1" si="20"/>
        <v>25.27</v>
      </c>
      <c r="W62" s="446">
        <f t="shared" ca="1" si="21"/>
        <v>40.85</v>
      </c>
      <c r="X62" s="446">
        <f t="shared" ca="1" si="22"/>
        <v>44.06</v>
      </c>
      <c r="Y62" s="446">
        <f t="shared" ca="1" si="23"/>
        <v>47.6</v>
      </c>
      <c r="Z62" s="446">
        <f t="shared" ca="1" si="24"/>
        <v>43.56</v>
      </c>
      <c r="AA62" s="446">
        <f t="shared" ca="1" si="25"/>
        <v>25.27</v>
      </c>
      <c r="AB62" s="446">
        <f t="shared" ca="1" si="26"/>
        <v>40.85</v>
      </c>
      <c r="AC62" s="446">
        <f t="shared" ca="1" si="27"/>
        <v>44.06</v>
      </c>
      <c r="AD62" s="446">
        <f t="shared" ca="1" si="28"/>
        <v>47.6</v>
      </c>
      <c r="AE62" s="446">
        <f t="shared" ca="1" si="29"/>
        <v>43.56</v>
      </c>
      <c r="AF62" s="446">
        <f t="shared" ca="1" si="30"/>
        <v>25.27</v>
      </c>
      <c r="AG62" s="446">
        <f t="shared" ca="1" si="31"/>
        <v>29.2</v>
      </c>
      <c r="AH62" s="446">
        <f t="shared" ca="1" si="32"/>
        <v>30.2</v>
      </c>
      <c r="AI62" s="446">
        <f t="shared" ca="1" si="33"/>
        <v>34.520000000000003</v>
      </c>
      <c r="AJ62" s="446">
        <f t="shared" ca="1" si="34"/>
        <v>26.09</v>
      </c>
      <c r="AK62" s="446">
        <f t="shared" ca="1" si="35"/>
        <v>14.23</v>
      </c>
      <c r="AL62" s="446">
        <f t="shared" ca="1" si="36"/>
        <v>1.2869999999999999</v>
      </c>
      <c r="AM62" s="446">
        <f t="shared" ca="1" si="37"/>
        <v>1.3420000000000001</v>
      </c>
      <c r="AN62" s="446">
        <f t="shared" ca="1" si="38"/>
        <v>1.2070000000000001</v>
      </c>
      <c r="AO62" s="446">
        <f t="shared" ca="1" si="39"/>
        <v>0.53900000000000003</v>
      </c>
      <c r="AP62" s="446">
        <f t="shared" ca="1" si="40"/>
        <v>1.21</v>
      </c>
      <c r="AQ62" s="446">
        <f t="shared" ca="1" si="41"/>
        <v>1.294</v>
      </c>
      <c r="AR62" s="446">
        <f t="shared" ca="1" si="42"/>
        <v>1.125</v>
      </c>
      <c r="AS62" s="446">
        <f t="shared" ca="1" si="43"/>
        <v>0.54</v>
      </c>
      <c r="AT62" s="446">
        <f t="shared" ca="1" si="44"/>
        <v>5.08</v>
      </c>
      <c r="AU62" s="446">
        <f t="shared" ca="1" si="45"/>
        <v>5.35</v>
      </c>
      <c r="AV62" s="446">
        <f t="shared" ca="1" si="46"/>
        <v>5</v>
      </c>
      <c r="AW62" s="446">
        <f t="shared" ca="1" si="47"/>
        <v>2.27</v>
      </c>
    </row>
    <row r="63" spans="1:49" ht="15.75" x14ac:dyDescent="0.25">
      <c r="A63" s="437" t="str">
        <f>INDEX(Оглавление, ROW())</f>
        <v>[Цены на приграничных АЗС 2017-2020 (7138827 v1).XLSM]Цены на 03.09.2018</v>
      </c>
      <c r="B63" s="438">
        <f t="shared" ca="1" si="0"/>
        <v>43346</v>
      </c>
      <c r="C63" s="446">
        <f t="shared" ca="1" si="1"/>
        <v>7.3765999999999998</v>
      </c>
      <c r="D63" s="446">
        <f t="shared" ca="1" si="2"/>
        <v>2.0838999999999999</v>
      </c>
      <c r="E63" s="446">
        <f t="shared" ca="1" si="3"/>
        <v>2.4319999999999999</v>
      </c>
      <c r="F63" s="446">
        <f t="shared" ca="1" si="4"/>
        <v>5.6612999999999998</v>
      </c>
      <c r="G63" s="446">
        <f t="shared" ca="1" si="5"/>
        <v>3.0617999999999999</v>
      </c>
      <c r="H63" s="446">
        <f t="shared" ca="1" si="6"/>
        <v>1.33</v>
      </c>
      <c r="I63" s="446">
        <f t="shared" ca="1" si="7"/>
        <v>1.41</v>
      </c>
      <c r="J63" s="446">
        <f t="shared" ca="1" si="8"/>
        <v>1.62</v>
      </c>
      <c r="K63" s="446">
        <f t="shared" ca="1" si="9"/>
        <v>1.41</v>
      </c>
      <c r="L63" s="446">
        <f t="shared" ca="1" si="10"/>
        <v>0.76</v>
      </c>
      <c r="M63" s="446">
        <f t="shared" ca="1" si="11"/>
        <v>42.36</v>
      </c>
      <c r="N63" s="446">
        <f t="shared" ca="1" si="12"/>
        <v>46.18</v>
      </c>
      <c r="O63" s="446">
        <f t="shared" ca="1" si="13"/>
        <v>50.94</v>
      </c>
      <c r="P63" s="446">
        <f t="shared" ca="1" si="14"/>
        <v>44.54</v>
      </c>
      <c r="Q63" s="446">
        <f t="shared" ca="1" si="15"/>
        <v>25.27</v>
      </c>
      <c r="R63" s="446">
        <f t="shared" ca="1" si="16"/>
        <v>42.36</v>
      </c>
      <c r="S63" s="446">
        <f t="shared" ca="1" si="17"/>
        <v>46.18</v>
      </c>
      <c r="T63" s="446">
        <f t="shared" ca="1" si="18"/>
        <v>50.94</v>
      </c>
      <c r="U63" s="446">
        <f t="shared" ca="1" si="19"/>
        <v>44.54</v>
      </c>
      <c r="V63" s="446">
        <f t="shared" ca="1" si="20"/>
        <v>25.27</v>
      </c>
      <c r="W63" s="446">
        <f t="shared" ca="1" si="21"/>
        <v>42.36</v>
      </c>
      <c r="X63" s="446">
        <f t="shared" ca="1" si="22"/>
        <v>46.18</v>
      </c>
      <c r="Y63" s="446">
        <f t="shared" ca="1" si="23"/>
        <v>47.6</v>
      </c>
      <c r="Z63" s="446">
        <f t="shared" ca="1" si="24"/>
        <v>44.54</v>
      </c>
      <c r="AA63" s="446">
        <f t="shared" ca="1" si="25"/>
        <v>25.27</v>
      </c>
      <c r="AB63" s="446">
        <f t="shared" ca="1" si="26"/>
        <v>42.36</v>
      </c>
      <c r="AC63" s="446">
        <f t="shared" ca="1" si="27"/>
        <v>46.18</v>
      </c>
      <c r="AD63" s="446">
        <f t="shared" ca="1" si="28"/>
        <v>47.6</v>
      </c>
      <c r="AE63" s="446">
        <f t="shared" ca="1" si="29"/>
        <v>44.54</v>
      </c>
      <c r="AF63" s="446">
        <f t="shared" ca="1" si="30"/>
        <v>25.27</v>
      </c>
      <c r="AG63" s="446">
        <f t="shared" ca="1" si="31"/>
        <v>29.45</v>
      </c>
      <c r="AH63" s="446">
        <f t="shared" ca="1" si="32"/>
        <v>30.45</v>
      </c>
      <c r="AI63" s="446">
        <f t="shared" ca="1" si="33"/>
        <v>35.020000000000003</v>
      </c>
      <c r="AJ63" s="446">
        <f t="shared" ca="1" si="34"/>
        <v>26.34</v>
      </c>
      <c r="AK63" s="446">
        <f t="shared" ca="1" si="35"/>
        <v>14.07</v>
      </c>
      <c r="AL63" s="446">
        <f t="shared" ca="1" si="36"/>
        <v>1.2969999999999999</v>
      </c>
      <c r="AM63" s="446">
        <f t="shared" ca="1" si="37"/>
        <v>1.3520000000000001</v>
      </c>
      <c r="AN63" s="446">
        <f t="shared" ca="1" si="38"/>
        <v>1.2170000000000001</v>
      </c>
      <c r="AO63" s="446">
        <f t="shared" ca="1" si="39"/>
        <v>0.51900000000000002</v>
      </c>
      <c r="AP63" s="446">
        <f t="shared" ca="1" si="40"/>
        <v>1.21</v>
      </c>
      <c r="AQ63" s="446">
        <f t="shared" ca="1" si="41"/>
        <v>1.296</v>
      </c>
      <c r="AR63" s="446">
        <f t="shared" ca="1" si="42"/>
        <v>1.1299999999999999</v>
      </c>
      <c r="AS63" s="446">
        <f t="shared" ca="1" si="43"/>
        <v>0.54</v>
      </c>
      <c r="AT63" s="446">
        <f t="shared" ca="1" si="44"/>
        <v>5.0999999999999996</v>
      </c>
      <c r="AU63" s="446">
        <f t="shared" ca="1" si="45"/>
        <v>5.31</v>
      </c>
      <c r="AV63" s="446">
        <f t="shared" ca="1" si="46"/>
        <v>5.01</v>
      </c>
      <c r="AW63" s="446">
        <f t="shared" ca="1" si="47"/>
        <v>2.2599999999999998</v>
      </c>
    </row>
    <row r="64" spans="1:49" ht="15.75" x14ac:dyDescent="0.25">
      <c r="A64" s="437" t="str">
        <f>INDEX(Оглавление, ROW())</f>
        <v>[Цены на приграничных АЗС 2017-2020 (7138827 v1).XLSM]Цены  на 10.09.2018</v>
      </c>
      <c r="B64" s="438">
        <f t="shared" ca="1" si="0"/>
        <v>43353</v>
      </c>
      <c r="C64" s="446">
        <f t="shared" ca="1" si="1"/>
        <v>7.6585999999999999</v>
      </c>
      <c r="D64" s="446">
        <f t="shared" ca="1" si="2"/>
        <v>2.1604999999999999</v>
      </c>
      <c r="E64" s="446">
        <f t="shared" ca="1" si="3"/>
        <v>2.4977</v>
      </c>
      <c r="F64" s="446">
        <f t="shared" ca="1" si="4"/>
        <v>5.7977999999999996</v>
      </c>
      <c r="G64" s="446">
        <f t="shared" ca="1" si="5"/>
        <v>3.0928</v>
      </c>
      <c r="H64" s="446">
        <f t="shared" ca="1" si="6"/>
        <v>1.34</v>
      </c>
      <c r="I64" s="446">
        <f t="shared" ca="1" si="7"/>
        <v>1.42</v>
      </c>
      <c r="J64" s="446">
        <f t="shared" ca="1" si="8"/>
        <v>1.63</v>
      </c>
      <c r="K64" s="446">
        <f t="shared" ca="1" si="9"/>
        <v>1.42</v>
      </c>
      <c r="L64" s="446">
        <f t="shared" ca="1" si="10"/>
        <v>0.76</v>
      </c>
      <c r="M64" s="446">
        <f t="shared" ca="1" si="11"/>
        <v>41.45</v>
      </c>
      <c r="N64" s="446">
        <f t="shared" ca="1" si="12"/>
        <v>45.23</v>
      </c>
      <c r="O64" s="446">
        <f t="shared" ca="1" si="13"/>
        <v>49.73</v>
      </c>
      <c r="P64" s="446">
        <f t="shared" ca="1" si="14"/>
        <v>43.81</v>
      </c>
      <c r="Q64" s="446">
        <f t="shared" ca="1" si="15"/>
        <v>25.42</v>
      </c>
      <c r="R64" s="446">
        <f t="shared" ca="1" si="16"/>
        <v>41.12</v>
      </c>
      <c r="S64" s="446">
        <f t="shared" ca="1" si="17"/>
        <v>44.11</v>
      </c>
      <c r="T64" s="446">
        <f t="shared" ca="1" si="18"/>
        <v>47.6</v>
      </c>
      <c r="U64" s="446">
        <f t="shared" ca="1" si="19"/>
        <v>43.57</v>
      </c>
      <c r="V64" s="446">
        <f t="shared" ca="1" si="20"/>
        <v>25.21</v>
      </c>
      <c r="W64" s="446">
        <f t="shared" ca="1" si="21"/>
        <v>40.89</v>
      </c>
      <c r="X64" s="446">
        <f t="shared" ca="1" si="22"/>
        <v>44.21</v>
      </c>
      <c r="Y64" s="446">
        <f t="shared" ca="1" si="23"/>
        <v>47.6</v>
      </c>
      <c r="Z64" s="446">
        <f t="shared" ca="1" si="24"/>
        <v>43.34</v>
      </c>
      <c r="AA64" s="446">
        <f t="shared" ca="1" si="25"/>
        <v>25.42</v>
      </c>
      <c r="AB64" s="446">
        <f t="shared" ca="1" si="26"/>
        <v>40.56</v>
      </c>
      <c r="AC64" s="446">
        <f t="shared" ca="1" si="27"/>
        <v>43.13</v>
      </c>
      <c r="AD64" s="446">
        <f t="shared" ca="1" si="28"/>
        <v>47.6</v>
      </c>
      <c r="AE64" s="446">
        <f t="shared" ca="1" si="29"/>
        <v>43.87</v>
      </c>
      <c r="AF64" s="446">
        <f t="shared" ca="1" si="30"/>
        <v>22.12</v>
      </c>
      <c r="AG64" s="446">
        <f t="shared" ca="1" si="31"/>
        <v>29.7</v>
      </c>
      <c r="AH64" s="446">
        <f t="shared" ca="1" si="32"/>
        <v>30.7</v>
      </c>
      <c r="AI64" s="446">
        <f t="shared" ca="1" si="33"/>
        <v>35.22</v>
      </c>
      <c r="AJ64" s="446">
        <f t="shared" ca="1" si="34"/>
        <v>26.59</v>
      </c>
      <c r="AK64" s="446">
        <f t="shared" ca="1" si="35"/>
        <v>14.23</v>
      </c>
      <c r="AL64" s="446">
        <f t="shared" ca="1" si="36"/>
        <v>1.2969999999999999</v>
      </c>
      <c r="AM64" s="446">
        <f t="shared" ca="1" si="37"/>
        <v>1.3520000000000001</v>
      </c>
      <c r="AN64" s="446">
        <f t="shared" ca="1" si="38"/>
        <v>1.2170000000000001</v>
      </c>
      <c r="AO64" s="446">
        <f t="shared" ca="1" si="39"/>
        <v>0.51900000000000002</v>
      </c>
      <c r="AP64" s="446">
        <f t="shared" ca="1" si="40"/>
        <v>1.21</v>
      </c>
      <c r="AQ64" s="446">
        <f t="shared" ca="1" si="41"/>
        <v>1.355</v>
      </c>
      <c r="AR64" s="446">
        <f t="shared" ca="1" si="42"/>
        <v>1.1399999999999999</v>
      </c>
      <c r="AS64" s="446">
        <f t="shared" ca="1" si="43"/>
        <v>0.54</v>
      </c>
      <c r="AT64" s="446">
        <f t="shared" ca="1" si="44"/>
        <v>5.0999999999999996</v>
      </c>
      <c r="AU64" s="446">
        <f t="shared" ca="1" si="45"/>
        <v>5.41</v>
      </c>
      <c r="AV64" s="446">
        <f t="shared" ca="1" si="46"/>
        <v>5.04</v>
      </c>
      <c r="AW64" s="446">
        <f t="shared" ca="1" si="47"/>
        <v>2.2599999999999998</v>
      </c>
    </row>
    <row r="65" spans="1:49" ht="15.75" x14ac:dyDescent="0.25">
      <c r="A65" s="437" t="str">
        <f>INDEX(Оглавление, ROW())</f>
        <v>[Цены на приграничных АЗС 2017-2020 (7138827 v1).XLSM]Цены на 17.09.2018</v>
      </c>
      <c r="B65" s="438">
        <f t="shared" ca="1" si="0"/>
        <v>43360</v>
      </c>
      <c r="C65" s="446">
        <f t="shared" ca="1" si="1"/>
        <v>7.5961999999999996</v>
      </c>
      <c r="D65" s="446">
        <f t="shared" ca="1" si="2"/>
        <v>2.1387</v>
      </c>
      <c r="E65" s="446">
        <f t="shared" ca="1" si="3"/>
        <v>2.4996</v>
      </c>
      <c r="F65" s="446">
        <f t="shared" ca="1" si="4"/>
        <v>5.8106999999999998</v>
      </c>
      <c r="G65" s="446">
        <f t="shared" ca="1" si="5"/>
        <v>3.129</v>
      </c>
      <c r="H65" s="446">
        <f t="shared" ca="1" si="6"/>
        <v>1.35</v>
      </c>
      <c r="I65" s="446">
        <f t="shared" ca="1" si="7"/>
        <v>1.43</v>
      </c>
      <c r="J65" s="446">
        <f t="shared" ca="1" si="8"/>
        <v>1.64</v>
      </c>
      <c r="K65" s="446">
        <f t="shared" ca="1" si="9"/>
        <v>1.43</v>
      </c>
      <c r="L65" s="446">
        <f t="shared" ca="1" si="10"/>
        <v>0.77</v>
      </c>
      <c r="M65" s="446">
        <f t="shared" ca="1" si="11"/>
        <v>41.76</v>
      </c>
      <c r="N65" s="446">
        <f t="shared" ca="1" si="12"/>
        <v>45.42</v>
      </c>
      <c r="O65" s="446">
        <f t="shared" ca="1" si="13"/>
        <v>49.88</v>
      </c>
      <c r="P65" s="446">
        <f t="shared" ca="1" si="14"/>
        <v>44</v>
      </c>
      <c r="Q65" s="446">
        <f t="shared" ca="1" si="15"/>
        <v>25.56</v>
      </c>
      <c r="R65" s="446">
        <f t="shared" ca="1" si="16"/>
        <v>41.12</v>
      </c>
      <c r="S65" s="446">
        <f t="shared" ca="1" si="17"/>
        <v>44.12</v>
      </c>
      <c r="T65" s="446">
        <f t="shared" ca="1" si="18"/>
        <v>47.6</v>
      </c>
      <c r="U65" s="446">
        <f t="shared" ca="1" si="19"/>
        <v>43.64</v>
      </c>
      <c r="V65" s="446">
        <f t="shared" ca="1" si="20"/>
        <v>25.21</v>
      </c>
      <c r="W65" s="446">
        <f t="shared" ca="1" si="21"/>
        <v>40.93</v>
      </c>
      <c r="X65" s="446">
        <f t="shared" ca="1" si="22"/>
        <v>44.11</v>
      </c>
      <c r="Y65" s="446">
        <f t="shared" ca="1" si="23"/>
        <v>47.6</v>
      </c>
      <c r="Z65" s="446">
        <f t="shared" ca="1" si="24"/>
        <v>43.44</v>
      </c>
      <c r="AA65" s="446">
        <f t="shared" ca="1" si="25"/>
        <v>25.42</v>
      </c>
      <c r="AB65" s="446">
        <f t="shared" ca="1" si="26"/>
        <v>40.58</v>
      </c>
      <c r="AC65" s="446">
        <f t="shared" ca="1" si="27"/>
        <v>43.63</v>
      </c>
      <c r="AD65" s="446">
        <f t="shared" ca="1" si="28"/>
        <v>47.6</v>
      </c>
      <c r="AE65" s="446">
        <f t="shared" ca="1" si="29"/>
        <v>43.95</v>
      </c>
      <c r="AF65" s="446">
        <f t="shared" ca="1" si="30"/>
        <v>22.12</v>
      </c>
      <c r="AG65" s="446">
        <f t="shared" ca="1" si="31"/>
        <v>30.25</v>
      </c>
      <c r="AH65" s="446">
        <f t="shared" ca="1" si="32"/>
        <v>30.95</v>
      </c>
      <c r="AI65" s="446">
        <f t="shared" ca="1" si="33"/>
        <v>36.090000000000003</v>
      </c>
      <c r="AJ65" s="446">
        <f t="shared" ca="1" si="34"/>
        <v>26.84</v>
      </c>
      <c r="AK65" s="446">
        <f t="shared" ca="1" si="35"/>
        <v>14.62</v>
      </c>
      <c r="AL65" s="446">
        <f t="shared" ca="1" si="36"/>
        <v>1.3089999999999999</v>
      </c>
      <c r="AM65" s="446">
        <f t="shared" ca="1" si="37"/>
        <v>1.3640000000000001</v>
      </c>
      <c r="AN65" s="446">
        <f t="shared" ca="1" si="38"/>
        <v>1.2290000000000001</v>
      </c>
      <c r="AO65" s="446">
        <f t="shared" ca="1" si="39"/>
        <v>0.53900000000000003</v>
      </c>
      <c r="AP65" s="446">
        <f t="shared" ca="1" si="40"/>
        <v>1.206</v>
      </c>
      <c r="AQ65" s="446">
        <f t="shared" ca="1" si="41"/>
        <v>1.2749999999999999</v>
      </c>
      <c r="AR65" s="446">
        <f t="shared" ca="1" si="42"/>
        <v>1.1259999999999999</v>
      </c>
      <c r="AS65" s="446">
        <f t="shared" ca="1" si="43"/>
        <v>0.58899999999999997</v>
      </c>
      <c r="AT65" s="446">
        <f t="shared" ca="1" si="44"/>
        <v>5.1100000000000003</v>
      </c>
      <c r="AU65" s="446">
        <f t="shared" ca="1" si="45"/>
        <v>5.34</v>
      </c>
      <c r="AV65" s="446">
        <f t="shared" ca="1" si="46"/>
        <v>5.05</v>
      </c>
      <c r="AW65" s="446">
        <f t="shared" ca="1" si="47"/>
        <v>2.2799999999999998</v>
      </c>
    </row>
    <row r="66" spans="1:49" ht="15.75" x14ac:dyDescent="0.25">
      <c r="A66" s="437" t="str">
        <f>INDEX(Оглавление, ROW())</f>
        <v>[Цены на приграничных АЗС 2017-2020 (7138827 v1).XLSM]Цены на 24.09.2018</v>
      </c>
      <c r="B66" s="438">
        <f t="shared" ca="1" si="0"/>
        <v>43367</v>
      </c>
      <c r="C66" s="446">
        <f t="shared" ca="1" si="1"/>
        <v>7.4111000000000002</v>
      </c>
      <c r="D66" s="446">
        <f t="shared" ca="1" si="2"/>
        <v>2.0788000000000002</v>
      </c>
      <c r="E66" s="446">
        <f t="shared" ca="1" si="3"/>
        <v>2.4500000000000002</v>
      </c>
      <c r="F66" s="446">
        <f t="shared" ca="1" si="4"/>
        <v>5.7084000000000001</v>
      </c>
      <c r="G66" s="446">
        <f t="shared" ca="1" si="5"/>
        <v>3.1389</v>
      </c>
      <c r="H66" s="446">
        <f t="shared" ref="H66:H78" ca="1" si="48">INDIRECT("'"&amp;$A66&amp;"'"&amp;"!$b$19")</f>
        <v>1.36</v>
      </c>
      <c r="I66" s="446">
        <f t="shared" ref="I66:I78" ca="1" si="49">INDIRECT("'"&amp;$A66&amp;"'"&amp;"!$e$19")</f>
        <v>1.44</v>
      </c>
      <c r="J66" s="446">
        <f t="shared" ref="J66:J78" ca="1" si="50">INDIRECT("'"&amp;$A66&amp;"'"&amp;"!$h$19")</f>
        <v>1.55</v>
      </c>
      <c r="K66" s="446">
        <f t="shared" ref="K66:K78" ca="1" si="51">INDIRECT("'"&amp;$A66&amp;"'"&amp;"!$k$19")</f>
        <v>1.44</v>
      </c>
      <c r="L66" s="446">
        <f t="shared" ref="L66:L78" ca="1" si="52">INDIRECT("'"&amp;$A66&amp;"'"&amp;"!$n$19")</f>
        <v>0.77</v>
      </c>
      <c r="M66" s="446">
        <f t="shared" ref="M66:M78" ca="1" si="53">INDIRECT("'"&amp;$A66&amp;"'"&amp;"!$b$20")</f>
        <v>41.74</v>
      </c>
      <c r="N66" s="446">
        <f t="shared" ref="N66:N78" ca="1" si="54">INDIRECT("'"&amp;$A66&amp;"'"&amp;"!$e$20")</f>
        <v>45.3</v>
      </c>
      <c r="O66" s="446">
        <f t="shared" ref="O66:O78" ca="1" si="55">INDIRECT("'"&amp;$A66&amp;"'"&amp;"!$h$20")</f>
        <v>49.88</v>
      </c>
      <c r="P66" s="446">
        <f t="shared" ref="P66:P78" ca="1" si="56">INDIRECT("'"&amp;$A66&amp;"'"&amp;"!$k$20")</f>
        <v>44.06</v>
      </c>
      <c r="Q66" s="446">
        <f t="shared" ref="Q66:Q78" ca="1" si="57">INDIRECT("'"&amp;$A66&amp;"'"&amp;"!$n$20")</f>
        <v>26.32</v>
      </c>
      <c r="R66" s="446">
        <f t="shared" ref="R66:R78" ca="1" si="58">INDIRECT("'"&amp;$A66&amp;"'"&amp;"!$b$21")</f>
        <v>41.09</v>
      </c>
      <c r="S66" s="446">
        <f t="shared" ref="S66:S78" ca="1" si="59">INDIRECT("'"&amp;$A66&amp;"'"&amp;"!$e$21")</f>
        <v>44.09</v>
      </c>
      <c r="T66" s="446">
        <f t="shared" ref="T66:T78" ca="1" si="60">INDIRECT("'"&amp;$A66&amp;"'"&amp;"!$h$21")</f>
        <v>47.6</v>
      </c>
      <c r="U66" s="446">
        <f t="shared" ref="U66:U78" ca="1" si="61">INDIRECT("'"&amp;$A66&amp;"'"&amp;"!$k$21")</f>
        <v>43.54</v>
      </c>
      <c r="V66" s="446">
        <f t="shared" ref="V66:V78" ca="1" si="62">INDIRECT("'"&amp;$A66&amp;"'"&amp;"!$n$21")</f>
        <v>25.08</v>
      </c>
      <c r="W66" s="446">
        <f t="shared" ref="W66:W78" ca="1" si="63">INDIRECT("'"&amp;$A66&amp;"'"&amp;"!$b$22")</f>
        <v>40.94</v>
      </c>
      <c r="X66" s="446">
        <f t="shared" ref="X66:X78" ca="1" si="64">INDIRECT("'"&amp;$A66&amp;"'"&amp;"!$e$22")</f>
        <v>44.06</v>
      </c>
      <c r="Y66" s="446">
        <f t="shared" ref="Y66:Y78" ca="1" si="65">INDIRECT("'"&amp;$A66&amp;"'"&amp;"!$h$22")</f>
        <v>47.6</v>
      </c>
      <c r="Z66" s="446">
        <f t="shared" ref="Z66:Z78" ca="1" si="66">INDIRECT("'"&amp;$A66&amp;"'"&amp;"!$k$22")</f>
        <v>43.9</v>
      </c>
      <c r="AA66" s="446">
        <f t="shared" ref="AA66:AA78" ca="1" si="67">INDIRECT("'"&amp;$A66&amp;"'"&amp;"!$n$22")</f>
        <v>25.08</v>
      </c>
      <c r="AB66" s="446">
        <f t="shared" ref="AB66:AB78" ca="1" si="68">INDIRECT("'"&amp;$A66&amp;"'"&amp;"!$b$23")</f>
        <v>40.51</v>
      </c>
      <c r="AC66" s="446">
        <f t="shared" ref="AC66:AC78" ca="1" si="69">INDIRECT("'"&amp;$A66&amp;"'"&amp;"!$e$23")</f>
        <v>43.05</v>
      </c>
      <c r="AD66" s="446">
        <f t="shared" ref="AD66:AD78" ca="1" si="70">INDIRECT("'"&amp;$A66&amp;"'"&amp;"!$h$23")</f>
        <v>47.6</v>
      </c>
      <c r="AE66" s="446">
        <f t="shared" ref="AE66:AE78" ca="1" si="71">INDIRECT("'"&amp;$A66&amp;"'"&amp;"!$k$23")</f>
        <v>43.78</v>
      </c>
      <c r="AF66" s="446">
        <f t="shared" ref="AF66:AF78" ca="1" si="72">INDIRECT("'"&amp;$A66&amp;"'"&amp;"!$n$23")</f>
        <v>22.41</v>
      </c>
      <c r="AG66" s="446">
        <f t="shared" ref="AG66:AG78" ca="1" si="73">INDIRECT("'"&amp;$A66&amp;"'"&amp;"!$b$24")</f>
        <v>30.25</v>
      </c>
      <c r="AH66" s="446">
        <f t="shared" ref="AH66:AH78" ca="1" si="74">INDIRECT("'"&amp;$A66&amp;"'"&amp;"!$e$24")</f>
        <v>30.95</v>
      </c>
      <c r="AI66" s="446">
        <f t="shared" ref="AI66:AI78" ca="1" si="75">INDIRECT("'"&amp;$A66&amp;"'"&amp;"!$h$24")</f>
        <v>36.090000000000003</v>
      </c>
      <c r="AJ66" s="446">
        <f t="shared" ref="AJ66:AJ78" ca="1" si="76">INDIRECT("'"&amp;$A66&amp;"'"&amp;"!$k$24")</f>
        <v>26.84</v>
      </c>
      <c r="AK66" s="446">
        <f t="shared" ref="AK66:AK78" ca="1" si="77">INDIRECT("'"&amp;$A66&amp;"'"&amp;"!$n$24")</f>
        <v>14.94</v>
      </c>
      <c r="AL66" s="446">
        <f t="shared" ref="AL66:AL78" ca="1" si="78">INDIRECT("'"&amp;$A66&amp;"'"&amp;"!$e$25")</f>
        <v>1.3089999999999999</v>
      </c>
      <c r="AM66" s="446">
        <f t="shared" ref="AM66:AM78" ca="1" si="79">INDIRECT("'"&amp;$A66&amp;"'"&amp;"!$h$25")</f>
        <v>1.3640000000000001</v>
      </c>
      <c r="AN66" s="446">
        <f t="shared" ref="AN66:AN78" ca="1" si="80">INDIRECT("'"&amp;$A66&amp;"'"&amp;"!$k$25")</f>
        <v>1.2290000000000001</v>
      </c>
      <c r="AO66" s="446">
        <f t="shared" ref="AO66:AO78" ca="1" si="81">INDIRECT("'"&amp;$A66&amp;"'"&amp;"!$n$25")</f>
        <v>0.53900000000000003</v>
      </c>
      <c r="AP66" s="446">
        <f t="shared" ref="AP66:AP78" ca="1" si="82">INDIRECT("'"&amp;$A66&amp;"'"&amp;"!$e$26")</f>
        <v>1.206</v>
      </c>
      <c r="AQ66" s="446">
        <f t="shared" ref="AQ66:AQ78" ca="1" si="83">INDIRECT("'"&amp;$A66&amp;"'"&amp;"!$h$26")</f>
        <v>1.2749999999999999</v>
      </c>
      <c r="AR66" s="446">
        <f t="shared" ref="AR66:AR78" ca="1" si="84">INDIRECT("'"&amp;$A66&amp;"'"&amp;"!$k$26")</f>
        <v>1.1539999999999999</v>
      </c>
      <c r="AS66" s="446">
        <f t="shared" ref="AS66:AS78" ca="1" si="85">INDIRECT("'"&amp;$A66&amp;"'"&amp;"!$n$26")</f>
        <v>0.58899999999999997</v>
      </c>
      <c r="AT66" s="446">
        <f t="shared" ref="AT66:AT78" ca="1" si="86">INDIRECT("'"&amp;$A66&amp;"'"&amp;"!$e$27")</f>
        <v>5.1100000000000003</v>
      </c>
      <c r="AU66" s="446">
        <f t="shared" ref="AU66:AU78" ca="1" si="87">INDIRECT("'"&amp;$A66&amp;"'"&amp;"!$h$27")</f>
        <v>5.31</v>
      </c>
      <c r="AV66" s="446">
        <f t="shared" ref="AV66:AV78" ca="1" si="88">INDIRECT("'"&amp;$A66&amp;"'"&amp;"!$k$27")</f>
        <v>5.04</v>
      </c>
      <c r="AW66" s="446">
        <f t="shared" ref="AW66:AW78" ca="1" si="89">INDIRECT("'"&amp;$A66&amp;"'"&amp;"!$n$27")</f>
        <v>2.3199999999999998</v>
      </c>
    </row>
    <row r="67" spans="1:49" ht="15.75" x14ac:dyDescent="0.25">
      <c r="A67" s="437" t="str">
        <f>INDEX(Оглавление, ROW())</f>
        <v>[Цены на приграничных АЗС 2017-2020 (7138827 v1).XLSM]Цены на 01.10.2018</v>
      </c>
      <c r="B67" s="438">
        <f t="shared" ref="B67:B130" ca="1" si="90">INDIRECT("'"&amp;A67&amp;"'"&amp;"!D2")</f>
        <v>43374</v>
      </c>
      <c r="C67" s="446">
        <f t="shared" ca="1" si="1"/>
        <v>7.4725000000000001</v>
      </c>
      <c r="D67" s="446">
        <f t="shared" ca="1" si="2"/>
        <v>2.1120999999999999</v>
      </c>
      <c r="E67" s="446">
        <f t="shared" ca="1" si="3"/>
        <v>2.4537</v>
      </c>
      <c r="F67" s="446">
        <f t="shared" ca="1" si="4"/>
        <v>5.7266000000000004</v>
      </c>
      <c r="G67" s="446">
        <f t="shared" ca="1" si="5"/>
        <v>3.2187000000000001</v>
      </c>
      <c r="H67" s="446">
        <f t="shared" ca="1" si="48"/>
        <v>1.36</v>
      </c>
      <c r="I67" s="446">
        <f t="shared" ca="1" si="49"/>
        <v>1.44</v>
      </c>
      <c r="J67" s="446">
        <f t="shared" ca="1" si="50"/>
        <v>1.55</v>
      </c>
      <c r="K67" s="446">
        <f t="shared" ca="1" si="51"/>
        <v>1.44</v>
      </c>
      <c r="L67" s="446">
        <f t="shared" ca="1" si="52"/>
        <v>0.77</v>
      </c>
      <c r="M67" s="446">
        <f t="shared" ca="1" si="53"/>
        <v>41.74</v>
      </c>
      <c r="N67" s="446">
        <f t="shared" ca="1" si="54"/>
        <v>45.32</v>
      </c>
      <c r="O67" s="446">
        <f t="shared" ca="1" si="55"/>
        <v>49.55</v>
      </c>
      <c r="P67" s="446">
        <f t="shared" ca="1" si="56"/>
        <v>44.11</v>
      </c>
      <c r="Q67" s="446">
        <f t="shared" ca="1" si="57"/>
        <v>25.67</v>
      </c>
      <c r="R67" s="446">
        <f t="shared" ca="1" si="58"/>
        <v>41</v>
      </c>
      <c r="S67" s="446">
        <f t="shared" ca="1" si="59"/>
        <v>43.52</v>
      </c>
      <c r="T67" s="446">
        <f t="shared" ca="1" si="60"/>
        <v>47.2</v>
      </c>
      <c r="U67" s="446">
        <f t="shared" ca="1" si="61"/>
        <v>44.28</v>
      </c>
      <c r="V67" s="446">
        <f t="shared" ca="1" si="62"/>
        <v>25.08</v>
      </c>
      <c r="W67" s="446">
        <f t="shared" ca="1" si="63"/>
        <v>40.869999999999997</v>
      </c>
      <c r="X67" s="446">
        <f t="shared" ca="1" si="64"/>
        <v>43.83</v>
      </c>
      <c r="Y67" s="446">
        <f t="shared" ca="1" si="65"/>
        <v>48.03</v>
      </c>
      <c r="Z67" s="446">
        <f t="shared" ca="1" si="66"/>
        <v>43.87</v>
      </c>
      <c r="AA67" s="446">
        <f t="shared" ca="1" si="67"/>
        <v>25.94</v>
      </c>
      <c r="AB67" s="446">
        <f t="shared" ca="1" si="68"/>
        <v>41.08</v>
      </c>
      <c r="AC67" s="446">
        <f t="shared" ca="1" si="69"/>
        <v>44.12</v>
      </c>
      <c r="AD67" s="446">
        <f t="shared" ca="1" si="70"/>
        <v>47.59</v>
      </c>
      <c r="AE67" s="446">
        <f t="shared" ca="1" si="71"/>
        <v>44.62</v>
      </c>
      <c r="AF67" s="446">
        <f t="shared" ca="1" si="72"/>
        <v>23.9</v>
      </c>
      <c r="AG67" s="446">
        <f t="shared" ca="1" si="73"/>
        <v>30.73</v>
      </c>
      <c r="AH67" s="446">
        <f t="shared" ca="1" si="74"/>
        <v>31.43</v>
      </c>
      <c r="AI67" s="446">
        <f t="shared" ca="1" si="75"/>
        <v>36.869999999999997</v>
      </c>
      <c r="AJ67" s="446">
        <f t="shared" ca="1" si="76"/>
        <v>27.32</v>
      </c>
      <c r="AK67" s="446">
        <f t="shared" ca="1" si="77"/>
        <v>15.98</v>
      </c>
      <c r="AL67" s="446">
        <f t="shared" ca="1" si="78"/>
        <v>1.3069999999999999</v>
      </c>
      <c r="AM67" s="446">
        <f t="shared" ca="1" si="79"/>
        <v>1.3620000000000001</v>
      </c>
      <c r="AN67" s="446">
        <f t="shared" ca="1" si="80"/>
        <v>1.2270000000000001</v>
      </c>
      <c r="AO67" s="446">
        <f t="shared" ca="1" si="81"/>
        <v>0.55900000000000005</v>
      </c>
      <c r="AP67" s="446">
        <f t="shared" ca="1" si="82"/>
        <v>1.206</v>
      </c>
      <c r="AQ67" s="446">
        <f t="shared" ca="1" si="83"/>
        <v>1.2749999999999999</v>
      </c>
      <c r="AR67" s="446">
        <f t="shared" ca="1" si="84"/>
        <v>1.145</v>
      </c>
      <c r="AS67" s="446">
        <f t="shared" ca="1" si="85"/>
        <v>0.59899999999999998</v>
      </c>
      <c r="AT67" s="446">
        <f t="shared" ca="1" si="86"/>
        <v>5.0999999999999996</v>
      </c>
      <c r="AU67" s="446">
        <f t="shared" ca="1" si="87"/>
        <v>5.33</v>
      </c>
      <c r="AV67" s="446">
        <f t="shared" ca="1" si="88"/>
        <v>5.04</v>
      </c>
      <c r="AW67" s="446">
        <f t="shared" ca="1" si="89"/>
        <v>2.36</v>
      </c>
    </row>
    <row r="68" spans="1:49" ht="15.75" x14ac:dyDescent="0.25">
      <c r="A68" s="437" t="str">
        <f>INDEX(Оглавление, ROW())</f>
        <v>[Цены на приграничных АЗС 2017-2020 (7138827 v1).XLSM]Цены на 08.10.2018</v>
      </c>
      <c r="B68" s="438">
        <f t="shared" ca="1" si="90"/>
        <v>43381</v>
      </c>
      <c r="C68" s="446">
        <f t="shared" ca="1" si="1"/>
        <v>7.6753</v>
      </c>
      <c r="D68" s="446">
        <f t="shared" ca="1" si="2"/>
        <v>2.1556000000000002</v>
      </c>
      <c r="E68" s="446">
        <f t="shared" ca="1" si="3"/>
        <v>2.4790999999999999</v>
      </c>
      <c r="F68" s="446">
        <f t="shared" ca="1" si="4"/>
        <v>5.7476000000000003</v>
      </c>
      <c r="G68" s="446">
        <f t="shared" ca="1" si="5"/>
        <v>3.2385999999999999</v>
      </c>
      <c r="H68" s="446">
        <f t="shared" ca="1" si="48"/>
        <v>1.38</v>
      </c>
      <c r="I68" s="446">
        <f t="shared" ca="1" si="49"/>
        <v>1.46</v>
      </c>
      <c r="J68" s="446">
        <f t="shared" ca="1" si="50"/>
        <v>1.57</v>
      </c>
      <c r="K68" s="446">
        <f t="shared" ca="1" si="51"/>
        <v>1.46</v>
      </c>
      <c r="L68" s="446">
        <f t="shared" ca="1" si="52"/>
        <v>0.77</v>
      </c>
      <c r="M68" s="446">
        <f t="shared" ca="1" si="53"/>
        <v>41.85</v>
      </c>
      <c r="N68" s="446">
        <f t="shared" ca="1" si="54"/>
        <v>45.59</v>
      </c>
      <c r="O68" s="446">
        <f t="shared" ca="1" si="55"/>
        <v>50.89</v>
      </c>
      <c r="P68" s="446">
        <f t="shared" ca="1" si="56"/>
        <v>44.16</v>
      </c>
      <c r="Q68" s="446">
        <f t="shared" ca="1" si="57"/>
        <v>26.31</v>
      </c>
      <c r="R68" s="446">
        <f t="shared" ca="1" si="58"/>
        <v>41.3</v>
      </c>
      <c r="S68" s="446">
        <f t="shared" ca="1" si="59"/>
        <v>44.47</v>
      </c>
      <c r="T68" s="446">
        <f t="shared" ca="1" si="60"/>
        <v>48.5</v>
      </c>
      <c r="U68" s="446">
        <f t="shared" ca="1" si="61"/>
        <v>44.35</v>
      </c>
      <c r="V68" s="446">
        <f t="shared" ca="1" si="62"/>
        <v>25.08</v>
      </c>
      <c r="W68" s="446">
        <f t="shared" ca="1" si="63"/>
        <v>40.83</v>
      </c>
      <c r="X68" s="446">
        <f t="shared" ca="1" si="64"/>
        <v>44.03</v>
      </c>
      <c r="Y68" s="446">
        <f t="shared" ca="1" si="65"/>
        <v>47.6</v>
      </c>
      <c r="Z68" s="446">
        <f t="shared" ca="1" si="66"/>
        <v>43.03</v>
      </c>
      <c r="AA68" s="446">
        <f t="shared" ca="1" si="67"/>
        <v>25.94</v>
      </c>
      <c r="AB68" s="446">
        <f t="shared" ca="1" si="68"/>
        <v>40.549999999999997</v>
      </c>
      <c r="AC68" s="446">
        <f t="shared" ca="1" si="69"/>
        <v>43.11</v>
      </c>
      <c r="AD68" s="446">
        <f t="shared" ca="1" si="70"/>
        <v>49.9</v>
      </c>
      <c r="AE68" s="446">
        <f t="shared" ca="1" si="71"/>
        <v>45.06</v>
      </c>
      <c r="AF68" s="446">
        <f t="shared" ca="1" si="72"/>
        <v>23.9</v>
      </c>
      <c r="AG68" s="446">
        <f t="shared" ca="1" si="73"/>
        <v>31</v>
      </c>
      <c r="AH68" s="446">
        <f t="shared" ca="1" si="74"/>
        <v>31.7</v>
      </c>
      <c r="AI68" s="446">
        <f t="shared" ca="1" si="75"/>
        <v>37.590000000000003</v>
      </c>
      <c r="AJ68" s="446">
        <f t="shared" ca="1" si="76"/>
        <v>27.84</v>
      </c>
      <c r="AK68" s="446">
        <f t="shared" ca="1" si="77"/>
        <v>15.47</v>
      </c>
      <c r="AL68" s="446">
        <f t="shared" ca="1" si="78"/>
        <v>1.3069999999999999</v>
      </c>
      <c r="AM68" s="446">
        <f t="shared" ca="1" si="79"/>
        <v>1.3620000000000001</v>
      </c>
      <c r="AN68" s="446">
        <f t="shared" ca="1" si="80"/>
        <v>1.2270000000000001</v>
      </c>
      <c r="AO68" s="446">
        <f t="shared" ca="1" si="81"/>
        <v>0.55900000000000005</v>
      </c>
      <c r="AP68" s="446">
        <f t="shared" ca="1" si="82"/>
        <v>1.244</v>
      </c>
      <c r="AQ68" s="446">
        <f t="shared" ca="1" si="83"/>
        <v>1.365</v>
      </c>
      <c r="AR68" s="446">
        <f t="shared" ca="1" si="84"/>
        <v>1.212</v>
      </c>
      <c r="AS68" s="446">
        <f t="shared" ca="1" si="85"/>
        <v>0.63</v>
      </c>
      <c r="AT68" s="446">
        <f t="shared" ca="1" si="86"/>
        <v>5.0869999999999997</v>
      </c>
      <c r="AU68" s="446">
        <f t="shared" ca="1" si="87"/>
        <v>5.298</v>
      </c>
      <c r="AV68" s="446">
        <f t="shared" ca="1" si="88"/>
        <v>5.0780000000000003</v>
      </c>
      <c r="AW68" s="446">
        <f t="shared" ca="1" si="89"/>
        <v>2.42</v>
      </c>
    </row>
    <row r="69" spans="1:49" ht="15.75" x14ac:dyDescent="0.25">
      <c r="A69" s="437" t="str">
        <f>INDEX(Оглавление, ROW())</f>
        <v>[Цены на приграничных АЗС 2017-2020 (7138827 v1).XLSM]Цены на 15.10.2018</v>
      </c>
      <c r="B69" s="438">
        <f t="shared" ca="1" si="90"/>
        <v>43388</v>
      </c>
      <c r="C69" s="446">
        <f t="shared" ca="1" si="1"/>
        <v>7.6150000000000002</v>
      </c>
      <c r="D69" s="446">
        <f t="shared" ca="1" si="2"/>
        <v>2.1261000000000001</v>
      </c>
      <c r="E69" s="446">
        <f t="shared" ca="1" si="3"/>
        <v>2.4662999999999999</v>
      </c>
      <c r="F69" s="446">
        <f t="shared" ca="1" si="4"/>
        <v>5.7285000000000004</v>
      </c>
      <c r="G69" s="446">
        <f t="shared" ca="1" si="5"/>
        <v>3.2227000000000001</v>
      </c>
      <c r="H69" s="446">
        <f t="shared" ca="1" si="48"/>
        <v>1.38</v>
      </c>
      <c r="I69" s="446">
        <f t="shared" ca="1" si="49"/>
        <v>1.46</v>
      </c>
      <c r="J69" s="446">
        <f t="shared" ca="1" si="50"/>
        <v>1.57</v>
      </c>
      <c r="K69" s="446">
        <f t="shared" ca="1" si="51"/>
        <v>1.46</v>
      </c>
      <c r="L69" s="446">
        <f t="shared" ca="1" si="52"/>
        <v>0.77</v>
      </c>
      <c r="M69" s="446">
        <f t="shared" ca="1" si="53"/>
        <v>41.95</v>
      </c>
      <c r="N69" s="446">
        <f t="shared" ca="1" si="54"/>
        <v>45.59</v>
      </c>
      <c r="O69" s="446">
        <f t="shared" ca="1" si="55"/>
        <v>50.89</v>
      </c>
      <c r="P69" s="446">
        <f t="shared" ca="1" si="56"/>
        <v>44.46</v>
      </c>
      <c r="Q69" s="446">
        <f t="shared" ca="1" si="57"/>
        <v>26.03</v>
      </c>
      <c r="R69" s="446">
        <f t="shared" ca="1" si="58"/>
        <v>41.3</v>
      </c>
      <c r="S69" s="446">
        <f t="shared" ca="1" si="59"/>
        <v>44.47</v>
      </c>
      <c r="T69" s="446">
        <f t="shared" ca="1" si="60"/>
        <v>48.5</v>
      </c>
      <c r="U69" s="446">
        <f t="shared" ca="1" si="61"/>
        <v>44.35</v>
      </c>
      <c r="V69" s="446">
        <f t="shared" ca="1" si="62"/>
        <v>25.08</v>
      </c>
      <c r="W69" s="446">
        <f t="shared" ca="1" si="63"/>
        <v>41.06</v>
      </c>
      <c r="X69" s="446">
        <f t="shared" ca="1" si="64"/>
        <v>44.26</v>
      </c>
      <c r="Y69" s="446">
        <f t="shared" ca="1" si="65"/>
        <v>47.6</v>
      </c>
      <c r="Z69" s="446">
        <f t="shared" ca="1" si="66"/>
        <v>43.87</v>
      </c>
      <c r="AA69" s="446">
        <f t="shared" ca="1" si="67"/>
        <v>25.94</v>
      </c>
      <c r="AB69" s="446">
        <f t="shared" ca="1" si="68"/>
        <v>40.549999999999997</v>
      </c>
      <c r="AC69" s="446">
        <f t="shared" ca="1" si="69"/>
        <v>43.11</v>
      </c>
      <c r="AD69" s="446">
        <f t="shared" ca="1" si="70"/>
        <v>49.95</v>
      </c>
      <c r="AE69" s="446">
        <f t="shared" ca="1" si="71"/>
        <v>45.06</v>
      </c>
      <c r="AF69" s="446">
        <f t="shared" ca="1" si="72"/>
        <v>23.9</v>
      </c>
      <c r="AG69" s="446">
        <f t="shared" ca="1" si="73"/>
        <v>31</v>
      </c>
      <c r="AH69" s="446">
        <f t="shared" ca="1" si="74"/>
        <v>31.7</v>
      </c>
      <c r="AI69" s="446">
        <f t="shared" ca="1" si="75"/>
        <v>37.590000000000003</v>
      </c>
      <c r="AJ69" s="446">
        <f t="shared" ca="1" si="76"/>
        <v>27.84</v>
      </c>
      <c r="AK69" s="446">
        <f t="shared" ca="1" si="77"/>
        <v>15.87</v>
      </c>
      <c r="AL69" s="446">
        <f t="shared" ca="1" si="78"/>
        <v>1.327</v>
      </c>
      <c r="AM69" s="446">
        <f t="shared" ca="1" si="79"/>
        <v>1.3819999999999999</v>
      </c>
      <c r="AN69" s="446">
        <f t="shared" ca="1" si="80"/>
        <v>1.2669999999999999</v>
      </c>
      <c r="AO69" s="446">
        <f t="shared" ca="1" si="81"/>
        <v>0.57499999999999996</v>
      </c>
      <c r="AP69" s="446">
        <f t="shared" ca="1" si="82"/>
        <v>1.25</v>
      </c>
      <c r="AQ69" s="446">
        <f t="shared" ca="1" si="83"/>
        <v>1.385</v>
      </c>
      <c r="AR69" s="446">
        <f t="shared" ca="1" si="84"/>
        <v>1.22</v>
      </c>
      <c r="AS69" s="446">
        <f t="shared" ca="1" si="85"/>
        <v>0.62</v>
      </c>
      <c r="AT69" s="446">
        <f t="shared" ca="1" si="86"/>
        <v>5.0999999999999996</v>
      </c>
      <c r="AU69" s="446">
        <f t="shared" ca="1" si="87"/>
        <v>5.42</v>
      </c>
      <c r="AV69" s="446">
        <f t="shared" ca="1" si="88"/>
        <v>5.14</v>
      </c>
      <c r="AW69" s="446">
        <f t="shared" ca="1" si="89"/>
        <v>2.4500000000000002</v>
      </c>
    </row>
    <row r="70" spans="1:49" ht="15.75" x14ac:dyDescent="0.25">
      <c r="A70" s="437" t="str">
        <f>INDEX(Оглавление, ROW())</f>
        <v>[Цены на приграничных АЗС 2017-2020 (7138827 v1).XLSM]Цены на 22.10.2018</v>
      </c>
      <c r="B70" s="438">
        <f t="shared" ca="1" si="90"/>
        <v>43395</v>
      </c>
      <c r="C70" s="446">
        <f t="shared" ca="1" si="1"/>
        <v>7.492</v>
      </c>
      <c r="D70" s="446">
        <f t="shared" ca="1" si="2"/>
        <v>2.1120000000000001</v>
      </c>
      <c r="E70" s="446">
        <f t="shared" ca="1" si="3"/>
        <v>2.4169999999999998</v>
      </c>
      <c r="F70" s="446">
        <f t="shared" ca="1" si="4"/>
        <v>5.6246</v>
      </c>
      <c r="G70" s="446">
        <f t="shared" ca="1" si="5"/>
        <v>3.2096</v>
      </c>
      <c r="H70" s="446">
        <f t="shared" ca="1" si="48"/>
        <v>1.39</v>
      </c>
      <c r="I70" s="446">
        <f t="shared" ca="1" si="49"/>
        <v>1.48</v>
      </c>
      <c r="J70" s="446">
        <f t="shared" ca="1" si="50"/>
        <v>1.59</v>
      </c>
      <c r="K70" s="446">
        <f t="shared" ca="1" si="51"/>
        <v>1.48</v>
      </c>
      <c r="L70" s="446">
        <f t="shared" ca="1" si="52"/>
        <v>0.79</v>
      </c>
      <c r="M70" s="446">
        <f t="shared" ca="1" si="53"/>
        <v>41.73</v>
      </c>
      <c r="N70" s="446">
        <f t="shared" ca="1" si="54"/>
        <v>45.31</v>
      </c>
      <c r="O70" s="446">
        <f t="shared" ca="1" si="55"/>
        <v>49.55</v>
      </c>
      <c r="P70" s="446">
        <f t="shared" ca="1" si="56"/>
        <v>44.1</v>
      </c>
      <c r="Q70" s="446">
        <f t="shared" ca="1" si="57"/>
        <v>25.67</v>
      </c>
      <c r="R70" s="446">
        <f t="shared" ca="1" si="58"/>
        <v>41.36</v>
      </c>
      <c r="S70" s="446">
        <f t="shared" ca="1" si="59"/>
        <v>44.81</v>
      </c>
      <c r="T70" s="446">
        <f t="shared" ca="1" si="60"/>
        <v>48.5</v>
      </c>
      <c r="U70" s="446">
        <f t="shared" ca="1" si="61"/>
        <v>45.65</v>
      </c>
      <c r="V70" s="446">
        <f t="shared" ca="1" si="62"/>
        <v>25.08</v>
      </c>
      <c r="W70" s="446">
        <f t="shared" ca="1" si="63"/>
        <v>40.96</v>
      </c>
      <c r="X70" s="446">
        <f t="shared" ca="1" si="64"/>
        <v>44.18</v>
      </c>
      <c r="Y70" s="446">
        <f t="shared" ca="1" si="65"/>
        <v>47.6</v>
      </c>
      <c r="Z70" s="446">
        <f t="shared" ca="1" si="66"/>
        <v>43.66</v>
      </c>
      <c r="AA70" s="446">
        <f t="shared" ca="1" si="67"/>
        <v>25.94</v>
      </c>
      <c r="AB70" s="446">
        <f t="shared" ca="1" si="68"/>
        <v>40.590000000000003</v>
      </c>
      <c r="AC70" s="446">
        <f t="shared" ca="1" si="69"/>
        <v>43.18</v>
      </c>
      <c r="AD70" s="446">
        <f t="shared" ca="1" si="70"/>
        <v>49.9</v>
      </c>
      <c r="AE70" s="446">
        <f t="shared" ca="1" si="71"/>
        <v>45.74</v>
      </c>
      <c r="AF70" s="446">
        <f t="shared" ca="1" si="72"/>
        <v>23.9</v>
      </c>
      <c r="AG70" s="446">
        <f t="shared" ca="1" si="73"/>
        <v>30.75</v>
      </c>
      <c r="AH70" s="446">
        <f t="shared" ca="1" si="74"/>
        <v>31.45</v>
      </c>
      <c r="AI70" s="446">
        <f t="shared" ca="1" si="75"/>
        <v>37.090000000000003</v>
      </c>
      <c r="AJ70" s="446">
        <f t="shared" ca="1" si="76"/>
        <v>27.84</v>
      </c>
      <c r="AK70" s="446">
        <f t="shared" ca="1" si="77"/>
        <v>15.92</v>
      </c>
      <c r="AL70" s="446">
        <f t="shared" ca="1" si="78"/>
        <v>1.327</v>
      </c>
      <c r="AM70" s="446">
        <f t="shared" ca="1" si="79"/>
        <v>1.3819999999999999</v>
      </c>
      <c r="AN70" s="446">
        <f t="shared" ca="1" si="80"/>
        <v>1.2769999999999999</v>
      </c>
      <c r="AO70" s="446">
        <f t="shared" ca="1" si="81"/>
        <v>0.58499999999999996</v>
      </c>
      <c r="AP70" s="446">
        <f t="shared" ca="1" si="82"/>
        <v>1.234</v>
      </c>
      <c r="AQ70" s="446">
        <f t="shared" ca="1" si="83"/>
        <v>1.385</v>
      </c>
      <c r="AR70" s="446">
        <f t="shared" ca="1" si="84"/>
        <v>1.204</v>
      </c>
      <c r="AS70" s="446">
        <f t="shared" ca="1" si="85"/>
        <v>0.62</v>
      </c>
      <c r="AT70" s="446">
        <f t="shared" ca="1" si="86"/>
        <v>5.09</v>
      </c>
      <c r="AU70" s="446">
        <f t="shared" ca="1" si="87"/>
        <v>5.35</v>
      </c>
      <c r="AV70" s="446">
        <f t="shared" ca="1" si="88"/>
        <v>5.15</v>
      </c>
      <c r="AW70" s="446">
        <f t="shared" ca="1" si="89"/>
        <v>2.46</v>
      </c>
    </row>
    <row r="71" spans="1:49" ht="15.75" x14ac:dyDescent="0.25">
      <c r="A71" s="437" t="str">
        <f>INDEX(Оглавление, ROW())</f>
        <v>[Цены на приграничных АЗС 2017-2020 (7138827 v1).XLSM]Цены на 29.10.2018</v>
      </c>
      <c r="B71" s="438">
        <f t="shared" ca="1" si="90"/>
        <v>43402</v>
      </c>
      <c r="C71" s="446">
        <f t="shared" ca="1" si="1"/>
        <v>7.4668999999999999</v>
      </c>
      <c r="D71" s="446">
        <f t="shared" ca="1" si="2"/>
        <v>2.1109</v>
      </c>
      <c r="E71" s="446">
        <f t="shared" ca="1" si="3"/>
        <v>2.3997000000000002</v>
      </c>
      <c r="F71" s="446">
        <f t="shared" ca="1" si="4"/>
        <v>5.5548000000000002</v>
      </c>
      <c r="G71" s="446">
        <f t="shared" ca="1" si="5"/>
        <v>3.2164999999999999</v>
      </c>
      <c r="H71" s="446">
        <f t="shared" ca="1" si="48"/>
        <v>1.4</v>
      </c>
      <c r="I71" s="446">
        <f t="shared" ca="1" si="49"/>
        <v>1.49</v>
      </c>
      <c r="J71" s="446">
        <f t="shared" ca="1" si="50"/>
        <v>1.6</v>
      </c>
      <c r="K71" s="446">
        <f t="shared" ca="1" si="51"/>
        <v>1.49</v>
      </c>
      <c r="L71" s="446">
        <f t="shared" ca="1" si="52"/>
        <v>0.8</v>
      </c>
      <c r="M71" s="446">
        <f t="shared" ca="1" si="53"/>
        <v>42.05</v>
      </c>
      <c r="N71" s="446">
        <f t="shared" ca="1" si="54"/>
        <v>45.79</v>
      </c>
      <c r="O71" s="446">
        <f t="shared" ca="1" si="55"/>
        <v>50.56</v>
      </c>
      <c r="P71" s="446">
        <f t="shared" ca="1" si="56"/>
        <v>44.81</v>
      </c>
      <c r="Q71" s="446">
        <f t="shared" ca="1" si="57"/>
        <v>26.1</v>
      </c>
      <c r="R71" s="446">
        <f t="shared" ca="1" si="58"/>
        <v>41.4</v>
      </c>
      <c r="S71" s="446">
        <f t="shared" ca="1" si="59"/>
        <v>44.58</v>
      </c>
      <c r="T71" s="446">
        <f t="shared" ca="1" si="60"/>
        <v>48.5</v>
      </c>
      <c r="U71" s="446">
        <f t="shared" ca="1" si="61"/>
        <v>47.77</v>
      </c>
      <c r="V71" s="446">
        <f t="shared" ca="1" si="62"/>
        <v>26.4</v>
      </c>
      <c r="W71" s="446">
        <f t="shared" ca="1" si="63"/>
        <v>41.13</v>
      </c>
      <c r="X71" s="446">
        <f t="shared" ca="1" si="64"/>
        <v>44.47</v>
      </c>
      <c r="Y71" s="446">
        <f t="shared" ca="1" si="65"/>
        <v>47.6</v>
      </c>
      <c r="Z71" s="446">
        <f t="shared" ca="1" si="66"/>
        <v>43.85</v>
      </c>
      <c r="AA71" s="446">
        <f t="shared" ca="1" si="67"/>
        <v>25.94</v>
      </c>
      <c r="AB71" s="446">
        <f t="shared" ca="1" si="68"/>
        <v>40.67</v>
      </c>
      <c r="AC71" s="446">
        <f t="shared" ca="1" si="69"/>
        <v>43.21</v>
      </c>
      <c r="AD71" s="446">
        <f t="shared" ca="1" si="70"/>
        <v>49.9</v>
      </c>
      <c r="AE71" s="446">
        <f t="shared" ca="1" si="71"/>
        <v>44.02</v>
      </c>
      <c r="AF71" s="446">
        <f t="shared" ca="1" si="72"/>
        <v>23.9</v>
      </c>
      <c r="AG71" s="446">
        <f t="shared" ca="1" si="73"/>
        <v>30.75</v>
      </c>
      <c r="AH71" s="446">
        <f t="shared" ca="1" si="74"/>
        <v>31.45</v>
      </c>
      <c r="AI71" s="446">
        <f t="shared" ca="1" si="75"/>
        <v>37.090000000000003</v>
      </c>
      <c r="AJ71" s="446">
        <f t="shared" ca="1" si="76"/>
        <v>27.99</v>
      </c>
      <c r="AK71" s="446">
        <f t="shared" ca="1" si="77"/>
        <v>16.07</v>
      </c>
      <c r="AL71" s="446">
        <f t="shared" ca="1" si="78"/>
        <v>1.327</v>
      </c>
      <c r="AM71" s="446">
        <f t="shared" ca="1" si="79"/>
        <v>1.3819999999999999</v>
      </c>
      <c r="AN71" s="446">
        <f t="shared" ca="1" si="80"/>
        <v>1.2769999999999999</v>
      </c>
      <c r="AO71" s="446">
        <f t="shared" ca="1" si="81"/>
        <v>0.58499999999999996</v>
      </c>
      <c r="AP71" s="446">
        <f t="shared" ca="1" si="82"/>
        <v>1.234</v>
      </c>
      <c r="AQ71" s="446">
        <f t="shared" ca="1" si="83"/>
        <v>1.325</v>
      </c>
      <c r="AR71" s="446">
        <f t="shared" ca="1" si="84"/>
        <v>1.204</v>
      </c>
      <c r="AS71" s="446">
        <f t="shared" ca="1" si="85"/>
        <v>0.62</v>
      </c>
      <c r="AT71" s="446">
        <f t="shared" ca="1" si="86"/>
        <v>5.0999999999999996</v>
      </c>
      <c r="AU71" s="446">
        <f t="shared" ca="1" si="87"/>
        <v>5.36</v>
      </c>
      <c r="AV71" s="446">
        <f t="shared" ca="1" si="88"/>
        <v>5.18</v>
      </c>
      <c r="AW71" s="446">
        <f t="shared" ca="1" si="89"/>
        <v>2.5</v>
      </c>
    </row>
    <row r="72" spans="1:49" ht="15.75" x14ac:dyDescent="0.25">
      <c r="A72" s="437" t="str">
        <f>INDEX(Оглавление, ROW())</f>
        <v>[Цены на приграничных АЗС 2017-2020 (7138827 v1).XLSM]Цены на 05.11.2018</v>
      </c>
      <c r="B72" s="438">
        <f t="shared" ca="1" si="90"/>
        <v>43409</v>
      </c>
      <c r="C72" s="446">
        <f t="shared" ca="1" si="1"/>
        <v>7.5256999999999996</v>
      </c>
      <c r="D72" s="446">
        <f t="shared" ca="1" si="2"/>
        <v>2.1171000000000002</v>
      </c>
      <c r="E72" s="446">
        <f t="shared" ca="1" si="3"/>
        <v>2.4207000000000001</v>
      </c>
      <c r="F72" s="446">
        <f t="shared" ca="1" si="4"/>
        <v>5.5986000000000002</v>
      </c>
      <c r="G72" s="446">
        <f t="shared" ca="1" si="5"/>
        <v>3.2271999999999998</v>
      </c>
      <c r="H72" s="446">
        <f t="shared" ca="1" si="48"/>
        <v>1.4</v>
      </c>
      <c r="I72" s="446">
        <f t="shared" ca="1" si="49"/>
        <v>1.49</v>
      </c>
      <c r="J72" s="446">
        <f t="shared" ca="1" si="50"/>
        <v>1.6</v>
      </c>
      <c r="K72" s="446">
        <f t="shared" ca="1" si="51"/>
        <v>1.49</v>
      </c>
      <c r="L72" s="446">
        <f t="shared" ca="1" si="52"/>
        <v>0.8</v>
      </c>
      <c r="M72" s="446">
        <f t="shared" ca="1" si="53"/>
        <v>42.1</v>
      </c>
      <c r="N72" s="446">
        <f t="shared" ca="1" si="54"/>
        <v>45.79</v>
      </c>
      <c r="O72" s="446">
        <f t="shared" ca="1" si="55"/>
        <v>51.66</v>
      </c>
      <c r="P72" s="446">
        <f t="shared" ca="1" si="56"/>
        <v>45.15</v>
      </c>
      <c r="Q72" s="446">
        <f t="shared" ca="1" si="57"/>
        <v>26.15</v>
      </c>
      <c r="R72" s="446">
        <f t="shared" ca="1" si="58"/>
        <v>41.3</v>
      </c>
      <c r="S72" s="446">
        <f t="shared" ca="1" si="59"/>
        <v>44.64</v>
      </c>
      <c r="T72" s="446">
        <f t="shared" ca="1" si="60"/>
        <v>48.5</v>
      </c>
      <c r="U72" s="446">
        <f t="shared" ca="1" si="61"/>
        <v>44.93</v>
      </c>
      <c r="V72" s="446">
        <f t="shared" ca="1" si="62"/>
        <v>25.94</v>
      </c>
      <c r="W72" s="446">
        <f t="shared" ca="1" si="63"/>
        <v>41</v>
      </c>
      <c r="X72" s="446">
        <f t="shared" ca="1" si="64"/>
        <v>44.26</v>
      </c>
      <c r="Y72" s="446">
        <f t="shared" ca="1" si="65"/>
        <v>47.6</v>
      </c>
      <c r="Z72" s="446">
        <f t="shared" ca="1" si="66"/>
        <v>43.42</v>
      </c>
      <c r="AA72" s="446">
        <f t="shared" ca="1" si="67"/>
        <v>25.94</v>
      </c>
      <c r="AB72" s="446">
        <f t="shared" ca="1" si="68"/>
        <v>40.549999999999997</v>
      </c>
      <c r="AC72" s="446">
        <f t="shared" ca="1" si="69"/>
        <v>44.22</v>
      </c>
      <c r="AD72" s="446">
        <f t="shared" ca="1" si="70"/>
        <v>49.9</v>
      </c>
      <c r="AE72" s="446">
        <f t="shared" ca="1" si="71"/>
        <v>43.78</v>
      </c>
      <c r="AF72" s="446">
        <f t="shared" ca="1" si="72"/>
        <v>23.9</v>
      </c>
      <c r="AG72" s="446">
        <f t="shared" ca="1" si="73"/>
        <v>30.5</v>
      </c>
      <c r="AH72" s="446">
        <f t="shared" ca="1" si="74"/>
        <v>31.2</v>
      </c>
      <c r="AI72" s="446">
        <f t="shared" ca="1" si="75"/>
        <v>36.54</v>
      </c>
      <c r="AJ72" s="446">
        <f t="shared" ca="1" si="76"/>
        <v>27.99</v>
      </c>
      <c r="AK72" s="446">
        <f t="shared" ca="1" si="77"/>
        <v>16.420000000000002</v>
      </c>
      <c r="AL72" s="446">
        <f t="shared" ca="1" si="78"/>
        <v>1.3169999999999999</v>
      </c>
      <c r="AM72" s="446">
        <f t="shared" ca="1" si="79"/>
        <v>1.3720000000000001</v>
      </c>
      <c r="AN72" s="446">
        <f t="shared" ca="1" si="80"/>
        <v>1.2869999999999999</v>
      </c>
      <c r="AO72" s="446">
        <f t="shared" ca="1" si="81"/>
        <v>0.59499999999999997</v>
      </c>
      <c r="AP72" s="446">
        <f t="shared" ca="1" si="82"/>
        <v>1.1439999999999999</v>
      </c>
      <c r="AQ72" s="446">
        <f t="shared" ca="1" si="83"/>
        <v>1.2549999999999999</v>
      </c>
      <c r="AR72" s="446">
        <f t="shared" ca="1" si="84"/>
        <v>1.1240000000000001</v>
      </c>
      <c r="AS72" s="446">
        <f t="shared" ca="1" si="85"/>
        <v>0.62</v>
      </c>
      <c r="AT72" s="446">
        <f t="shared" ca="1" si="86"/>
        <v>5.07</v>
      </c>
      <c r="AU72" s="446">
        <f t="shared" ca="1" si="87"/>
        <v>5.28</v>
      </c>
      <c r="AV72" s="446">
        <f t="shared" ca="1" si="88"/>
        <v>5.25</v>
      </c>
      <c r="AW72" s="446">
        <f t="shared" ca="1" si="89"/>
        <v>2.5299999999999998</v>
      </c>
    </row>
    <row r="73" spans="1:49" ht="15.75" x14ac:dyDescent="0.25">
      <c r="A73" s="437" t="str">
        <f>INDEX(Оглавление, ROW())</f>
        <v>[Цены на приграничных АЗС 2017-2020 (7138827 v1).XLSM]Цены на 12.11.2018</v>
      </c>
      <c r="B73" s="438">
        <f t="shared" ca="1" si="90"/>
        <v>43416</v>
      </c>
      <c r="C73" s="446">
        <f t="shared" ca="1" si="1"/>
        <v>7.6786000000000003</v>
      </c>
      <c r="D73" s="446">
        <f t="shared" ca="1" si="2"/>
        <v>2.1431</v>
      </c>
      <c r="E73" s="446">
        <f t="shared" ca="1" si="3"/>
        <v>2.4150999999999998</v>
      </c>
      <c r="F73" s="446">
        <f t="shared" ca="1" si="4"/>
        <v>5.6130000000000004</v>
      </c>
      <c r="G73" s="446">
        <f t="shared" ca="1" si="5"/>
        <v>3.1745999999999999</v>
      </c>
      <c r="H73" s="446">
        <f t="shared" ca="1" si="48"/>
        <v>1.41</v>
      </c>
      <c r="I73" s="446">
        <f t="shared" ca="1" si="49"/>
        <v>1.5</v>
      </c>
      <c r="J73" s="446">
        <f t="shared" ca="1" si="50"/>
        <v>1.61</v>
      </c>
      <c r="K73" s="446">
        <f t="shared" ca="1" si="51"/>
        <v>1.5</v>
      </c>
      <c r="L73" s="446">
        <f t="shared" ca="1" si="52"/>
        <v>0.8</v>
      </c>
      <c r="M73" s="446">
        <f t="shared" ca="1" si="53"/>
        <v>41.99</v>
      </c>
      <c r="N73" s="446">
        <f t="shared" ca="1" si="54"/>
        <v>45.66</v>
      </c>
      <c r="O73" s="446">
        <f t="shared" ca="1" si="55"/>
        <v>49.86</v>
      </c>
      <c r="P73" s="446">
        <f t="shared" ca="1" si="56"/>
        <v>44.76</v>
      </c>
      <c r="Q73" s="446">
        <f t="shared" ca="1" si="57"/>
        <v>26.3</v>
      </c>
      <c r="R73" s="446">
        <f t="shared" ca="1" si="58"/>
        <v>41.25</v>
      </c>
      <c r="S73" s="446">
        <f t="shared" ca="1" si="59"/>
        <v>44.39</v>
      </c>
      <c r="T73" s="446">
        <f t="shared" ca="1" si="60"/>
        <v>48.5</v>
      </c>
      <c r="U73" s="446">
        <f t="shared" ca="1" si="61"/>
        <v>45.1</v>
      </c>
      <c r="V73" s="446">
        <f t="shared" ca="1" si="62"/>
        <v>25.94</v>
      </c>
      <c r="W73" s="446">
        <f t="shared" ca="1" si="63"/>
        <v>41</v>
      </c>
      <c r="X73" s="446">
        <f t="shared" ca="1" si="64"/>
        <v>44.26</v>
      </c>
      <c r="Y73" s="446">
        <f t="shared" ca="1" si="65"/>
        <v>47.6</v>
      </c>
      <c r="Z73" s="446">
        <f t="shared" ca="1" si="66"/>
        <v>43.42</v>
      </c>
      <c r="AA73" s="446">
        <f t="shared" ca="1" si="67"/>
        <v>25.94</v>
      </c>
      <c r="AB73" s="446">
        <f t="shared" ca="1" si="68"/>
        <v>40.57</v>
      </c>
      <c r="AC73" s="446">
        <f t="shared" ca="1" si="69"/>
        <v>44.09</v>
      </c>
      <c r="AD73" s="446">
        <f t="shared" ca="1" si="70"/>
        <v>49.9</v>
      </c>
      <c r="AE73" s="446">
        <f t="shared" ca="1" si="71"/>
        <v>43.97</v>
      </c>
      <c r="AF73" s="446">
        <f t="shared" ca="1" si="72"/>
        <v>23.9</v>
      </c>
      <c r="AG73" s="446">
        <f t="shared" ca="1" si="73"/>
        <v>30.25</v>
      </c>
      <c r="AH73" s="446">
        <f t="shared" ca="1" si="74"/>
        <v>30.95</v>
      </c>
      <c r="AI73" s="446">
        <f t="shared" ca="1" si="75"/>
        <v>36.24</v>
      </c>
      <c r="AJ73" s="446">
        <f t="shared" ca="1" si="76"/>
        <v>27.84</v>
      </c>
      <c r="AK73" s="446">
        <f t="shared" ca="1" si="77"/>
        <v>16.37</v>
      </c>
      <c r="AL73" s="446">
        <f t="shared" ca="1" si="78"/>
        <v>1.3069999999999999</v>
      </c>
      <c r="AM73" s="446">
        <f t="shared" ca="1" si="79"/>
        <v>1.3620000000000001</v>
      </c>
      <c r="AN73" s="446">
        <f t="shared" ca="1" si="80"/>
        <v>1.2869999999999999</v>
      </c>
      <c r="AO73" s="446">
        <f t="shared" ca="1" si="81"/>
        <v>0.59499999999999997</v>
      </c>
      <c r="AP73" s="446">
        <f t="shared" ca="1" si="82"/>
        <v>1.194</v>
      </c>
      <c r="AQ73" s="446">
        <f t="shared" ca="1" si="83"/>
        <v>1.335</v>
      </c>
      <c r="AR73" s="446">
        <f t="shared" ca="1" si="84"/>
        <v>1.1839999999999999</v>
      </c>
      <c r="AS73" s="446">
        <f t="shared" ca="1" si="85"/>
        <v>0.61299999999999999</v>
      </c>
      <c r="AT73" s="446">
        <f t="shared" ca="1" si="86"/>
        <v>5.07</v>
      </c>
      <c r="AU73" s="446">
        <f t="shared" ca="1" si="87"/>
        <v>5.32</v>
      </c>
      <c r="AV73" s="446">
        <f t="shared" ca="1" si="88"/>
        <v>5.28</v>
      </c>
      <c r="AW73" s="446">
        <f t="shared" ca="1" si="89"/>
        <v>2.52</v>
      </c>
    </row>
    <row r="74" spans="1:49" ht="15.75" x14ac:dyDescent="0.25">
      <c r="A74" s="437" t="str">
        <f>INDEX(Оглавление, ROW())</f>
        <v>[Цены на приграничных АЗС 2017-2020 (7138827 v1).XLSM]Цены на 19.11.2018</v>
      </c>
      <c r="B74" s="438">
        <f t="shared" ca="1" si="90"/>
        <v>43423</v>
      </c>
      <c r="C74" s="446">
        <f t="shared" ca="1" si="1"/>
        <v>7.5830000000000002</v>
      </c>
      <c r="D74" s="446">
        <f t="shared" ca="1" si="2"/>
        <v>2.1057999999999999</v>
      </c>
      <c r="E74" s="446">
        <f t="shared" ca="1" si="3"/>
        <v>2.4041000000000001</v>
      </c>
      <c r="F74" s="446">
        <f t="shared" ca="1" si="4"/>
        <v>5.5655000000000001</v>
      </c>
      <c r="G74" s="446">
        <f t="shared" ca="1" si="5"/>
        <v>3.1947000000000001</v>
      </c>
      <c r="H74" s="446">
        <f t="shared" ca="1" si="48"/>
        <v>1.42</v>
      </c>
      <c r="I74" s="446">
        <f t="shared" ca="1" si="49"/>
        <v>1.51</v>
      </c>
      <c r="J74" s="446">
        <f t="shared" ca="1" si="50"/>
        <v>1.62</v>
      </c>
      <c r="K74" s="446">
        <f t="shared" ca="1" si="51"/>
        <v>1.51</v>
      </c>
      <c r="L74" s="446">
        <f t="shared" ca="1" si="52"/>
        <v>0.81</v>
      </c>
      <c r="M74" s="446">
        <f t="shared" ca="1" si="53"/>
        <v>41.98</v>
      </c>
      <c r="N74" s="446">
        <f t="shared" ca="1" si="54"/>
        <v>45.62</v>
      </c>
      <c r="O74" s="446">
        <f t="shared" ca="1" si="55"/>
        <v>49.91</v>
      </c>
      <c r="P74" s="446">
        <f t="shared" ca="1" si="56"/>
        <v>45.41</v>
      </c>
      <c r="Q74" s="446">
        <f t="shared" ca="1" si="57"/>
        <v>26.11</v>
      </c>
      <c r="R74" s="446">
        <f t="shared" ca="1" si="58"/>
        <v>41.23</v>
      </c>
      <c r="S74" s="446">
        <f t="shared" ca="1" si="59"/>
        <v>44.35</v>
      </c>
      <c r="T74" s="446">
        <f t="shared" ca="1" si="60"/>
        <v>48.5</v>
      </c>
      <c r="U74" s="446">
        <f t="shared" ca="1" si="61"/>
        <v>44.97</v>
      </c>
      <c r="V74" s="446">
        <f t="shared" ca="1" si="62"/>
        <v>26.33</v>
      </c>
      <c r="W74" s="446">
        <f t="shared" ca="1" si="63"/>
        <v>40.659999999999997</v>
      </c>
      <c r="X74" s="446">
        <f t="shared" ca="1" si="64"/>
        <v>44.5</v>
      </c>
      <c r="Y74" s="446">
        <f t="shared" ca="1" si="65"/>
        <v>47.6</v>
      </c>
      <c r="Z74" s="446">
        <f t="shared" ca="1" si="66"/>
        <v>45.23</v>
      </c>
      <c r="AA74" s="446">
        <f t="shared" ca="1" si="67"/>
        <v>25.94</v>
      </c>
      <c r="AB74" s="446">
        <f t="shared" ca="1" si="68"/>
        <v>40.64</v>
      </c>
      <c r="AC74" s="446">
        <f t="shared" ca="1" si="69"/>
        <v>43.56</v>
      </c>
      <c r="AD74" s="446">
        <f t="shared" ca="1" si="70"/>
        <v>49.9</v>
      </c>
      <c r="AE74" s="446">
        <f t="shared" ca="1" si="71"/>
        <v>45.54</v>
      </c>
      <c r="AF74" s="446">
        <f t="shared" ca="1" si="72"/>
        <v>25.44</v>
      </c>
      <c r="AG74" s="446">
        <f t="shared" ca="1" si="73"/>
        <v>30.25</v>
      </c>
      <c r="AH74" s="446">
        <f t="shared" ca="1" si="74"/>
        <v>30.95</v>
      </c>
      <c r="AI74" s="446">
        <f t="shared" ca="1" si="75"/>
        <v>36.090000000000003</v>
      </c>
      <c r="AJ74" s="446">
        <f t="shared" ca="1" si="76"/>
        <v>27.84</v>
      </c>
      <c r="AK74" s="446">
        <f t="shared" ca="1" si="77"/>
        <v>16.59</v>
      </c>
      <c r="AL74" s="446">
        <f t="shared" ca="1" si="78"/>
        <v>1.2869999999999999</v>
      </c>
      <c r="AM74" s="446">
        <f t="shared" ca="1" si="79"/>
        <v>1.3420000000000001</v>
      </c>
      <c r="AN74" s="446">
        <f t="shared" ca="1" si="80"/>
        <v>1.2769999999999999</v>
      </c>
      <c r="AO74" s="446">
        <f t="shared" ca="1" si="81"/>
        <v>0.58399999999999996</v>
      </c>
      <c r="AP74" s="446">
        <f t="shared" ca="1" si="82"/>
        <v>1.1240000000000001</v>
      </c>
      <c r="AQ74" s="446">
        <f t="shared" ca="1" si="83"/>
        <v>1.2450000000000001</v>
      </c>
      <c r="AR74" s="446">
        <f t="shared" ca="1" si="84"/>
        <v>1.1240000000000001</v>
      </c>
      <c r="AS74" s="446">
        <f t="shared" ca="1" si="85"/>
        <v>0.57299999999999995</v>
      </c>
      <c r="AT74" s="446">
        <f t="shared" ca="1" si="86"/>
        <v>5.03</v>
      </c>
      <c r="AU74" s="446">
        <f t="shared" ca="1" si="87"/>
        <v>5.34</v>
      </c>
      <c r="AV74" s="446">
        <f t="shared" ca="1" si="88"/>
        <v>5.29</v>
      </c>
      <c r="AW74" s="446">
        <f t="shared" ca="1" si="89"/>
        <v>2.5</v>
      </c>
    </row>
    <row r="75" spans="1:49" ht="15.75" x14ac:dyDescent="0.25">
      <c r="A75" s="437" t="str">
        <f>INDEX(Оглавление, ROW())</f>
        <v>[Цены на приграничных АЗС 2017-2020 (7138827 v1).XLSM]Цены на 26.11.2018</v>
      </c>
      <c r="B75" s="438">
        <f t="shared" ca="1" si="90"/>
        <v>43430</v>
      </c>
      <c r="C75" s="446">
        <f t="shared" ca="1" si="1"/>
        <v>7.5815000000000001</v>
      </c>
      <c r="D75" s="446">
        <f t="shared" ca="1" si="2"/>
        <v>2.105</v>
      </c>
      <c r="E75" s="446">
        <f t="shared" ca="1" si="3"/>
        <v>2.3996</v>
      </c>
      <c r="F75" s="446">
        <f t="shared" ca="1" si="4"/>
        <v>5.5742000000000003</v>
      </c>
      <c r="G75" s="446">
        <f t="shared" ca="1" si="5"/>
        <v>3.2080000000000002</v>
      </c>
      <c r="H75" s="446">
        <f t="shared" ca="1" si="48"/>
        <v>1.42</v>
      </c>
      <c r="I75" s="446">
        <f t="shared" ca="1" si="49"/>
        <v>1.52</v>
      </c>
      <c r="J75" s="446">
        <f t="shared" ca="1" si="50"/>
        <v>1.63</v>
      </c>
      <c r="K75" s="446">
        <f t="shared" ca="1" si="51"/>
        <v>1.51</v>
      </c>
      <c r="L75" s="446">
        <f t="shared" ca="1" si="52"/>
        <v>0.81</v>
      </c>
      <c r="M75" s="446">
        <f t="shared" ca="1" si="53"/>
        <v>41.99</v>
      </c>
      <c r="N75" s="446">
        <f t="shared" ca="1" si="54"/>
        <v>45.67</v>
      </c>
      <c r="O75" s="446">
        <f t="shared" ca="1" si="55"/>
        <v>49.91</v>
      </c>
      <c r="P75" s="446">
        <f t="shared" ca="1" si="56"/>
        <v>45.92</v>
      </c>
      <c r="Q75" s="446">
        <f t="shared" ca="1" si="57"/>
        <v>26.34</v>
      </c>
      <c r="R75" s="446">
        <f t="shared" ca="1" si="58"/>
        <v>41.36</v>
      </c>
      <c r="S75" s="446">
        <f t="shared" ca="1" si="59"/>
        <v>44.52</v>
      </c>
      <c r="T75" s="446">
        <f t="shared" ca="1" si="60"/>
        <v>48.5</v>
      </c>
      <c r="U75" s="446">
        <f t="shared" ca="1" si="61"/>
        <v>45.78</v>
      </c>
      <c r="V75" s="446">
        <f t="shared" ca="1" si="62"/>
        <v>26.33</v>
      </c>
      <c r="W75" s="446">
        <f t="shared" ca="1" si="63"/>
        <v>40.89</v>
      </c>
      <c r="X75" s="446">
        <f t="shared" ca="1" si="64"/>
        <v>44.09</v>
      </c>
      <c r="Y75" s="446">
        <f t="shared" ca="1" si="65"/>
        <v>47.59</v>
      </c>
      <c r="Z75" s="446">
        <f t="shared" ca="1" si="66"/>
        <v>44.8</v>
      </c>
      <c r="AA75" s="446">
        <f t="shared" ca="1" si="67"/>
        <v>25.94</v>
      </c>
      <c r="AB75" s="446">
        <f t="shared" ca="1" si="68"/>
        <v>41.71</v>
      </c>
      <c r="AC75" s="446">
        <f t="shared" ca="1" si="69"/>
        <v>44.65</v>
      </c>
      <c r="AD75" s="446">
        <f t="shared" ca="1" si="70"/>
        <v>49.9</v>
      </c>
      <c r="AE75" s="446">
        <f t="shared" ca="1" si="71"/>
        <v>45.96</v>
      </c>
      <c r="AF75" s="446">
        <f t="shared" ca="1" si="72"/>
        <v>25.29</v>
      </c>
      <c r="AG75" s="446">
        <f t="shared" ca="1" si="73"/>
        <v>30</v>
      </c>
      <c r="AH75" s="446">
        <f t="shared" ca="1" si="74"/>
        <v>30.7</v>
      </c>
      <c r="AI75" s="446">
        <f t="shared" ca="1" si="75"/>
        <v>35.64</v>
      </c>
      <c r="AJ75" s="446">
        <f t="shared" ca="1" si="76"/>
        <v>27.59</v>
      </c>
      <c r="AK75" s="446">
        <f t="shared" ca="1" si="77"/>
        <v>16.29</v>
      </c>
      <c r="AL75" s="446">
        <f t="shared" ca="1" si="78"/>
        <v>1.2869999999999999</v>
      </c>
      <c r="AM75" s="446">
        <f t="shared" ca="1" si="79"/>
        <v>1.3420000000000001</v>
      </c>
      <c r="AN75" s="446">
        <f t="shared" ca="1" si="80"/>
        <v>1.2769999999999999</v>
      </c>
      <c r="AO75" s="446">
        <f t="shared" ca="1" si="81"/>
        <v>0.58399999999999996</v>
      </c>
      <c r="AP75" s="446">
        <f t="shared" ca="1" si="82"/>
        <v>1.1439999999999999</v>
      </c>
      <c r="AQ75" s="446">
        <f t="shared" ca="1" si="83"/>
        <v>1.2310000000000001</v>
      </c>
      <c r="AR75" s="446">
        <f t="shared" ca="1" si="84"/>
        <v>1.1439999999999999</v>
      </c>
      <c r="AS75" s="446">
        <f t="shared" ca="1" si="85"/>
        <v>0.54300000000000004</v>
      </c>
      <c r="AT75" s="446">
        <f t="shared" ca="1" si="86"/>
        <v>4.9800000000000004</v>
      </c>
      <c r="AU75" s="446">
        <f t="shared" ca="1" si="87"/>
        <v>5.21</v>
      </c>
      <c r="AV75" s="446">
        <f t="shared" ca="1" si="88"/>
        <v>5.25</v>
      </c>
      <c r="AW75" s="446">
        <f t="shared" ca="1" si="89"/>
        <v>2.46</v>
      </c>
    </row>
    <row r="76" spans="1:49" ht="15.75" x14ac:dyDescent="0.25">
      <c r="A76" s="437" t="str">
        <f>INDEX(Оглавление, ROW())</f>
        <v>[Цены на приграничных АЗС 2017-2020 (7138827 v1).XLSM]Цены на 03.12.2018</v>
      </c>
      <c r="B76" s="438">
        <f t="shared" ca="1" si="90"/>
        <v>43437</v>
      </c>
      <c r="C76" s="446">
        <f t="shared" ca="1" si="1"/>
        <v>7.5621999999999998</v>
      </c>
      <c r="D76" s="446">
        <f t="shared" ca="1" si="2"/>
        <v>2.1316000000000002</v>
      </c>
      <c r="E76" s="446">
        <f t="shared" ca="1" si="3"/>
        <v>2.4262000000000001</v>
      </c>
      <c r="F76" s="446">
        <f t="shared" ca="1" si="4"/>
        <v>5.6506999999999996</v>
      </c>
      <c r="G76" s="446">
        <f t="shared" ca="1" si="5"/>
        <v>3.2027000000000001</v>
      </c>
      <c r="H76" s="446">
        <f t="shared" ca="1" si="48"/>
        <v>1.42</v>
      </c>
      <c r="I76" s="446">
        <f t="shared" ca="1" si="49"/>
        <v>1.52</v>
      </c>
      <c r="J76" s="446">
        <f t="shared" ca="1" si="50"/>
        <v>1.63</v>
      </c>
      <c r="K76" s="446">
        <f t="shared" ca="1" si="51"/>
        <v>1.51</v>
      </c>
      <c r="L76" s="446">
        <f t="shared" ca="1" si="52"/>
        <v>0.81</v>
      </c>
      <c r="M76" s="446">
        <f t="shared" ca="1" si="53"/>
        <v>41.98</v>
      </c>
      <c r="N76" s="446">
        <f t="shared" ca="1" si="54"/>
        <v>45.64</v>
      </c>
      <c r="O76" s="446">
        <f t="shared" ca="1" si="55"/>
        <v>50.37</v>
      </c>
      <c r="P76" s="446">
        <f t="shared" ca="1" si="56"/>
        <v>46.05</v>
      </c>
      <c r="Q76" s="446">
        <f t="shared" ca="1" si="57"/>
        <v>25.98</v>
      </c>
      <c r="R76" s="446">
        <f t="shared" ca="1" si="58"/>
        <v>41.25</v>
      </c>
      <c r="S76" s="446">
        <f t="shared" ca="1" si="59"/>
        <v>44.39</v>
      </c>
      <c r="T76" s="446">
        <f t="shared" ca="1" si="60"/>
        <v>48.5</v>
      </c>
      <c r="U76" s="446">
        <f t="shared" ca="1" si="61"/>
        <v>45.96</v>
      </c>
      <c r="V76" s="446">
        <f t="shared" ca="1" si="62"/>
        <v>26.33</v>
      </c>
      <c r="W76" s="446">
        <f t="shared" ca="1" si="63"/>
        <v>41</v>
      </c>
      <c r="X76" s="446">
        <f t="shared" ca="1" si="64"/>
        <v>44.33</v>
      </c>
      <c r="Y76" s="446">
        <f t="shared" ca="1" si="65"/>
        <v>47.6</v>
      </c>
      <c r="Z76" s="446">
        <f t="shared" ca="1" si="66"/>
        <v>45.33</v>
      </c>
      <c r="AA76" s="446">
        <f t="shared" ca="1" si="67"/>
        <v>25.94</v>
      </c>
      <c r="AB76" s="446">
        <f t="shared" ca="1" si="68"/>
        <v>40.549999999999997</v>
      </c>
      <c r="AC76" s="446">
        <f t="shared" ca="1" si="69"/>
        <v>43.11</v>
      </c>
      <c r="AD76" s="446">
        <f t="shared" ca="1" si="70"/>
        <v>49.9</v>
      </c>
      <c r="AE76" s="446">
        <f t="shared" ca="1" si="71"/>
        <v>45.78</v>
      </c>
      <c r="AF76" s="446">
        <f t="shared" ca="1" si="72"/>
        <v>25.29</v>
      </c>
      <c r="AG76" s="446">
        <f t="shared" ca="1" si="73"/>
        <v>29.75</v>
      </c>
      <c r="AH76" s="446">
        <f t="shared" ca="1" si="74"/>
        <v>30.65</v>
      </c>
      <c r="AI76" s="446">
        <f t="shared" ca="1" si="75"/>
        <v>35.14</v>
      </c>
      <c r="AJ76" s="446">
        <f t="shared" ca="1" si="76"/>
        <v>27.49</v>
      </c>
      <c r="AK76" s="446">
        <f t="shared" ca="1" si="77"/>
        <v>16.02</v>
      </c>
      <c r="AL76" s="446">
        <f t="shared" ca="1" si="78"/>
        <v>1.2470000000000001</v>
      </c>
      <c r="AM76" s="446">
        <f t="shared" ca="1" si="79"/>
        <v>1.306</v>
      </c>
      <c r="AN76" s="446">
        <f t="shared" ca="1" si="80"/>
        <v>1.2350000000000001</v>
      </c>
      <c r="AO76" s="446">
        <f t="shared" ca="1" si="81"/>
        <v>0.53600000000000003</v>
      </c>
      <c r="AP76" s="446">
        <f t="shared" ca="1" si="82"/>
        <v>1.1040000000000001</v>
      </c>
      <c r="AQ76" s="446">
        <f t="shared" ca="1" si="83"/>
        <v>1.21</v>
      </c>
      <c r="AR76" s="446">
        <f t="shared" ca="1" si="84"/>
        <v>1.1040000000000001</v>
      </c>
      <c r="AS76" s="446">
        <f t="shared" ca="1" si="85"/>
        <v>0.52300000000000002</v>
      </c>
      <c r="AT76" s="446">
        <f t="shared" ca="1" si="86"/>
        <v>4.8899999999999997</v>
      </c>
      <c r="AU76" s="446">
        <f t="shared" ca="1" si="87"/>
        <v>5.18</v>
      </c>
      <c r="AV76" s="446">
        <f t="shared" ca="1" si="88"/>
        <v>5.22</v>
      </c>
      <c r="AW76" s="446">
        <f t="shared" ca="1" si="89"/>
        <v>2.4</v>
      </c>
    </row>
    <row r="77" spans="1:49" ht="15.75" x14ac:dyDescent="0.25">
      <c r="A77" s="437" t="str">
        <f>INDEX(Оглавление, ROW())</f>
        <v>[Цены на приграничных АЗС 2017-2020 (7138827 v1).XLSM]Цены на 10.12.2018</v>
      </c>
      <c r="B77" s="438">
        <f t="shared" ca="1" si="90"/>
        <v>43444</v>
      </c>
      <c r="C77" s="446">
        <f t="shared" ca="1" si="1"/>
        <v>7.6654999999999998</v>
      </c>
      <c r="D77" s="446">
        <f t="shared" ca="1" si="2"/>
        <v>2.1328999999999998</v>
      </c>
      <c r="E77" s="446">
        <f t="shared" ca="1" si="3"/>
        <v>2.4253</v>
      </c>
      <c r="F77" s="446">
        <f t="shared" ca="1" si="4"/>
        <v>5.6593999999999998</v>
      </c>
      <c r="G77" s="446">
        <f t="shared" ca="1" si="5"/>
        <v>3.1894</v>
      </c>
      <c r="H77" s="446">
        <f t="shared" ca="1" si="48"/>
        <v>1.43</v>
      </c>
      <c r="I77" s="446">
        <f t="shared" ca="1" si="49"/>
        <v>1.53</v>
      </c>
      <c r="J77" s="446">
        <f t="shared" ca="1" si="50"/>
        <v>1.64</v>
      </c>
      <c r="K77" s="446">
        <f t="shared" ca="1" si="51"/>
        <v>1.53</v>
      </c>
      <c r="L77" s="446">
        <f t="shared" ca="1" si="52"/>
        <v>0.82</v>
      </c>
      <c r="M77" s="446">
        <f t="shared" ca="1" si="53"/>
        <v>42</v>
      </c>
      <c r="N77" s="446">
        <f t="shared" ca="1" si="54"/>
        <v>45.69</v>
      </c>
      <c r="O77" s="446">
        <f t="shared" ca="1" si="55"/>
        <v>50.37</v>
      </c>
      <c r="P77" s="446">
        <f t="shared" ca="1" si="56"/>
        <v>46.09</v>
      </c>
      <c r="Q77" s="446">
        <f t="shared" ca="1" si="57"/>
        <v>25.58</v>
      </c>
      <c r="R77" s="446">
        <f t="shared" ca="1" si="58"/>
        <v>41.26</v>
      </c>
      <c r="S77" s="446">
        <f t="shared" ca="1" si="59"/>
        <v>44.16</v>
      </c>
      <c r="T77" s="446">
        <f t="shared" ca="1" si="60"/>
        <v>48.5</v>
      </c>
      <c r="U77" s="446">
        <f t="shared" ca="1" si="61"/>
        <v>46.06</v>
      </c>
      <c r="V77" s="446">
        <f t="shared" ca="1" si="62"/>
        <v>26.33</v>
      </c>
      <c r="W77" s="446">
        <f t="shared" ca="1" si="63"/>
        <v>41.05</v>
      </c>
      <c r="X77" s="446">
        <f t="shared" ca="1" si="64"/>
        <v>44.21</v>
      </c>
      <c r="Y77" s="446">
        <f t="shared" ca="1" si="65"/>
        <v>47.6</v>
      </c>
      <c r="Z77" s="446">
        <f t="shared" ca="1" si="66"/>
        <v>45.45</v>
      </c>
      <c r="AA77" s="446">
        <f t="shared" ca="1" si="67"/>
        <v>25.94</v>
      </c>
      <c r="AB77" s="446">
        <f t="shared" ca="1" si="68"/>
        <v>40.58</v>
      </c>
      <c r="AC77" s="446">
        <f t="shared" ca="1" si="69"/>
        <v>44.65</v>
      </c>
      <c r="AD77" s="446">
        <f t="shared" ca="1" si="70"/>
        <v>49.9</v>
      </c>
      <c r="AE77" s="446">
        <f t="shared" ca="1" si="71"/>
        <v>47.1</v>
      </c>
      <c r="AF77" s="446">
        <f t="shared" ca="1" si="72"/>
        <v>25.29</v>
      </c>
      <c r="AG77" s="446">
        <f t="shared" ca="1" si="73"/>
        <v>29.6</v>
      </c>
      <c r="AH77" s="446">
        <f t="shared" ca="1" si="74"/>
        <v>30.65</v>
      </c>
      <c r="AI77" s="446">
        <f t="shared" ca="1" si="75"/>
        <v>34.64</v>
      </c>
      <c r="AJ77" s="446">
        <f t="shared" ca="1" si="76"/>
        <v>27.49</v>
      </c>
      <c r="AK77" s="446">
        <f t="shared" ca="1" si="77"/>
        <v>15.64</v>
      </c>
      <c r="AL77" s="446">
        <f t="shared" ca="1" si="78"/>
        <v>1.2470000000000001</v>
      </c>
      <c r="AM77" s="446">
        <f t="shared" ca="1" si="79"/>
        <v>1.306</v>
      </c>
      <c r="AN77" s="446">
        <f t="shared" ca="1" si="80"/>
        <v>1.2350000000000001</v>
      </c>
      <c r="AO77" s="446">
        <f t="shared" ca="1" si="81"/>
        <v>0.53600000000000003</v>
      </c>
      <c r="AP77" s="446">
        <f t="shared" ca="1" si="82"/>
        <v>1.1093999999999999</v>
      </c>
      <c r="AQ77" s="446">
        <f t="shared" ca="1" si="83"/>
        <v>1.21</v>
      </c>
      <c r="AR77" s="446">
        <f t="shared" ca="1" si="84"/>
        <v>1.1093999999999999</v>
      </c>
      <c r="AS77" s="446">
        <f t="shared" ca="1" si="85"/>
        <v>0.503</v>
      </c>
      <c r="AT77" s="446">
        <f t="shared" ca="1" si="86"/>
        <v>4.84</v>
      </c>
      <c r="AU77" s="446">
        <f t="shared" ca="1" si="87"/>
        <v>5.05</v>
      </c>
      <c r="AV77" s="446">
        <f t="shared" ca="1" si="88"/>
        <v>5.15</v>
      </c>
      <c r="AW77" s="446">
        <f t="shared" ca="1" si="89"/>
        <v>2.35</v>
      </c>
    </row>
    <row r="78" spans="1:49" ht="15.75" x14ac:dyDescent="0.25">
      <c r="A78" s="437" t="str">
        <f>INDEX(Оглавление, ROW())</f>
        <v>[Цены на приграничных АЗС 2017-2020 (7138827 v1).XLSM]Цены на 17.12.2018</v>
      </c>
      <c r="B78" s="438">
        <f t="shared" ca="1" si="90"/>
        <v>43451</v>
      </c>
      <c r="C78" s="446">
        <f t="shared" ca="1" si="1"/>
        <v>7.6097999999999999</v>
      </c>
      <c r="D78" s="446">
        <f t="shared" ca="1" si="2"/>
        <v>2.1219999999999999</v>
      </c>
      <c r="E78" s="446">
        <f t="shared" ca="1" si="3"/>
        <v>2.4041999999999999</v>
      </c>
      <c r="F78" s="446">
        <f t="shared" ca="1" si="4"/>
        <v>5.5713999999999997</v>
      </c>
      <c r="G78" s="446">
        <f t="shared" ca="1" si="5"/>
        <v>3.1934999999999998</v>
      </c>
      <c r="H78" s="446">
        <f t="shared" ca="1" si="48"/>
        <v>1.43</v>
      </c>
      <c r="I78" s="446">
        <f t="shared" ca="1" si="49"/>
        <v>1.54</v>
      </c>
      <c r="J78" s="446">
        <f t="shared" ca="1" si="50"/>
        <v>1.65</v>
      </c>
      <c r="K78" s="446">
        <f t="shared" ca="1" si="51"/>
        <v>1.54</v>
      </c>
      <c r="L78" s="446">
        <f t="shared" ca="1" si="52"/>
        <v>0.82</v>
      </c>
      <c r="M78" s="446">
        <f t="shared" ca="1" si="53"/>
        <v>41.89</v>
      </c>
      <c r="N78" s="446">
        <f t="shared" ca="1" si="54"/>
        <v>45.57</v>
      </c>
      <c r="O78" s="446">
        <f t="shared" ca="1" si="55"/>
        <v>51.09</v>
      </c>
      <c r="P78" s="446">
        <f t="shared" ca="1" si="56"/>
        <v>46.08</v>
      </c>
      <c r="Q78" s="446">
        <f t="shared" ca="1" si="57"/>
        <v>25.84</v>
      </c>
      <c r="R78" s="446">
        <f t="shared" ca="1" si="58"/>
        <v>41.01</v>
      </c>
      <c r="S78" s="446">
        <f t="shared" ca="1" si="59"/>
        <v>44.06</v>
      </c>
      <c r="T78" s="446">
        <f t="shared" ca="1" si="60"/>
        <v>48.5</v>
      </c>
      <c r="U78" s="446">
        <f t="shared" ca="1" si="61"/>
        <v>45.6</v>
      </c>
      <c r="V78" s="446">
        <f t="shared" ca="1" si="62"/>
        <v>26.33</v>
      </c>
      <c r="W78" s="446">
        <f t="shared" ca="1" si="63"/>
        <v>40.92</v>
      </c>
      <c r="X78" s="446">
        <f t="shared" ca="1" si="64"/>
        <v>44.13</v>
      </c>
      <c r="Y78" s="446">
        <f t="shared" ca="1" si="65"/>
        <v>47.6</v>
      </c>
      <c r="Z78" s="446">
        <f t="shared" ca="1" si="66"/>
        <v>45.31</v>
      </c>
      <c r="AA78" s="446">
        <f t="shared" ca="1" si="67"/>
        <v>25.94</v>
      </c>
      <c r="AB78" s="446">
        <f t="shared" ca="1" si="68"/>
        <v>40.049999999999997</v>
      </c>
      <c r="AC78" s="446">
        <f t="shared" ca="1" si="69"/>
        <v>42.94</v>
      </c>
      <c r="AD78" s="446">
        <f t="shared" ca="1" si="70"/>
        <v>49.9</v>
      </c>
      <c r="AE78" s="446">
        <f t="shared" ca="1" si="71"/>
        <v>45.78</v>
      </c>
      <c r="AF78" s="446">
        <f t="shared" ca="1" si="72"/>
        <v>25.29</v>
      </c>
      <c r="AG78" s="446">
        <f t="shared" ca="1" si="73"/>
        <v>29.6</v>
      </c>
      <c r="AH78" s="446">
        <f t="shared" ca="1" si="74"/>
        <v>30.65</v>
      </c>
      <c r="AI78" s="446">
        <f t="shared" ca="1" si="75"/>
        <v>34.479999999999997</v>
      </c>
      <c r="AJ78" s="446">
        <f t="shared" ca="1" si="76"/>
        <v>27.49</v>
      </c>
      <c r="AK78" s="446">
        <f t="shared" ca="1" si="77"/>
        <v>15.39</v>
      </c>
      <c r="AL78" s="446">
        <f t="shared" ca="1" si="78"/>
        <v>1.2170000000000001</v>
      </c>
      <c r="AM78" s="446">
        <f t="shared" ca="1" si="79"/>
        <v>1.272</v>
      </c>
      <c r="AN78" s="446">
        <f t="shared" ca="1" si="80"/>
        <v>1.2170000000000001</v>
      </c>
      <c r="AO78" s="446">
        <f t="shared" ca="1" si="81"/>
        <v>0.58499999999999996</v>
      </c>
      <c r="AP78" s="446">
        <f t="shared" ca="1" si="82"/>
        <v>1.1093999999999999</v>
      </c>
      <c r="AQ78" s="446">
        <f t="shared" ca="1" si="83"/>
        <v>1.21</v>
      </c>
      <c r="AR78" s="446">
        <f t="shared" ca="1" si="84"/>
        <v>1.1093999999999999</v>
      </c>
      <c r="AS78" s="446">
        <f t="shared" ca="1" si="85"/>
        <v>0.5</v>
      </c>
      <c r="AT78" s="446">
        <f t="shared" ca="1" si="86"/>
        <v>4.79</v>
      </c>
      <c r="AU78" s="446">
        <f t="shared" ca="1" si="87"/>
        <v>5.14</v>
      </c>
      <c r="AV78" s="446">
        <f t="shared" ca="1" si="88"/>
        <v>5.1100000000000003</v>
      </c>
      <c r="AW78" s="446">
        <f t="shared" ca="1" si="89"/>
        <v>2.3199999999999998</v>
      </c>
    </row>
    <row r="79" spans="1:49" s="447" customFormat="1" ht="15.75" x14ac:dyDescent="0.25">
      <c r="A79" s="444" t="str">
        <f>INDEX(Оглавление, ROW())</f>
        <v>[Цены на приграничных АЗС 2017-2020 (7138827 v1).XLSM]Цены на 27.12.2018</v>
      </c>
      <c r="B79" s="445">
        <f t="shared" ca="1" si="90"/>
        <v>43461</v>
      </c>
      <c r="C79" s="446">
        <f ca="1">INDIRECT("'"&amp;$A79&amp;"'"&amp;"!b31")</f>
        <v>7.8949999999999996</v>
      </c>
      <c r="D79" s="446">
        <f ca="1">INDIRECT("'"&amp;$A79&amp;"'"&amp;"!$b$32")</f>
        <v>2.1507000000000001</v>
      </c>
      <c r="E79" s="446">
        <f t="shared" ref="E79" ca="1" si="91">INDIRECT("'"&amp;$A79&amp;"'"&amp;"!$b$33")</f>
        <v>2.4504999999999999</v>
      </c>
      <c r="F79" s="446">
        <f t="shared" ref="F79" ca="1" si="92">INDIRECT("'"&amp;$A79&amp;"'"&amp;"!$b$34")</f>
        <v>5.7167000000000003</v>
      </c>
      <c r="G79" s="446">
        <f t="shared" ref="G79" ca="1" si="93">INDIRECT("'"&amp;$A79&amp;"'"&amp;"!$b$35")</f>
        <v>3.1132</v>
      </c>
      <c r="H79" s="446">
        <f ca="1">INDIRECT("'"&amp;$A79&amp;"'"&amp;"!$b$19")</f>
        <v>1.43</v>
      </c>
      <c r="I79" s="446">
        <f ca="1">INDIRECT("'"&amp;$A79&amp;"'"&amp;"!$e$19")</f>
        <v>1.54</v>
      </c>
      <c r="J79" s="446">
        <f ca="1">INDIRECT("'"&amp;$A79&amp;"'"&amp;"!$h$19")</f>
        <v>1.65</v>
      </c>
      <c r="K79" s="446">
        <f ca="1">INDIRECT("'"&amp;$A79&amp;"'"&amp;"!$k$19")</f>
        <v>1.54</v>
      </c>
      <c r="L79" s="446">
        <f ca="1">INDIRECT("'"&amp;$A79&amp;"'"&amp;"!$n$19")</f>
        <v>0.82</v>
      </c>
      <c r="M79" s="446">
        <f ca="1">INDIRECT("'"&amp;$A79&amp;"'"&amp;"!$b$20")</f>
        <v>41.92</v>
      </c>
      <c r="N79" s="446">
        <f ca="1">INDIRECT("'"&amp;$A79&amp;"'"&amp;"!$e$20")</f>
        <v>45.5</v>
      </c>
      <c r="O79" s="446">
        <f ca="1">INDIRECT("'"&amp;$A79&amp;"'"&amp;"!$h$20")</f>
        <v>51.09</v>
      </c>
      <c r="P79" s="446">
        <f ca="1">INDIRECT("'"&amp;$A79&amp;"'"&amp;"!$k$20")</f>
        <v>45.87</v>
      </c>
      <c r="Q79" s="446">
        <f ca="1">INDIRECT("'"&amp;$A79&amp;"'"&amp;"!$n$20")</f>
        <v>25.28</v>
      </c>
      <c r="R79" s="446">
        <f ca="1">INDIRECT("'"&amp;$A79&amp;"'"&amp;"!$b$21")</f>
        <v>41.01</v>
      </c>
      <c r="S79" s="446">
        <f ca="1">INDIRECT("'"&amp;$A79&amp;"'"&amp;"!$e$21")</f>
        <v>44.06</v>
      </c>
      <c r="T79" s="446">
        <f ca="1">INDIRECT("'"&amp;$A79&amp;"'"&amp;"!$h$21")</f>
        <v>48.5</v>
      </c>
      <c r="U79" s="446">
        <f ca="1">INDIRECT("'"&amp;$A79&amp;"'"&amp;"!$k$21")</f>
        <v>45.6</v>
      </c>
      <c r="V79" s="446">
        <f ca="1">INDIRECT("'"&amp;$A79&amp;"'"&amp;"!$n$21")</f>
        <v>26.33</v>
      </c>
      <c r="W79" s="446">
        <f ca="1">INDIRECT("'"&amp;$A79&amp;"'"&amp;"!$b$22")</f>
        <v>40.700000000000003</v>
      </c>
      <c r="X79" s="446">
        <f ca="1">INDIRECT("'"&amp;$A79&amp;"'"&amp;"!$e$22")</f>
        <v>43.8</v>
      </c>
      <c r="Y79" s="446">
        <f ca="1">INDIRECT("'"&amp;$A79&amp;"'"&amp;"!$h$22")</f>
        <v>47.6</v>
      </c>
      <c r="Z79" s="446">
        <f ca="1">INDIRECT("'"&amp;$A79&amp;"'"&amp;"!$k$22")</f>
        <v>45.13</v>
      </c>
      <c r="AA79" s="446">
        <f ca="1">INDIRECT("'"&amp;$A79&amp;"'"&amp;"!$n$22")</f>
        <v>25.94</v>
      </c>
      <c r="AB79" s="446">
        <f ca="1">INDIRECT("'"&amp;$A79&amp;"'"&amp;"!$b$23")</f>
        <v>40.049999999999997</v>
      </c>
      <c r="AC79" s="446">
        <f ca="1">INDIRECT("'"&amp;$A79&amp;"'"&amp;"!$e$23")</f>
        <v>42.94</v>
      </c>
      <c r="AD79" s="446">
        <f ca="1">INDIRECT("'"&amp;$A79&amp;"'"&amp;"!$h$23")</f>
        <v>49.9</v>
      </c>
      <c r="AE79" s="446">
        <f ca="1">INDIRECT("'"&amp;$A79&amp;"'"&amp;"!$k$23")</f>
        <v>48.58</v>
      </c>
      <c r="AF79" s="446">
        <f ca="1">INDIRECT("'"&amp;$A79&amp;"'"&amp;"!$n$23")</f>
        <v>25.29</v>
      </c>
      <c r="AG79" s="446">
        <f ca="1">INDIRECT("'"&amp;$A79&amp;"'"&amp;"!$b$24")</f>
        <v>29.25</v>
      </c>
      <c r="AH79" s="446">
        <f ca="1">INDIRECT("'"&amp;$A79&amp;"'"&amp;"!$e$24")</f>
        <v>29.95</v>
      </c>
      <c r="AI79" s="446">
        <f ca="1">INDIRECT("'"&amp;$A79&amp;"'"&amp;"!$h$24")</f>
        <v>34.090000000000003</v>
      </c>
      <c r="AJ79" s="446">
        <f ca="1">INDIRECT("'"&amp;$A79&amp;"'"&amp;"!$k$24")</f>
        <v>26.84</v>
      </c>
      <c r="AK79" s="446">
        <f ca="1">INDIRECT("'"&amp;$A79&amp;"'"&amp;"!$n$24")</f>
        <v>15.04</v>
      </c>
      <c r="AL79" s="446">
        <f ca="1">INDIRECT("'"&amp;$A79&amp;"'"&amp;"!$e$25")</f>
        <v>1.198</v>
      </c>
      <c r="AM79" s="446">
        <f ca="1">INDIRECT("'"&amp;$A79&amp;"'"&amp;"!$h$25")</f>
        <v>1.2529999999999999</v>
      </c>
      <c r="AN79" s="446">
        <f ca="1">INDIRECT("'"&amp;$A79&amp;"'"&amp;"!$k$25")</f>
        <v>1.198</v>
      </c>
      <c r="AO79" s="446">
        <f ca="1">INDIRECT("'"&amp;$A79&amp;"'"&amp;"!$n$25")</f>
        <v>0.58499999999999996</v>
      </c>
      <c r="AP79" s="446">
        <f ca="1">INDIRECT("'"&amp;$A79&amp;"'"&amp;"!$e$26")</f>
        <v>1.0940000000000001</v>
      </c>
      <c r="AQ79" s="446">
        <f ca="1">INDIRECT("'"&amp;$A79&amp;"'"&amp;"!$h$26")</f>
        <v>1.2370000000000001</v>
      </c>
      <c r="AR79" s="446">
        <f ca="1">INDIRECT("'"&amp;$A79&amp;"'"&amp;"!$k$26")</f>
        <v>1.0840000000000001</v>
      </c>
      <c r="AS79" s="446">
        <f ca="1">INDIRECT("'"&amp;$A79&amp;"'"&amp;"!$n$26")</f>
        <v>0.5</v>
      </c>
      <c r="AT79" s="446">
        <f ca="1">INDIRECT("'"&amp;$A79&amp;"'"&amp;"!$e$27")</f>
        <v>4.8099999999999996</v>
      </c>
      <c r="AU79" s="446">
        <f ca="1">INDIRECT("'"&amp;$A79&amp;"'"&amp;"!$h$27")</f>
        <v>5</v>
      </c>
      <c r="AV79" s="446">
        <f ca="1">INDIRECT("'"&amp;$A79&amp;"'"&amp;"!$k$27")</f>
        <v>5.1100000000000003</v>
      </c>
      <c r="AW79" s="446">
        <f ca="1">INDIRECT("'"&amp;$A79&amp;"'"&amp;"!$n$27")</f>
        <v>2.31</v>
      </c>
    </row>
    <row r="80" spans="1:49" ht="15.75" x14ac:dyDescent="0.25">
      <c r="A80" s="437" t="str">
        <f>INDEX(Оглавление, ROW())</f>
        <v>[Цены на приграничных АЗС 2017-2020 (7138827 v1).XLSM]Цены на 02.01.2019</v>
      </c>
      <c r="B80" s="438">
        <f t="shared" ca="1" si="90"/>
        <v>43467</v>
      </c>
      <c r="C80" s="439">
        <f t="shared" ref="C80:C143" ca="1" si="94">INDIRECT("'"&amp;$A80&amp;"'"&amp;"!$b$32")</f>
        <v>7.7942999999999998</v>
      </c>
      <c r="D80" s="439">
        <f t="shared" ref="D80:D143" ca="1" si="95">INDIRECT("'"&amp;$A80&amp;"'"&amp;"!$b$33")</f>
        <v>2.1598000000000002</v>
      </c>
      <c r="E80" s="439">
        <f t="shared" ref="E80:E143" ca="1" si="96">INDIRECT("'"&amp;$A80&amp;"'"&amp;"!$b$34")</f>
        <v>2.4733999999999998</v>
      </c>
      <c r="F80" s="439">
        <f t="shared" ref="F80:F143" ca="1" si="97">INDIRECT("'"&amp;$A80&amp;"'"&amp;"!$b$35")</f>
        <v>5.7525000000000004</v>
      </c>
      <c r="G80" s="439">
        <f t="shared" ref="G80:G143" ca="1" si="98">INDIRECT("'"&amp;$A80&amp;"'"&amp;"!$b$36")</f>
        <v>3.1128</v>
      </c>
      <c r="H80" s="439">
        <f t="shared" ref="H80:H129" ca="1" si="99">INDIRECT("'"&amp;$A80&amp;"'"&amp;"!$b$20")</f>
        <v>1.43</v>
      </c>
      <c r="I80" s="439">
        <f t="shared" ref="I80:I129" ca="1" si="100">INDIRECT("'"&amp;$A80&amp;"'"&amp;"!$e$20")</f>
        <v>1.54</v>
      </c>
      <c r="J80" s="439">
        <f t="shared" ref="J80:J129" ca="1" si="101">INDIRECT("'"&amp;$A80&amp;"'"&amp;"!$h$20")</f>
        <v>1.65</v>
      </c>
      <c r="K80" s="439">
        <f t="shared" ref="K80:K129" ca="1" si="102">INDIRECT("'"&amp;$A80&amp;"'"&amp;"!$k$20")</f>
        <v>1.54</v>
      </c>
      <c r="L80" s="439">
        <f t="shared" ref="L80:L129" ca="1" si="103">INDIRECT("'"&amp;$A80&amp;"'"&amp;"!$n$20")</f>
        <v>0.82</v>
      </c>
      <c r="M80" s="439">
        <f t="shared" ref="M80:M129" ca="1" si="104">INDIRECT("'"&amp;$A80&amp;"'"&amp;"!$b$21")</f>
        <v>41.91</v>
      </c>
      <c r="N80" s="439">
        <f t="shared" ref="N80:N129" ca="1" si="105">INDIRECT("'"&amp;$A80&amp;"'"&amp;"!$e$21")</f>
        <v>45.55</v>
      </c>
      <c r="O80" s="439">
        <f t="shared" ref="O80:O129" ca="1" si="106">INDIRECT("'"&amp;$A80&amp;"'"&amp;"!$h$21")</f>
        <v>51.09</v>
      </c>
      <c r="P80" s="439">
        <f t="shared" ref="P80:P129" ca="1" si="107">INDIRECT("'"&amp;$A80&amp;"'"&amp;"!$k$21")</f>
        <v>45.99</v>
      </c>
      <c r="Q80" s="439">
        <f t="shared" ref="Q80:Q129" ca="1" si="108">INDIRECT("'"&amp;$A80&amp;"'"&amp;"!$n$21")</f>
        <v>25.61</v>
      </c>
      <c r="R80" s="439">
        <f t="shared" ref="R80:R129" ca="1" si="109">INDIRECT("'"&amp;$A80&amp;"'"&amp;"!$b$22")</f>
        <v>40.83</v>
      </c>
      <c r="S80" s="439">
        <f t="shared" ref="S80:S129" ca="1" si="110">INDIRECT("'"&amp;$A80&amp;"'"&amp;"!$e$22")</f>
        <v>43.83</v>
      </c>
      <c r="T80" s="439">
        <f t="shared" ref="T80:T129" ca="1" si="111">INDIRECT("'"&amp;$A80&amp;"'"&amp;"!$h$22")</f>
        <v>48.5</v>
      </c>
      <c r="U80" s="439">
        <f t="shared" ref="U80:U129" ca="1" si="112">INDIRECT("'"&amp;$A80&amp;"'"&amp;"!$k$22")</f>
        <v>46.18</v>
      </c>
      <c r="V80" s="439">
        <f t="shared" ref="V80:V129" ca="1" si="113">INDIRECT("'"&amp;$A80&amp;"'"&amp;"!$n$22")</f>
        <v>26.33</v>
      </c>
      <c r="W80" s="439">
        <f t="shared" ref="W80:W129" ca="1" si="114">INDIRECT("'"&amp;$A80&amp;"'"&amp;"!$b$23")</f>
        <v>40.89</v>
      </c>
      <c r="X80" s="439">
        <f t="shared" ref="X80:X129" ca="1" si="115">INDIRECT("'"&amp;$A80&amp;"'"&amp;"!$e$23")</f>
        <v>44.06</v>
      </c>
      <c r="Y80" s="439">
        <f t="shared" ref="Y80:Y129" ca="1" si="116">INDIRECT("'"&amp;$A80&amp;"'"&amp;"!$h$23")</f>
        <v>47.6</v>
      </c>
      <c r="Z80" s="439">
        <f t="shared" ref="Z80:Z129" ca="1" si="117">INDIRECT("'"&amp;$A80&amp;"'"&amp;"!$k$23")</f>
        <v>45.35</v>
      </c>
      <c r="AA80" s="439">
        <f t="shared" ref="AA80:AA129" ca="1" si="118">INDIRECT("'"&amp;$A80&amp;"'"&amp;"!$n$23")</f>
        <v>25.94</v>
      </c>
      <c r="AB80" s="439">
        <f t="shared" ref="AB80:AB129" ca="1" si="119">INDIRECT("'"&amp;$A80&amp;"'"&amp;"!$b$24")</f>
        <v>41.75</v>
      </c>
      <c r="AC80" s="439">
        <f t="shared" ref="AC80:AC129" ca="1" si="120">INDIRECT("'"&amp;$A80&amp;"'"&amp;"!$e$24")</f>
        <v>44.6</v>
      </c>
      <c r="AD80" s="439">
        <f t="shared" ref="AD80:AD129" ca="1" si="121">INDIRECT("'"&amp;$A80&amp;"'"&amp;"!$h$24")</f>
        <v>51.25</v>
      </c>
      <c r="AE80" s="439">
        <f t="shared" ref="AE80:AE129" ca="1" si="122">INDIRECT("'"&amp;$A80&amp;"'"&amp;"!$k$24")</f>
        <v>46.98</v>
      </c>
      <c r="AF80" s="439">
        <f t="shared" ref="AF80:AF129" ca="1" si="123">INDIRECT("'"&amp;$A80&amp;"'"&amp;"!$n$24")</f>
        <v>25.29</v>
      </c>
      <c r="AG80" s="439">
        <f t="shared" ref="AG80:AG129" ca="1" si="124">INDIRECT("'"&amp;$A80&amp;"'"&amp;"!$b$25")</f>
        <v>29.14</v>
      </c>
      <c r="AH80" s="439">
        <f t="shared" ref="AH80:AH129" ca="1" si="125">INDIRECT("'"&amp;$A80&amp;"'"&amp;"!$e$25")</f>
        <v>29.95</v>
      </c>
      <c r="AI80" s="439">
        <f t="shared" ref="AI80:AI129" ca="1" si="126">INDIRECT("'"&amp;$A80&amp;"'"&amp;"!$h$25")</f>
        <v>32.39</v>
      </c>
      <c r="AJ80" s="439">
        <f t="shared" ref="AJ80:AJ129" ca="1" si="127">INDIRECT("'"&amp;$A80&amp;"'"&amp;"!$k$25")</f>
        <v>26.84</v>
      </c>
      <c r="AK80" s="439">
        <f t="shared" ref="AK80:AK129" ca="1" si="128">INDIRECT("'"&amp;$A80&amp;"'"&amp;"!$n$25")</f>
        <v>13.77</v>
      </c>
      <c r="AL80" s="439">
        <f t="shared" ref="AL80:AL129" ca="1" si="129">INDIRECT("'"&amp;$A80&amp;"'"&amp;"!$e$26")</f>
        <v>1.198</v>
      </c>
      <c r="AM80" s="439">
        <f t="shared" ref="AM80:AM129" ca="1" si="130">INDIRECT("'"&amp;$A80&amp;"'"&amp;"!$h$26")</f>
        <v>1.2529999999999999</v>
      </c>
      <c r="AN80" s="439">
        <f t="shared" ref="AN80:AN129" ca="1" si="131">INDIRECT("'"&amp;$A80&amp;"'"&amp;"!$k$26")</f>
        <v>1.198</v>
      </c>
      <c r="AO80" s="439">
        <f t="shared" ref="AO80:AO129" ca="1" si="132">INDIRECT("'"&amp;$A80&amp;"'"&amp;"!$n$26")</f>
        <v>0.58499999999999996</v>
      </c>
      <c r="AP80" s="439">
        <f t="shared" ref="AP80:AP129" ca="1" si="133">INDIRECT("'"&amp;$A80&amp;"'"&amp;"!$e$27")</f>
        <v>1.0940000000000001</v>
      </c>
      <c r="AQ80" s="439">
        <f t="shared" ref="AQ80:AQ129" ca="1" si="134">INDIRECT("'"&amp;$A80&amp;"'"&amp;"!$h$27")</f>
        <v>1.177</v>
      </c>
      <c r="AR80" s="439">
        <f t="shared" ref="AR80:AR129" ca="1" si="135">INDIRECT("'"&amp;$A80&amp;"'"&amp;"!$k$27")</f>
        <v>1.0640000000000001</v>
      </c>
      <c r="AS80" s="439">
        <f t="shared" ref="AS80:AS129" ca="1" si="136">INDIRECT("'"&amp;$A80&amp;"'"&amp;"!$n$27")</f>
        <v>0.503</v>
      </c>
      <c r="AT80" s="439">
        <f t="shared" ref="AT80:AT129" ca="1" si="137">INDIRECT("'"&amp;$A80&amp;"'"&amp;"!$e$28")</f>
        <v>4.78</v>
      </c>
      <c r="AU80" s="439">
        <f t="shared" ref="AU80:AU129" ca="1" si="138">INDIRECT("'"&amp;$A80&amp;"'"&amp;"!$h$28")</f>
        <v>5.03</v>
      </c>
      <c r="AV80" s="439">
        <f t="shared" ref="AV80:AV129" ca="1" si="139">INDIRECT("'"&amp;$A80&amp;"'"&amp;"!$k$28")</f>
        <v>5.13</v>
      </c>
      <c r="AW80" s="439">
        <f t="shared" ref="AW80:AW129" ca="1" si="140">INDIRECT("'"&amp;$A80&amp;"'"&amp;"!$n$28")</f>
        <v>2.2799999999999998</v>
      </c>
    </row>
    <row r="81" spans="1:49" ht="15.75" x14ac:dyDescent="0.25">
      <c r="A81" s="437" t="str">
        <f>INDEX(Оглавление, ROW())</f>
        <v>[Цены на приграничных АЗС 2017-2020 (7138827 v1).XLSM]Цены на 08.01.2019</v>
      </c>
      <c r="B81" s="438">
        <f t="shared" ca="1" si="90"/>
        <v>43473</v>
      </c>
      <c r="C81" s="439">
        <f t="shared" ca="1" si="94"/>
        <v>7.8160999999999996</v>
      </c>
      <c r="D81" s="439">
        <f t="shared" ca="1" si="95"/>
        <v>2.1726999999999999</v>
      </c>
      <c r="E81" s="439">
        <f t="shared" ca="1" si="96"/>
        <v>2.4780000000000002</v>
      </c>
      <c r="F81" s="439">
        <f t="shared" ca="1" si="97"/>
        <v>5.7573999999999996</v>
      </c>
      <c r="G81" s="439">
        <f t="shared" ca="1" si="98"/>
        <v>3.1781000000000001</v>
      </c>
      <c r="H81" s="439">
        <f t="shared" ca="1" si="99"/>
        <v>1.43</v>
      </c>
      <c r="I81" s="439">
        <f t="shared" ca="1" si="100"/>
        <v>1.54</v>
      </c>
      <c r="J81" s="439">
        <f t="shared" ca="1" si="101"/>
        <v>1.65</v>
      </c>
      <c r="K81" s="439">
        <f t="shared" ca="1" si="102"/>
        <v>1.54</v>
      </c>
      <c r="L81" s="439">
        <f t="shared" ca="1" si="103"/>
        <v>0.82</v>
      </c>
      <c r="M81" s="439">
        <f t="shared" ca="1" si="104"/>
        <v>41.91</v>
      </c>
      <c r="N81" s="439">
        <f t="shared" ca="1" si="105"/>
        <v>45.55</v>
      </c>
      <c r="O81" s="439">
        <f t="shared" ca="1" si="106"/>
        <v>51.09</v>
      </c>
      <c r="P81" s="439">
        <f t="shared" ca="1" si="107"/>
        <v>46.18</v>
      </c>
      <c r="Q81" s="439">
        <f t="shared" ca="1" si="108"/>
        <v>25.38</v>
      </c>
      <c r="R81" s="439">
        <f t="shared" ca="1" si="109"/>
        <v>40.83</v>
      </c>
      <c r="S81" s="439">
        <f t="shared" ca="1" si="110"/>
        <v>43.83</v>
      </c>
      <c r="T81" s="439">
        <f t="shared" ca="1" si="111"/>
        <v>48.5</v>
      </c>
      <c r="U81" s="439">
        <f t="shared" ca="1" si="112"/>
        <v>45.88</v>
      </c>
      <c r="V81" s="439">
        <f t="shared" ca="1" si="113"/>
        <v>25.84</v>
      </c>
      <c r="W81" s="439">
        <f t="shared" ca="1" si="114"/>
        <v>40.909999999999997</v>
      </c>
      <c r="X81" s="439">
        <f t="shared" ca="1" si="115"/>
        <v>44.09</v>
      </c>
      <c r="Y81" s="439">
        <f t="shared" ca="1" si="116"/>
        <v>47.6</v>
      </c>
      <c r="Z81" s="439">
        <f t="shared" ca="1" si="117"/>
        <v>45.48</v>
      </c>
      <c r="AA81" s="439">
        <f t="shared" ca="1" si="118"/>
        <v>25.46</v>
      </c>
      <c r="AB81" s="439">
        <f t="shared" ca="1" si="119"/>
        <v>41.51</v>
      </c>
      <c r="AC81" s="439">
        <f t="shared" ca="1" si="120"/>
        <v>44.3</v>
      </c>
      <c r="AD81" s="439">
        <f t="shared" ca="1" si="121"/>
        <v>51.25</v>
      </c>
      <c r="AE81" s="439">
        <f t="shared" ca="1" si="122"/>
        <v>46.68</v>
      </c>
      <c r="AF81" s="439">
        <f t="shared" ca="1" si="123"/>
        <v>24.57</v>
      </c>
      <c r="AG81" s="439">
        <f t="shared" ca="1" si="124"/>
        <v>29</v>
      </c>
      <c r="AH81" s="439">
        <f t="shared" ca="1" si="125"/>
        <v>29.95</v>
      </c>
      <c r="AI81" s="439">
        <f t="shared" ca="1" si="126"/>
        <v>32.39</v>
      </c>
      <c r="AJ81" s="439">
        <f t="shared" ca="1" si="127"/>
        <v>26.84</v>
      </c>
      <c r="AK81" s="439">
        <f t="shared" ca="1" si="128"/>
        <v>13.57</v>
      </c>
      <c r="AL81" s="439">
        <f t="shared" ca="1" si="129"/>
        <v>1.1879999999999999</v>
      </c>
      <c r="AM81" s="439">
        <f t="shared" ca="1" si="130"/>
        <v>1.2430000000000001</v>
      </c>
      <c r="AN81" s="439">
        <f t="shared" ca="1" si="131"/>
        <v>1.1879999999999999</v>
      </c>
      <c r="AO81" s="439">
        <f t="shared" ca="1" si="132"/>
        <v>0.58499999999999996</v>
      </c>
      <c r="AP81" s="439">
        <f t="shared" ca="1" si="133"/>
        <v>1.0660000000000001</v>
      </c>
      <c r="AQ81" s="439">
        <f t="shared" ca="1" si="134"/>
        <v>1.135</v>
      </c>
      <c r="AR81" s="439">
        <f t="shared" ca="1" si="135"/>
        <v>1.044</v>
      </c>
      <c r="AS81" s="439">
        <f t="shared" ca="1" si="136"/>
        <v>0.49299999999999999</v>
      </c>
      <c r="AT81" s="439">
        <f t="shared" ca="1" si="137"/>
        <v>4.76</v>
      </c>
      <c r="AU81" s="439">
        <f t="shared" ca="1" si="138"/>
        <v>5.18</v>
      </c>
      <c r="AV81" s="439">
        <f t="shared" ca="1" si="139"/>
        <v>5.12</v>
      </c>
      <c r="AW81" s="439">
        <f t="shared" ca="1" si="140"/>
        <v>2.29</v>
      </c>
    </row>
    <row r="82" spans="1:49" ht="15.75" x14ac:dyDescent="0.25">
      <c r="A82" s="437" t="str">
        <f>INDEX(Оглавление, ROW())</f>
        <v>[Цены на приграничных АЗС 2017-2020 (7138827 v1).XLSM]Цены на 14.01.2019</v>
      </c>
      <c r="B82" s="438">
        <f t="shared" ca="1" si="90"/>
        <v>43479</v>
      </c>
      <c r="C82" s="439">
        <f t="shared" ca="1" si="94"/>
        <v>7.6471999999999998</v>
      </c>
      <c r="D82" s="439">
        <f t="shared" ca="1" si="95"/>
        <v>2.1503000000000001</v>
      </c>
      <c r="E82" s="439">
        <f t="shared" ca="1" si="96"/>
        <v>2.4777999999999998</v>
      </c>
      <c r="F82" s="439">
        <f t="shared" ca="1" si="97"/>
        <v>5.7667000000000002</v>
      </c>
      <c r="G82" s="439">
        <f t="shared" ca="1" si="98"/>
        <v>3.2143999999999999</v>
      </c>
      <c r="H82" s="439">
        <f t="shared" ca="1" si="99"/>
        <v>1.43</v>
      </c>
      <c r="I82" s="439">
        <f t="shared" ca="1" si="100"/>
        <v>1.54</v>
      </c>
      <c r="J82" s="439">
        <f t="shared" ca="1" si="101"/>
        <v>1.65</v>
      </c>
      <c r="K82" s="439">
        <f t="shared" ca="1" si="102"/>
        <v>1.54</v>
      </c>
      <c r="L82" s="439">
        <f t="shared" ca="1" si="103"/>
        <v>0.82</v>
      </c>
      <c r="M82" s="439">
        <f t="shared" ca="1" si="104"/>
        <v>42.01</v>
      </c>
      <c r="N82" s="439">
        <f t="shared" ca="1" si="105"/>
        <v>45.67</v>
      </c>
      <c r="O82" s="439">
        <f t="shared" ca="1" si="106"/>
        <v>52.57</v>
      </c>
      <c r="P82" s="439">
        <f t="shared" ca="1" si="107"/>
        <v>46.62</v>
      </c>
      <c r="Q82" s="439">
        <f t="shared" ca="1" si="108"/>
        <v>25.5</v>
      </c>
      <c r="R82" s="439">
        <f t="shared" ca="1" si="109"/>
        <v>41.27</v>
      </c>
      <c r="S82" s="439">
        <f t="shared" ca="1" si="110"/>
        <v>44.35</v>
      </c>
      <c r="T82" s="439">
        <f t="shared" ca="1" si="111"/>
        <v>48.5</v>
      </c>
      <c r="U82" s="439">
        <f t="shared" ca="1" si="112"/>
        <v>46.1</v>
      </c>
      <c r="V82" s="439">
        <f t="shared" ca="1" si="113"/>
        <v>26.32</v>
      </c>
      <c r="W82" s="439">
        <f t="shared" ca="1" si="114"/>
        <v>41.43</v>
      </c>
      <c r="X82" s="439">
        <f t="shared" ca="1" si="115"/>
        <v>44.65</v>
      </c>
      <c r="Y82" s="439">
        <f t="shared" ca="1" si="116"/>
        <v>48.27</v>
      </c>
      <c r="Z82" s="439">
        <f t="shared" ca="1" si="117"/>
        <v>46.22</v>
      </c>
      <c r="AA82" s="439">
        <f t="shared" ca="1" si="118"/>
        <v>25.46</v>
      </c>
      <c r="AB82" s="439">
        <f t="shared" ca="1" si="119"/>
        <v>40.71</v>
      </c>
      <c r="AC82" s="439">
        <f t="shared" ca="1" si="120"/>
        <v>43.23</v>
      </c>
      <c r="AD82" s="439">
        <f t="shared" ca="1" si="121"/>
        <v>51.26</v>
      </c>
      <c r="AE82" s="439">
        <f t="shared" ca="1" si="122"/>
        <v>46.17</v>
      </c>
      <c r="AF82" s="439">
        <f t="shared" ca="1" si="123"/>
        <v>25.1</v>
      </c>
      <c r="AG82" s="439">
        <f t="shared" ca="1" si="124"/>
        <v>28.89</v>
      </c>
      <c r="AH82" s="439">
        <f t="shared" ca="1" si="125"/>
        <v>29.89</v>
      </c>
      <c r="AI82" s="439">
        <f t="shared" ca="1" si="126"/>
        <v>32.39</v>
      </c>
      <c r="AJ82" s="439">
        <f t="shared" ca="1" si="127"/>
        <v>26.84</v>
      </c>
      <c r="AK82" s="439">
        <f t="shared" ca="1" si="128"/>
        <v>13.07</v>
      </c>
      <c r="AL82" s="439">
        <f t="shared" ca="1" si="129"/>
        <v>1.1759999999999999</v>
      </c>
      <c r="AM82" s="439">
        <f t="shared" ca="1" si="130"/>
        <v>1.2310000000000001</v>
      </c>
      <c r="AN82" s="439">
        <f t="shared" ca="1" si="131"/>
        <v>1.1739999999999999</v>
      </c>
      <c r="AO82" s="439">
        <f t="shared" ca="1" si="132"/>
        <v>0.58499999999999996</v>
      </c>
      <c r="AP82" s="439">
        <f t="shared" ca="1" si="133"/>
        <v>1.0489999999999999</v>
      </c>
      <c r="AQ82" s="439">
        <f t="shared" ca="1" si="134"/>
        <v>1.135</v>
      </c>
      <c r="AR82" s="439">
        <f t="shared" ca="1" si="135"/>
        <v>1.0489999999999999</v>
      </c>
      <c r="AS82" s="439">
        <f t="shared" ca="1" si="136"/>
        <v>0.49299999999999999</v>
      </c>
      <c r="AT82" s="439">
        <f t="shared" ca="1" si="137"/>
        <v>4.7300000000000004</v>
      </c>
      <c r="AU82" s="439">
        <f t="shared" ca="1" si="138"/>
        <v>5.03</v>
      </c>
      <c r="AV82" s="439">
        <f t="shared" ca="1" si="139"/>
        <v>5.07</v>
      </c>
      <c r="AW82" s="439">
        <f t="shared" ca="1" si="140"/>
        <v>2.23</v>
      </c>
    </row>
    <row r="83" spans="1:49" ht="15.75" x14ac:dyDescent="0.25">
      <c r="A83" s="437" t="str">
        <f>INDEX(Оглавление, ROW())</f>
        <v>[Цены на приграничных АЗС 2017-2020 (7138827 v1).XLSM]Цены на 21.01.2019</v>
      </c>
      <c r="B83" s="438">
        <f t="shared" ca="1" si="90"/>
        <v>43486</v>
      </c>
      <c r="C83" s="439">
        <f t="shared" ca="1" si="94"/>
        <v>7.6825999999999999</v>
      </c>
      <c r="D83" s="439">
        <f t="shared" ca="1" si="95"/>
        <v>2.1499000000000001</v>
      </c>
      <c r="E83" s="439">
        <f t="shared" ca="1" si="96"/>
        <v>2.4500999999999999</v>
      </c>
      <c r="F83" s="439">
        <f t="shared" ca="1" si="97"/>
        <v>5.7037000000000004</v>
      </c>
      <c r="G83" s="439">
        <f t="shared" ca="1" si="98"/>
        <v>3.2408999999999999</v>
      </c>
      <c r="H83" s="439">
        <f t="shared" ca="1" si="99"/>
        <v>1.41</v>
      </c>
      <c r="I83" s="439">
        <f t="shared" ca="1" si="100"/>
        <v>1.52</v>
      </c>
      <c r="J83" s="439">
        <f t="shared" ca="1" si="101"/>
        <v>1.63</v>
      </c>
      <c r="K83" s="439">
        <f t="shared" ca="1" si="102"/>
        <v>1.53</v>
      </c>
      <c r="L83" s="439">
        <f t="shared" ca="1" si="103"/>
        <v>0.82</v>
      </c>
      <c r="M83" s="439">
        <f t="shared" ca="1" si="104"/>
        <v>42.18</v>
      </c>
      <c r="N83" s="439">
        <f t="shared" ca="1" si="105"/>
        <v>45.8</v>
      </c>
      <c r="O83" s="439">
        <f t="shared" ca="1" si="106"/>
        <v>51.13</v>
      </c>
      <c r="P83" s="439">
        <f t="shared" ca="1" si="107"/>
        <v>46.79</v>
      </c>
      <c r="Q83" s="439">
        <f t="shared" ca="1" si="108"/>
        <v>25.11</v>
      </c>
      <c r="R83" s="439">
        <f t="shared" ca="1" si="109"/>
        <v>41.2</v>
      </c>
      <c r="S83" s="439">
        <f t="shared" ca="1" si="110"/>
        <v>44.28</v>
      </c>
      <c r="T83" s="439">
        <f t="shared" ca="1" si="111"/>
        <v>48.4</v>
      </c>
      <c r="U83" s="439">
        <f t="shared" ca="1" si="112"/>
        <v>46.67</v>
      </c>
      <c r="V83" s="439">
        <f t="shared" ca="1" si="113"/>
        <v>26.07</v>
      </c>
      <c r="W83" s="439">
        <f t="shared" ca="1" si="114"/>
        <v>41.49</v>
      </c>
      <c r="X83" s="439">
        <f t="shared" ca="1" si="115"/>
        <v>44.74</v>
      </c>
      <c r="Y83" s="439">
        <f t="shared" ca="1" si="116"/>
        <v>48.4</v>
      </c>
      <c r="Z83" s="439">
        <f t="shared" ca="1" si="117"/>
        <v>46.15</v>
      </c>
      <c r="AA83" s="439">
        <f t="shared" ca="1" si="118"/>
        <v>25.46</v>
      </c>
      <c r="AB83" s="439">
        <f t="shared" ca="1" si="119"/>
        <v>40.71</v>
      </c>
      <c r="AC83" s="439">
        <f t="shared" ca="1" si="120"/>
        <v>43.23</v>
      </c>
      <c r="AD83" s="439">
        <f t="shared" ca="1" si="121"/>
        <v>51.26</v>
      </c>
      <c r="AE83" s="439">
        <f t="shared" ca="1" si="122"/>
        <v>46.17</v>
      </c>
      <c r="AF83" s="439">
        <f t="shared" ca="1" si="123"/>
        <v>25.1</v>
      </c>
      <c r="AG83" s="439">
        <f t="shared" ca="1" si="124"/>
        <v>28.39</v>
      </c>
      <c r="AH83" s="439">
        <f t="shared" ca="1" si="125"/>
        <v>29.89</v>
      </c>
      <c r="AI83" s="439">
        <f t="shared" ca="1" si="126"/>
        <v>32.39</v>
      </c>
      <c r="AJ83" s="439">
        <f t="shared" ca="1" si="127"/>
        <v>26.84</v>
      </c>
      <c r="AK83" s="439">
        <f t="shared" ca="1" si="128"/>
        <v>12.4</v>
      </c>
      <c r="AL83" s="439">
        <f t="shared" ca="1" si="129"/>
        <v>1.1739999999999999</v>
      </c>
      <c r="AM83" s="439">
        <f t="shared" ca="1" si="130"/>
        <v>1.2290000000000001</v>
      </c>
      <c r="AN83" s="439">
        <f t="shared" ca="1" si="131"/>
        <v>1.1739999999999999</v>
      </c>
      <c r="AO83" s="439">
        <f t="shared" ca="1" si="132"/>
        <v>0.58499999999999996</v>
      </c>
      <c r="AP83" s="439">
        <f t="shared" ca="1" si="133"/>
        <v>1.085</v>
      </c>
      <c r="AQ83" s="439">
        <f t="shared" ca="1" si="134"/>
        <v>1.1539999999999999</v>
      </c>
      <c r="AR83" s="439">
        <f t="shared" ca="1" si="135"/>
        <v>1.0740000000000001</v>
      </c>
      <c r="AS83" s="439">
        <f t="shared" ca="1" si="136"/>
        <v>0.49299999999999999</v>
      </c>
      <c r="AT83" s="439">
        <f t="shared" ca="1" si="137"/>
        <v>4.71</v>
      </c>
      <c r="AU83" s="439">
        <f t="shared" ca="1" si="138"/>
        <v>4.96</v>
      </c>
      <c r="AV83" s="439">
        <f t="shared" ca="1" si="139"/>
        <v>5.01</v>
      </c>
      <c r="AW83" s="439">
        <f t="shared" ca="1" si="140"/>
        <v>2.2000000000000002</v>
      </c>
    </row>
    <row r="84" spans="1:49" ht="15.75" x14ac:dyDescent="0.25">
      <c r="A84" s="437" t="str">
        <f>INDEX(Оглавление, ROW())</f>
        <v>[Цены на приграничных АЗС 2017-2020 (7138827 v1).XLSM]Цены на 28.01.2019</v>
      </c>
      <c r="B84" s="438">
        <f t="shared" ca="1" si="90"/>
        <v>43493</v>
      </c>
      <c r="C84" s="439">
        <f t="shared" ca="1" si="94"/>
        <v>7.7450999999999999</v>
      </c>
      <c r="D84" s="439">
        <f t="shared" ca="1" si="95"/>
        <v>2.1516000000000002</v>
      </c>
      <c r="E84" s="439">
        <f t="shared" ca="1" si="96"/>
        <v>2.4363999999999999</v>
      </c>
      <c r="F84" s="439">
        <f t="shared" ca="1" si="97"/>
        <v>5.6851000000000003</v>
      </c>
      <c r="G84" s="439">
        <f t="shared" ca="1" si="98"/>
        <v>3.2660999999999998</v>
      </c>
      <c r="H84" s="439">
        <f t="shared" ca="1" si="99"/>
        <v>1.43</v>
      </c>
      <c r="I84" s="439">
        <f t="shared" ca="1" si="100"/>
        <v>1.54</v>
      </c>
      <c r="J84" s="439">
        <f t="shared" ca="1" si="101"/>
        <v>1.65</v>
      </c>
      <c r="K84" s="439">
        <f t="shared" ca="1" si="102"/>
        <v>1.54</v>
      </c>
      <c r="L84" s="439">
        <f t="shared" ca="1" si="103"/>
        <v>0.82</v>
      </c>
      <c r="M84" s="439">
        <f t="shared" ca="1" si="104"/>
        <v>42.32</v>
      </c>
      <c r="N84" s="439">
        <f t="shared" ca="1" si="105"/>
        <v>45.87</v>
      </c>
      <c r="O84" s="439">
        <f t="shared" ca="1" si="106"/>
        <v>51.13</v>
      </c>
      <c r="P84" s="439">
        <f t="shared" ca="1" si="107"/>
        <v>46.44</v>
      </c>
      <c r="Q84" s="439">
        <f t="shared" ca="1" si="108"/>
        <v>25.11</v>
      </c>
      <c r="R84" s="439">
        <f t="shared" ca="1" si="109"/>
        <v>41.06</v>
      </c>
      <c r="S84" s="439">
        <f t="shared" ca="1" si="110"/>
        <v>44.12</v>
      </c>
      <c r="T84" s="439">
        <f t="shared" ca="1" si="111"/>
        <v>48.9</v>
      </c>
      <c r="U84" s="439">
        <f t="shared" ca="1" si="112"/>
        <v>47.26</v>
      </c>
      <c r="V84" s="439">
        <f t="shared" ca="1" si="113"/>
        <v>26.14</v>
      </c>
      <c r="W84" s="439">
        <f t="shared" ca="1" si="114"/>
        <v>41.49</v>
      </c>
      <c r="X84" s="439">
        <f t="shared" ca="1" si="115"/>
        <v>44.65</v>
      </c>
      <c r="Y84" s="439">
        <f t="shared" ca="1" si="116"/>
        <v>48.4</v>
      </c>
      <c r="Z84" s="439">
        <f t="shared" ca="1" si="117"/>
        <v>46.46</v>
      </c>
      <c r="AA84" s="439">
        <f t="shared" ca="1" si="118"/>
        <v>25.46</v>
      </c>
      <c r="AB84" s="439">
        <f t="shared" ca="1" si="119"/>
        <v>40.71</v>
      </c>
      <c r="AC84" s="439">
        <f t="shared" ca="1" si="120"/>
        <v>43.23</v>
      </c>
      <c r="AD84" s="439">
        <f t="shared" ca="1" si="121"/>
        <v>51.26</v>
      </c>
      <c r="AE84" s="439">
        <f t="shared" ca="1" si="122"/>
        <v>46.17</v>
      </c>
      <c r="AF84" s="439">
        <f t="shared" ca="1" si="123"/>
        <v>25.1</v>
      </c>
      <c r="AG84" s="439">
        <f t="shared" ca="1" si="124"/>
        <v>28.39</v>
      </c>
      <c r="AH84" s="439">
        <f t="shared" ca="1" si="125"/>
        <v>29.89</v>
      </c>
      <c r="AI84" s="439">
        <f t="shared" ca="1" si="126"/>
        <v>32.39</v>
      </c>
      <c r="AJ84" s="439">
        <f t="shared" ca="1" si="127"/>
        <v>26.84</v>
      </c>
      <c r="AK84" s="439">
        <f t="shared" ca="1" si="128"/>
        <v>11.78</v>
      </c>
      <c r="AL84" s="439">
        <f t="shared" ca="1" si="129"/>
        <v>1.1739999999999999</v>
      </c>
      <c r="AM84" s="439">
        <f t="shared" ca="1" si="130"/>
        <v>1.2290000000000001</v>
      </c>
      <c r="AN84" s="439">
        <f t="shared" ca="1" si="131"/>
        <v>1.1739999999999999</v>
      </c>
      <c r="AO84" s="439">
        <f t="shared" ca="1" si="132"/>
        <v>0.58499999999999996</v>
      </c>
      <c r="AP84" s="439">
        <f t="shared" ca="1" si="133"/>
        <v>1.069</v>
      </c>
      <c r="AQ84" s="439">
        <f t="shared" ca="1" si="134"/>
        <v>1.1539999999999999</v>
      </c>
      <c r="AR84" s="439">
        <f t="shared" ca="1" si="135"/>
        <v>1.0640000000000001</v>
      </c>
      <c r="AS84" s="439">
        <f t="shared" ca="1" si="136"/>
        <v>0.49299999999999999</v>
      </c>
      <c r="AT84" s="439">
        <f t="shared" ca="1" si="137"/>
        <v>4.74</v>
      </c>
      <c r="AU84" s="439">
        <f t="shared" ca="1" si="138"/>
        <v>4.95</v>
      </c>
      <c r="AV84" s="439">
        <f t="shared" ca="1" si="139"/>
        <v>5.01</v>
      </c>
      <c r="AW84" s="439">
        <f t="shared" ca="1" si="140"/>
        <v>2.2000000000000002</v>
      </c>
    </row>
    <row r="85" spans="1:49" ht="15.75" x14ac:dyDescent="0.25">
      <c r="A85" s="437" t="str">
        <f>INDEX(Оглавление, ROW())</f>
        <v>[Цены на приграничных АЗС 2017-2020 (7138827 v1).XLSM]Цены на 04.02.2019</v>
      </c>
      <c r="B85" s="438">
        <f t="shared" ca="1" si="90"/>
        <v>43500</v>
      </c>
      <c r="C85" s="439">
        <f t="shared" ca="1" si="94"/>
        <v>7.8305999999999996</v>
      </c>
      <c r="D85" s="439">
        <f t="shared" ca="1" si="95"/>
        <v>2.1575000000000002</v>
      </c>
      <c r="E85" s="439">
        <f t="shared" ca="1" si="96"/>
        <v>2.4704999999999999</v>
      </c>
      <c r="F85" s="439">
        <f t="shared" ca="1" si="97"/>
        <v>5.7926000000000002</v>
      </c>
      <c r="G85" s="439">
        <f t="shared" ca="1" si="98"/>
        <v>3.2884000000000002</v>
      </c>
      <c r="H85" s="439">
        <f t="shared" ca="1" si="99"/>
        <v>1.43</v>
      </c>
      <c r="I85" s="439">
        <f t="shared" ca="1" si="100"/>
        <v>1.54</v>
      </c>
      <c r="J85" s="439">
        <f t="shared" ca="1" si="101"/>
        <v>1.65</v>
      </c>
      <c r="K85" s="439">
        <f t="shared" ca="1" si="102"/>
        <v>1.54</v>
      </c>
      <c r="L85" s="439">
        <f t="shared" ca="1" si="103"/>
        <v>0.82</v>
      </c>
      <c r="M85" s="439">
        <f t="shared" ca="1" si="104"/>
        <v>42.27</v>
      </c>
      <c r="N85" s="439">
        <f t="shared" ca="1" si="105"/>
        <v>45.88</v>
      </c>
      <c r="O85" s="439">
        <f t="shared" ca="1" si="106"/>
        <v>51.13</v>
      </c>
      <c r="P85" s="439">
        <f t="shared" ca="1" si="107"/>
        <v>46.62</v>
      </c>
      <c r="Q85" s="439">
        <f t="shared" ca="1" si="108"/>
        <v>24.81</v>
      </c>
      <c r="R85" s="439">
        <f t="shared" ca="1" si="109"/>
        <v>41.03</v>
      </c>
      <c r="S85" s="439">
        <f t="shared" ca="1" si="110"/>
        <v>44.08</v>
      </c>
      <c r="T85" s="439">
        <f t="shared" ca="1" si="111"/>
        <v>48.9</v>
      </c>
      <c r="U85" s="439">
        <f t="shared" ca="1" si="112"/>
        <v>47.36</v>
      </c>
      <c r="V85" s="439">
        <f t="shared" ca="1" si="113"/>
        <v>25.57</v>
      </c>
      <c r="W85" s="439">
        <f t="shared" ca="1" si="114"/>
        <v>41.45</v>
      </c>
      <c r="X85" s="439">
        <f t="shared" ca="1" si="115"/>
        <v>44.68</v>
      </c>
      <c r="Y85" s="439">
        <f t="shared" ca="1" si="116"/>
        <v>48.48</v>
      </c>
      <c r="Z85" s="439">
        <f t="shared" ca="1" si="117"/>
        <v>46.46</v>
      </c>
      <c r="AA85" s="439">
        <f t="shared" ca="1" si="118"/>
        <v>26.8</v>
      </c>
      <c r="AB85" s="439">
        <f t="shared" ca="1" si="119"/>
        <v>41.75</v>
      </c>
      <c r="AC85" s="439">
        <f t="shared" ca="1" si="120"/>
        <v>44.6</v>
      </c>
      <c r="AD85" s="439">
        <f t="shared" ca="1" si="121"/>
        <v>51.26</v>
      </c>
      <c r="AE85" s="439">
        <f t="shared" ca="1" si="122"/>
        <v>47.05</v>
      </c>
      <c r="AF85" s="439">
        <f t="shared" ca="1" si="123"/>
        <v>25.1</v>
      </c>
      <c r="AG85" s="439">
        <f t="shared" ca="1" si="124"/>
        <v>28.24</v>
      </c>
      <c r="AH85" s="439">
        <f t="shared" ca="1" si="125"/>
        <v>29.89</v>
      </c>
      <c r="AI85" s="439">
        <f t="shared" ca="1" si="126"/>
        <v>32.39</v>
      </c>
      <c r="AJ85" s="439">
        <f t="shared" ca="1" si="127"/>
        <v>26.84</v>
      </c>
      <c r="AK85" s="439">
        <f t="shared" ca="1" si="128"/>
        <v>10.93</v>
      </c>
      <c r="AL85" s="439">
        <f t="shared" ca="1" si="129"/>
        <v>1.1739999999999999</v>
      </c>
      <c r="AM85" s="439">
        <f t="shared" ca="1" si="130"/>
        <v>1.2290000000000001</v>
      </c>
      <c r="AN85" s="439">
        <f t="shared" ca="1" si="131"/>
        <v>1.1739999999999999</v>
      </c>
      <c r="AO85" s="439">
        <f t="shared" ca="1" si="132"/>
        <v>0.58499999999999996</v>
      </c>
      <c r="AP85" s="439">
        <f t="shared" ca="1" si="133"/>
        <v>1.08</v>
      </c>
      <c r="AQ85" s="439">
        <f t="shared" ca="1" si="134"/>
        <v>1.149</v>
      </c>
      <c r="AR85" s="439">
        <f t="shared" ca="1" si="135"/>
        <v>1.0640000000000001</v>
      </c>
      <c r="AS85" s="439">
        <f t="shared" ca="1" si="136"/>
        <v>0.49299999999999999</v>
      </c>
      <c r="AT85" s="439">
        <f t="shared" ca="1" si="137"/>
        <v>4.74</v>
      </c>
      <c r="AU85" s="439">
        <f t="shared" ca="1" si="138"/>
        <v>5.03</v>
      </c>
      <c r="AV85" s="439">
        <f t="shared" ca="1" si="139"/>
        <v>5.0199999999999996</v>
      </c>
      <c r="AW85" s="439">
        <f t="shared" ca="1" si="140"/>
        <v>2.17</v>
      </c>
    </row>
    <row r="86" spans="1:49" ht="15.75" x14ac:dyDescent="0.25">
      <c r="A86" s="437" t="str">
        <f>INDEX(Оглавление, ROW())</f>
        <v>[Цены на приграничных АЗС 2017-2020 (7138827 v1).XLSM]Цены на 11.02.2019</v>
      </c>
      <c r="B86" s="438">
        <f t="shared" ca="1" si="90"/>
        <v>43507</v>
      </c>
      <c r="C86" s="439">
        <f t="shared" ca="1" si="94"/>
        <v>8.0396000000000001</v>
      </c>
      <c r="D86" s="439">
        <f t="shared" ca="1" si="95"/>
        <v>2.1663999999999999</v>
      </c>
      <c r="E86" s="439">
        <f t="shared" ca="1" si="96"/>
        <v>2.4548999999999999</v>
      </c>
      <c r="F86" s="439">
        <f t="shared" ca="1" si="97"/>
        <v>5.6993</v>
      </c>
      <c r="G86" s="439">
        <f t="shared" ca="1" si="98"/>
        <v>3.2816999999999998</v>
      </c>
      <c r="H86" s="439">
        <f t="shared" ca="1" si="99"/>
        <v>1.43</v>
      </c>
      <c r="I86" s="439">
        <f t="shared" ca="1" si="100"/>
        <v>1.54</v>
      </c>
      <c r="J86" s="439">
        <f t="shared" ca="1" si="101"/>
        <v>1.65</v>
      </c>
      <c r="K86" s="439">
        <f t="shared" ca="1" si="102"/>
        <v>1.54</v>
      </c>
      <c r="L86" s="439">
        <f t="shared" ca="1" si="103"/>
        <v>0.82</v>
      </c>
      <c r="M86" s="439">
        <f t="shared" ca="1" si="104"/>
        <v>42.29</v>
      </c>
      <c r="N86" s="439">
        <f t="shared" ca="1" si="105"/>
        <v>45.92</v>
      </c>
      <c r="O86" s="439">
        <f t="shared" ca="1" si="106"/>
        <v>51.13</v>
      </c>
      <c r="P86" s="439">
        <f t="shared" ca="1" si="107"/>
        <v>46.64</v>
      </c>
      <c r="Q86" s="439">
        <f t="shared" ca="1" si="108"/>
        <v>24.59</v>
      </c>
      <c r="R86" s="439">
        <f t="shared" ca="1" si="109"/>
        <v>40.82</v>
      </c>
      <c r="S86" s="439">
        <f t="shared" ca="1" si="110"/>
        <v>43.89</v>
      </c>
      <c r="T86" s="439">
        <f t="shared" ca="1" si="111"/>
        <v>48.9</v>
      </c>
      <c r="U86" s="439">
        <f t="shared" ca="1" si="112"/>
        <v>47.39</v>
      </c>
      <c r="V86" s="439">
        <f t="shared" ca="1" si="113"/>
        <v>25.57</v>
      </c>
      <c r="W86" s="439">
        <f t="shared" ca="1" si="114"/>
        <v>41.47</v>
      </c>
      <c r="X86" s="439">
        <f t="shared" ca="1" si="115"/>
        <v>45.56</v>
      </c>
      <c r="Y86" s="439">
        <f t="shared" ca="1" si="116"/>
        <v>48.4</v>
      </c>
      <c r="Z86" s="439">
        <f t="shared" ca="1" si="117"/>
        <v>46.54</v>
      </c>
      <c r="AA86" s="439">
        <f t="shared" ca="1" si="118"/>
        <v>26.8</v>
      </c>
      <c r="AB86" s="439">
        <f t="shared" ca="1" si="119"/>
        <v>41.75</v>
      </c>
      <c r="AC86" s="439">
        <f t="shared" ca="1" si="120"/>
        <v>44.6</v>
      </c>
      <c r="AD86" s="439">
        <f t="shared" ca="1" si="121"/>
        <v>51.26</v>
      </c>
      <c r="AE86" s="439">
        <f t="shared" ca="1" si="122"/>
        <v>47.05</v>
      </c>
      <c r="AF86" s="439">
        <f t="shared" ca="1" si="123"/>
        <v>25.1</v>
      </c>
      <c r="AG86" s="439">
        <f t="shared" ca="1" si="124"/>
        <v>28.24</v>
      </c>
      <c r="AH86" s="439">
        <f t="shared" ca="1" si="125"/>
        <v>29.89</v>
      </c>
      <c r="AI86" s="439">
        <f t="shared" ca="1" si="126"/>
        <v>32.39</v>
      </c>
      <c r="AJ86" s="439">
        <f t="shared" ca="1" si="127"/>
        <v>26.84</v>
      </c>
      <c r="AK86" s="439">
        <f t="shared" ca="1" si="128"/>
        <v>10.73</v>
      </c>
      <c r="AL86" s="439">
        <f t="shared" ca="1" si="129"/>
        <v>1.1739999999999999</v>
      </c>
      <c r="AM86" s="439">
        <f t="shared" ca="1" si="130"/>
        <v>1.2290000000000001</v>
      </c>
      <c r="AN86" s="439">
        <f t="shared" ca="1" si="131"/>
        <v>1.1739999999999999</v>
      </c>
      <c r="AO86" s="439">
        <f t="shared" ca="1" si="132"/>
        <v>0.58499999999999996</v>
      </c>
      <c r="AP86" s="439">
        <f t="shared" ca="1" si="133"/>
        <v>1.05</v>
      </c>
      <c r="AQ86" s="439">
        <f t="shared" ca="1" si="134"/>
        <v>1.145</v>
      </c>
      <c r="AR86" s="439">
        <f t="shared" ca="1" si="135"/>
        <v>1.0489999999999999</v>
      </c>
      <c r="AS86" s="439">
        <f t="shared" ca="1" si="136"/>
        <v>0.49299999999999999</v>
      </c>
      <c r="AT86" s="439">
        <f t="shared" ca="1" si="137"/>
        <v>4.75</v>
      </c>
      <c r="AU86" s="439">
        <f t="shared" ca="1" si="138"/>
        <v>5.03</v>
      </c>
      <c r="AV86" s="439">
        <f t="shared" ca="1" si="139"/>
        <v>5.01</v>
      </c>
      <c r="AW86" s="439">
        <f t="shared" ca="1" si="140"/>
        <v>2.15</v>
      </c>
    </row>
    <row r="87" spans="1:49" ht="15.75" x14ac:dyDescent="0.25">
      <c r="A87" s="437" t="str">
        <f>INDEX(Оглавление, ROW())</f>
        <v>[Цены на приграничных АЗС 2017-2020 (7138827 v1).XLSM]Цены на 18.02.2019</v>
      </c>
      <c r="B87" s="438">
        <f t="shared" ca="1" si="90"/>
        <v>43514</v>
      </c>
      <c r="C87" s="439">
        <f t="shared" ca="1" si="94"/>
        <v>7.9246999999999996</v>
      </c>
      <c r="D87" s="439">
        <f t="shared" ca="1" si="95"/>
        <v>2.1455000000000002</v>
      </c>
      <c r="E87" s="439">
        <f t="shared" ca="1" si="96"/>
        <v>2.4348999999999998</v>
      </c>
      <c r="F87" s="439">
        <f t="shared" ca="1" si="97"/>
        <v>5.6135000000000002</v>
      </c>
      <c r="G87" s="439">
        <f t="shared" ca="1" si="98"/>
        <v>3.2610000000000001</v>
      </c>
      <c r="H87" s="439">
        <f t="shared" ca="1" si="99"/>
        <v>1.43</v>
      </c>
      <c r="I87" s="439">
        <f t="shared" ca="1" si="100"/>
        <v>1.54</v>
      </c>
      <c r="J87" s="439">
        <f t="shared" ca="1" si="101"/>
        <v>1.65</v>
      </c>
      <c r="K87" s="439">
        <f t="shared" ca="1" si="102"/>
        <v>1.54</v>
      </c>
      <c r="L87" s="439">
        <f t="shared" ca="1" si="103"/>
        <v>0.82</v>
      </c>
      <c r="M87" s="439">
        <f t="shared" ca="1" si="104"/>
        <v>42.16</v>
      </c>
      <c r="N87" s="439">
        <f t="shared" ca="1" si="105"/>
        <v>45.83</v>
      </c>
      <c r="O87" s="439">
        <f t="shared" ca="1" si="106"/>
        <v>51.13</v>
      </c>
      <c r="P87" s="439">
        <f t="shared" ca="1" si="107"/>
        <v>46.63</v>
      </c>
      <c r="Q87" s="439">
        <f t="shared" ca="1" si="108"/>
        <v>24.11</v>
      </c>
      <c r="R87" s="439">
        <f t="shared" ca="1" si="109"/>
        <v>41.09</v>
      </c>
      <c r="S87" s="439">
        <f t="shared" ca="1" si="110"/>
        <v>44.16</v>
      </c>
      <c r="T87" s="439">
        <f t="shared" ca="1" si="111"/>
        <v>48.9</v>
      </c>
      <c r="U87" s="439">
        <f t="shared" ca="1" si="112"/>
        <v>46.3</v>
      </c>
      <c r="V87" s="439">
        <f t="shared" ca="1" si="113"/>
        <v>25.36</v>
      </c>
      <c r="W87" s="439">
        <f t="shared" ca="1" si="114"/>
        <v>41.42</v>
      </c>
      <c r="X87" s="439">
        <f t="shared" ca="1" si="115"/>
        <v>44.65</v>
      </c>
      <c r="Y87" s="439">
        <f t="shared" ca="1" si="116"/>
        <v>48.4</v>
      </c>
      <c r="Z87" s="439">
        <f t="shared" ca="1" si="117"/>
        <v>46.35</v>
      </c>
      <c r="AA87" s="439">
        <f t="shared" ca="1" si="118"/>
        <v>26.8</v>
      </c>
      <c r="AB87" s="439">
        <f t="shared" ca="1" si="119"/>
        <v>41.35</v>
      </c>
      <c r="AC87" s="439">
        <f t="shared" ca="1" si="120"/>
        <v>44.1</v>
      </c>
      <c r="AD87" s="439">
        <f t="shared" ca="1" si="121"/>
        <v>51.26</v>
      </c>
      <c r="AE87" s="439">
        <f t="shared" ca="1" si="122"/>
        <v>46.61</v>
      </c>
      <c r="AF87" s="439">
        <f t="shared" ca="1" si="123"/>
        <v>25.1</v>
      </c>
      <c r="AG87" s="439">
        <f t="shared" ca="1" si="124"/>
        <v>27.99</v>
      </c>
      <c r="AH87" s="439">
        <f t="shared" ca="1" si="125"/>
        <v>29.89</v>
      </c>
      <c r="AI87" s="439">
        <f t="shared" ca="1" si="126"/>
        <v>32.39</v>
      </c>
      <c r="AJ87" s="439">
        <f t="shared" ca="1" si="127"/>
        <v>26.84</v>
      </c>
      <c r="AK87" s="439">
        <f t="shared" ca="1" si="128"/>
        <v>10.15</v>
      </c>
      <c r="AL87" s="439">
        <f t="shared" ca="1" si="129"/>
        <v>1.1839999999999999</v>
      </c>
      <c r="AM87" s="439">
        <f t="shared" ca="1" si="130"/>
        <v>1.2390000000000001</v>
      </c>
      <c r="AN87" s="439">
        <f t="shared" ca="1" si="131"/>
        <v>1.1839999999999999</v>
      </c>
      <c r="AO87" s="439">
        <f t="shared" ca="1" si="132"/>
        <v>0.58499999999999996</v>
      </c>
      <c r="AP87" s="439">
        <f t="shared" ca="1" si="133"/>
        <v>1.0920000000000001</v>
      </c>
      <c r="AQ87" s="439">
        <f t="shared" ca="1" si="134"/>
        <v>1.1639999999999999</v>
      </c>
      <c r="AR87" s="439">
        <f t="shared" ca="1" si="135"/>
        <v>1.0920000000000001</v>
      </c>
      <c r="AS87" s="439">
        <f t="shared" ca="1" si="136"/>
        <v>0.50900000000000001</v>
      </c>
      <c r="AT87" s="439">
        <f t="shared" ca="1" si="137"/>
        <v>4.7</v>
      </c>
      <c r="AU87" s="439">
        <f t="shared" ca="1" si="138"/>
        <v>4.96</v>
      </c>
      <c r="AV87" s="439">
        <f t="shared" ca="1" si="139"/>
        <v>4.9800000000000004</v>
      </c>
      <c r="AW87" s="439">
        <f t="shared" ca="1" si="140"/>
        <v>2.11</v>
      </c>
    </row>
    <row r="88" spans="1:49" ht="15.75" x14ac:dyDescent="0.25">
      <c r="A88" s="437" t="str">
        <f>INDEX(Оглавление, ROW())</f>
        <v>[Цены на приграничных АЗС 2017-2020 (7138827 v1).XLSM]Цены на 25.02.2019</v>
      </c>
      <c r="B88" s="438">
        <f t="shared" ca="1" si="90"/>
        <v>43521</v>
      </c>
      <c r="C88" s="439">
        <f t="shared" ca="1" si="94"/>
        <v>7.9230999999999998</v>
      </c>
      <c r="D88" s="439">
        <f t="shared" ca="1" si="95"/>
        <v>2.1402000000000001</v>
      </c>
      <c r="E88" s="439">
        <f t="shared" ca="1" si="96"/>
        <v>2.4287000000000001</v>
      </c>
      <c r="F88" s="439">
        <f t="shared" ca="1" si="97"/>
        <v>5.5941000000000001</v>
      </c>
      <c r="G88" s="439">
        <f t="shared" ca="1" si="98"/>
        <v>3.2669999999999999</v>
      </c>
      <c r="H88" s="439">
        <f t="shared" ca="1" si="99"/>
        <v>1.44</v>
      </c>
      <c r="I88" s="439">
        <f t="shared" ca="1" si="100"/>
        <v>1.55</v>
      </c>
      <c r="J88" s="439">
        <f t="shared" ca="1" si="101"/>
        <v>1.66</v>
      </c>
      <c r="K88" s="439">
        <f t="shared" ca="1" si="102"/>
        <v>1.55</v>
      </c>
      <c r="L88" s="439">
        <f t="shared" ca="1" si="103"/>
        <v>0.83</v>
      </c>
      <c r="M88" s="439">
        <f t="shared" ca="1" si="104"/>
        <v>42.15</v>
      </c>
      <c r="N88" s="439">
        <f t="shared" ca="1" si="105"/>
        <v>45.81</v>
      </c>
      <c r="O88" s="439">
        <f t="shared" ca="1" si="106"/>
        <v>51.26</v>
      </c>
      <c r="P88" s="439">
        <f t="shared" ca="1" si="107"/>
        <v>46.62</v>
      </c>
      <c r="Q88" s="439">
        <f t="shared" ca="1" si="108"/>
        <v>23.7</v>
      </c>
      <c r="R88" s="439">
        <f t="shared" ca="1" si="109"/>
        <v>41.1</v>
      </c>
      <c r="S88" s="439">
        <f t="shared" ca="1" si="110"/>
        <v>44.16</v>
      </c>
      <c r="T88" s="439">
        <f t="shared" ca="1" si="111"/>
        <v>48.9</v>
      </c>
      <c r="U88" s="439">
        <f t="shared" ca="1" si="112"/>
        <v>46.41</v>
      </c>
      <c r="V88" s="439">
        <f t="shared" ca="1" si="113"/>
        <v>25.36</v>
      </c>
      <c r="W88" s="439">
        <f t="shared" ca="1" si="114"/>
        <v>41.42</v>
      </c>
      <c r="X88" s="439">
        <f t="shared" ca="1" si="115"/>
        <v>44.64</v>
      </c>
      <c r="Y88" s="439">
        <f t="shared" ca="1" si="116"/>
        <v>48.4</v>
      </c>
      <c r="Z88" s="439">
        <f t="shared" ca="1" si="117"/>
        <v>46.49</v>
      </c>
      <c r="AA88" s="439">
        <f t="shared" ca="1" si="118"/>
        <v>26.8</v>
      </c>
      <c r="AB88" s="439">
        <f t="shared" ca="1" si="119"/>
        <v>41.13</v>
      </c>
      <c r="AC88" s="439">
        <f t="shared" ca="1" si="120"/>
        <v>44.84</v>
      </c>
      <c r="AD88" s="439">
        <f t="shared" ca="1" si="121"/>
        <v>51.26</v>
      </c>
      <c r="AE88" s="439">
        <f t="shared" ca="1" si="122"/>
        <v>46.44</v>
      </c>
      <c r="AF88" s="439">
        <f t="shared" ca="1" si="123"/>
        <v>25.1</v>
      </c>
      <c r="AG88" s="439">
        <f t="shared" ca="1" si="124"/>
        <v>27.99</v>
      </c>
      <c r="AH88" s="439">
        <f t="shared" ca="1" si="125"/>
        <v>29.89</v>
      </c>
      <c r="AI88" s="439">
        <f t="shared" ca="1" si="126"/>
        <v>32.39</v>
      </c>
      <c r="AJ88" s="439">
        <f t="shared" ca="1" si="127"/>
        <v>26.84</v>
      </c>
      <c r="AK88" s="439">
        <f t="shared" ca="1" si="128"/>
        <v>10.15</v>
      </c>
      <c r="AL88" s="439">
        <f t="shared" ca="1" si="129"/>
        <v>1.194</v>
      </c>
      <c r="AM88" s="439">
        <f t="shared" ca="1" si="130"/>
        <v>1.2490000000000001</v>
      </c>
      <c r="AN88" s="439">
        <f t="shared" ca="1" si="131"/>
        <v>1.194</v>
      </c>
      <c r="AO88" s="439">
        <f t="shared" ca="1" si="132"/>
        <v>0.58499999999999996</v>
      </c>
      <c r="AP88" s="439">
        <f t="shared" ca="1" si="133"/>
        <v>1.0740000000000001</v>
      </c>
      <c r="AQ88" s="439">
        <f t="shared" ca="1" si="134"/>
        <v>1.1599999999999999</v>
      </c>
      <c r="AR88" s="439">
        <f t="shared" ca="1" si="135"/>
        <v>1.0740000000000001</v>
      </c>
      <c r="AS88" s="439">
        <f t="shared" ca="1" si="136"/>
        <v>0.48799999999999999</v>
      </c>
      <c r="AT88" s="439">
        <f t="shared" ca="1" si="137"/>
        <v>4.6900000000000004</v>
      </c>
      <c r="AU88" s="439">
        <f t="shared" ca="1" si="138"/>
        <v>4.93</v>
      </c>
      <c r="AV88" s="439">
        <f t="shared" ca="1" si="139"/>
        <v>4.9800000000000004</v>
      </c>
      <c r="AW88" s="439">
        <f t="shared" ca="1" si="140"/>
        <v>2.09</v>
      </c>
    </row>
    <row r="89" spans="1:49" ht="15.75" x14ac:dyDescent="0.25">
      <c r="A89" s="437" t="str">
        <f>INDEX(Оглавление, ROW())</f>
        <v>[Цены на приграничных АЗС 2017-2020 (7138827 v1).XLSM]Цены на 04.03.2019</v>
      </c>
      <c r="B89" s="438">
        <f t="shared" ca="1" si="90"/>
        <v>43528</v>
      </c>
      <c r="C89" s="439">
        <f t="shared" ca="1" si="94"/>
        <v>7.9610000000000003</v>
      </c>
      <c r="D89" s="439">
        <f t="shared" ca="1" si="95"/>
        <v>2.1389999999999998</v>
      </c>
      <c r="E89" s="439">
        <f t="shared" ca="1" si="96"/>
        <v>2.4304999999999999</v>
      </c>
      <c r="F89" s="439">
        <f t="shared" ca="1" si="97"/>
        <v>5.6413000000000002</v>
      </c>
      <c r="G89" s="439">
        <f t="shared" ca="1" si="98"/>
        <v>3.2501000000000002</v>
      </c>
      <c r="H89" s="439">
        <f t="shared" ca="1" si="99"/>
        <v>1.45</v>
      </c>
      <c r="I89" s="439">
        <f t="shared" ca="1" si="100"/>
        <v>1.56</v>
      </c>
      <c r="J89" s="439">
        <f t="shared" ca="1" si="101"/>
        <v>1.67</v>
      </c>
      <c r="K89" s="439">
        <f t="shared" ca="1" si="102"/>
        <v>1.56</v>
      </c>
      <c r="L89" s="439">
        <f t="shared" ca="1" si="103"/>
        <v>0.83</v>
      </c>
      <c r="M89" s="439">
        <f t="shared" ca="1" si="104"/>
        <v>42.03</v>
      </c>
      <c r="N89" s="439">
        <f t="shared" ca="1" si="105"/>
        <v>45.83</v>
      </c>
      <c r="O89" s="439">
        <f t="shared" ca="1" si="106"/>
        <v>51.26</v>
      </c>
      <c r="P89" s="439">
        <f t="shared" ca="1" si="107"/>
        <v>46.67</v>
      </c>
      <c r="Q89" s="439">
        <f t="shared" ca="1" si="108"/>
        <v>23.63</v>
      </c>
      <c r="R89" s="439">
        <f t="shared" ca="1" si="109"/>
        <v>41.1</v>
      </c>
      <c r="S89" s="439">
        <f t="shared" ca="1" si="110"/>
        <v>44.16</v>
      </c>
      <c r="T89" s="439">
        <f t="shared" ca="1" si="111"/>
        <v>48.9</v>
      </c>
      <c r="U89" s="439">
        <f t="shared" ca="1" si="112"/>
        <v>46.46</v>
      </c>
      <c r="V89" s="439">
        <f t="shared" ca="1" si="113"/>
        <v>24.94</v>
      </c>
      <c r="W89" s="439">
        <f t="shared" ca="1" si="114"/>
        <v>41.3</v>
      </c>
      <c r="X89" s="439">
        <f t="shared" ca="1" si="115"/>
        <v>44.53</v>
      </c>
      <c r="Y89" s="439">
        <f t="shared" ca="1" si="116"/>
        <v>48.4</v>
      </c>
      <c r="Z89" s="439">
        <f t="shared" ca="1" si="117"/>
        <v>46.33</v>
      </c>
      <c r="AA89" s="439">
        <f t="shared" ca="1" si="118"/>
        <v>26.8</v>
      </c>
      <c r="AB89" s="439">
        <f t="shared" ca="1" si="119"/>
        <v>41.62</v>
      </c>
      <c r="AC89" s="439">
        <f t="shared" ca="1" si="120"/>
        <v>45</v>
      </c>
      <c r="AD89" s="439">
        <f t="shared" ca="1" si="121"/>
        <v>51.26</v>
      </c>
      <c r="AE89" s="439">
        <f t="shared" ca="1" si="122"/>
        <v>47.14</v>
      </c>
      <c r="AF89" s="439">
        <f t="shared" ca="1" si="123"/>
        <v>23.15</v>
      </c>
      <c r="AG89" s="439">
        <f t="shared" ca="1" si="124"/>
        <v>27.99</v>
      </c>
      <c r="AH89" s="439">
        <f t="shared" ca="1" si="125"/>
        <v>29.89</v>
      </c>
      <c r="AI89" s="439">
        <f t="shared" ca="1" si="126"/>
        <v>32.39</v>
      </c>
      <c r="AJ89" s="439">
        <f t="shared" ca="1" si="127"/>
        <v>26.84</v>
      </c>
      <c r="AK89" s="439">
        <f t="shared" ca="1" si="128"/>
        <v>10.25</v>
      </c>
      <c r="AL89" s="439">
        <f t="shared" ca="1" si="129"/>
        <v>1.1739999999999999</v>
      </c>
      <c r="AM89" s="439">
        <f t="shared" ca="1" si="130"/>
        <v>1.2290000000000001</v>
      </c>
      <c r="AN89" s="439">
        <f t="shared" ca="1" si="131"/>
        <v>1.1739999999999999</v>
      </c>
      <c r="AO89" s="439">
        <f t="shared" ca="1" si="132"/>
        <v>0.58499999999999996</v>
      </c>
      <c r="AP89" s="439">
        <f t="shared" ca="1" si="133"/>
        <v>1.07</v>
      </c>
      <c r="AQ89" s="439">
        <f t="shared" ca="1" si="134"/>
        <v>1.1559999999999999</v>
      </c>
      <c r="AR89" s="439">
        <f t="shared" ca="1" si="135"/>
        <v>1.07</v>
      </c>
      <c r="AS89" s="439">
        <f t="shared" ca="1" si="136"/>
        <v>0.53900000000000003</v>
      </c>
      <c r="AT89" s="439">
        <f t="shared" ca="1" si="137"/>
        <v>4.6900000000000004</v>
      </c>
      <c r="AU89" s="439">
        <f t="shared" ca="1" si="138"/>
        <v>4.91</v>
      </c>
      <c r="AV89" s="439">
        <f t="shared" ca="1" si="139"/>
        <v>5.01</v>
      </c>
      <c r="AW89" s="439">
        <f t="shared" ca="1" si="140"/>
        <v>2.08</v>
      </c>
    </row>
    <row r="90" spans="1:49" ht="15.75" x14ac:dyDescent="0.25">
      <c r="A90" s="437" t="str">
        <f>INDEX(Оглавление, ROW())</f>
        <v>[Цены на приграничных АЗС 2017-2020 (7138827 v1).XLSM]Цены на 11.03.2019</v>
      </c>
      <c r="B90" s="438">
        <f t="shared" ca="1" si="90"/>
        <v>43535</v>
      </c>
      <c r="C90" s="439">
        <f t="shared" ca="1" si="94"/>
        <v>8.1053999999999995</v>
      </c>
      <c r="D90" s="439">
        <f t="shared" ca="1" si="95"/>
        <v>2.1379999999999999</v>
      </c>
      <c r="E90" s="439">
        <f t="shared" ca="1" si="96"/>
        <v>2.4178999999999999</v>
      </c>
      <c r="F90" s="439">
        <f t="shared" ca="1" si="97"/>
        <v>5.6208</v>
      </c>
      <c r="G90" s="439">
        <f t="shared" ca="1" si="98"/>
        <v>3.2429000000000001</v>
      </c>
      <c r="H90" s="439">
        <f t="shared" ca="1" si="99"/>
        <v>1.46</v>
      </c>
      <c r="I90" s="439">
        <f t="shared" ca="1" si="100"/>
        <v>1.57</v>
      </c>
      <c r="J90" s="439">
        <f t="shared" ca="1" si="101"/>
        <v>1.68</v>
      </c>
      <c r="K90" s="439">
        <f t="shared" ca="1" si="102"/>
        <v>1.57</v>
      </c>
      <c r="L90" s="439">
        <f t="shared" ca="1" si="103"/>
        <v>0.84</v>
      </c>
      <c r="M90" s="439">
        <f t="shared" ca="1" si="104"/>
        <v>42.02</v>
      </c>
      <c r="N90" s="439">
        <f t="shared" ca="1" si="105"/>
        <v>45.82</v>
      </c>
      <c r="O90" s="439">
        <f t="shared" ca="1" si="106"/>
        <v>51.26</v>
      </c>
      <c r="P90" s="439">
        <f t="shared" ca="1" si="107"/>
        <v>46.68</v>
      </c>
      <c r="Q90" s="439">
        <f t="shared" ca="1" si="108"/>
        <v>23.5</v>
      </c>
      <c r="R90" s="439">
        <f t="shared" ca="1" si="109"/>
        <v>41.1</v>
      </c>
      <c r="S90" s="439">
        <f t="shared" ca="1" si="110"/>
        <v>44.16</v>
      </c>
      <c r="T90" s="439">
        <f t="shared" ca="1" si="111"/>
        <v>48.9</v>
      </c>
      <c r="U90" s="439">
        <f t="shared" ca="1" si="112"/>
        <v>46.46</v>
      </c>
      <c r="V90" s="439">
        <f t="shared" ca="1" si="113"/>
        <v>24.94</v>
      </c>
      <c r="W90" s="439">
        <f t="shared" ca="1" si="114"/>
        <v>41.42</v>
      </c>
      <c r="X90" s="439">
        <f t="shared" ca="1" si="115"/>
        <v>44.64</v>
      </c>
      <c r="Y90" s="439">
        <f t="shared" ca="1" si="116"/>
        <v>48.4</v>
      </c>
      <c r="Z90" s="439">
        <f t="shared" ca="1" si="117"/>
        <v>46.51</v>
      </c>
      <c r="AA90" s="439">
        <f t="shared" ca="1" si="118"/>
        <v>26.8</v>
      </c>
      <c r="AB90" s="439">
        <f t="shared" ca="1" si="119"/>
        <v>41.74</v>
      </c>
      <c r="AC90" s="439">
        <f t="shared" ca="1" si="120"/>
        <v>44.59</v>
      </c>
      <c r="AD90" s="439">
        <f t="shared" ca="1" si="121"/>
        <v>51.43</v>
      </c>
      <c r="AE90" s="439">
        <f t="shared" ca="1" si="122"/>
        <v>47.15</v>
      </c>
      <c r="AF90" s="439">
        <f t="shared" ca="1" si="123"/>
        <v>23.15</v>
      </c>
      <c r="AG90" s="439">
        <f t="shared" ca="1" si="124"/>
        <v>27.99</v>
      </c>
      <c r="AH90" s="439">
        <f t="shared" ca="1" si="125"/>
        <v>29.74</v>
      </c>
      <c r="AI90" s="439">
        <f t="shared" ca="1" si="126"/>
        <v>32.39</v>
      </c>
      <c r="AJ90" s="439">
        <f t="shared" ca="1" si="127"/>
        <v>26.84</v>
      </c>
      <c r="AK90" s="439">
        <f t="shared" ca="1" si="128"/>
        <v>10.58</v>
      </c>
      <c r="AL90" s="439">
        <f t="shared" ca="1" si="129"/>
        <v>1.1879999999999999</v>
      </c>
      <c r="AM90" s="439">
        <f t="shared" ca="1" si="130"/>
        <v>1.2529999999999999</v>
      </c>
      <c r="AN90" s="439">
        <f t="shared" ca="1" si="131"/>
        <v>1.1879999999999999</v>
      </c>
      <c r="AO90" s="439">
        <f t="shared" ca="1" si="132"/>
        <v>0.57999999999999996</v>
      </c>
      <c r="AP90" s="439">
        <f t="shared" ca="1" si="133"/>
        <v>1.0880000000000001</v>
      </c>
      <c r="AQ90" s="439">
        <f t="shared" ca="1" si="134"/>
        <v>1.1739999999999999</v>
      </c>
      <c r="AR90" s="439">
        <f t="shared" ca="1" si="135"/>
        <v>1.0680000000000001</v>
      </c>
      <c r="AS90" s="439">
        <f t="shared" ca="1" si="136"/>
        <v>0.50900000000000001</v>
      </c>
      <c r="AT90" s="439">
        <f t="shared" ca="1" si="137"/>
        <v>4.74</v>
      </c>
      <c r="AU90" s="439">
        <f t="shared" ca="1" si="138"/>
        <v>5.04</v>
      </c>
      <c r="AV90" s="439">
        <f t="shared" ca="1" si="139"/>
        <v>5.08</v>
      </c>
      <c r="AW90" s="439">
        <f t="shared" ca="1" si="140"/>
        <v>2.0499999999999998</v>
      </c>
    </row>
    <row r="91" spans="1:49" ht="15.75" x14ac:dyDescent="0.25">
      <c r="A91" s="437" t="str">
        <f>INDEX(Оглавление, ROW())</f>
        <v>[Цены на приграничных АЗС 2017-2020 (7138827 v1).XLSM]Цены на 18.03.2019</v>
      </c>
      <c r="B91" s="438">
        <f t="shared" ca="1" si="90"/>
        <v>43542</v>
      </c>
      <c r="C91" s="439">
        <f t="shared" ca="1" si="94"/>
        <v>7.7880000000000003</v>
      </c>
      <c r="D91" s="439">
        <f t="shared" ca="1" si="95"/>
        <v>2.1137999999999999</v>
      </c>
      <c r="E91" s="439">
        <f t="shared" ca="1" si="96"/>
        <v>2.3984999999999999</v>
      </c>
      <c r="F91" s="439">
        <f t="shared" ca="1" si="97"/>
        <v>5.5805999999999996</v>
      </c>
      <c r="G91" s="439">
        <f t="shared" ca="1" si="98"/>
        <v>3.2705000000000002</v>
      </c>
      <c r="H91" s="439">
        <f t="shared" ca="1" si="99"/>
        <v>1.47</v>
      </c>
      <c r="I91" s="439">
        <f t="shared" ca="1" si="100"/>
        <v>1.58</v>
      </c>
      <c r="J91" s="439">
        <f t="shared" ca="1" si="101"/>
        <v>1.69</v>
      </c>
      <c r="K91" s="439">
        <f t="shared" ca="1" si="102"/>
        <v>1.58</v>
      </c>
      <c r="L91" s="439">
        <f t="shared" ca="1" si="103"/>
        <v>0.84</v>
      </c>
      <c r="M91" s="439">
        <f t="shared" ca="1" si="104"/>
        <v>42.03</v>
      </c>
      <c r="N91" s="439">
        <f t="shared" ca="1" si="105"/>
        <v>45.81</v>
      </c>
      <c r="O91" s="439">
        <f t="shared" ca="1" si="106"/>
        <v>51.26</v>
      </c>
      <c r="P91" s="439">
        <f t="shared" ca="1" si="107"/>
        <v>46.66</v>
      </c>
      <c r="Q91" s="439">
        <f t="shared" ca="1" si="108"/>
        <v>23.33</v>
      </c>
      <c r="R91" s="439">
        <f t="shared" ca="1" si="109"/>
        <v>41.09</v>
      </c>
      <c r="S91" s="439">
        <f t="shared" ca="1" si="110"/>
        <v>44.16</v>
      </c>
      <c r="T91" s="439">
        <f t="shared" ca="1" si="111"/>
        <v>48.9</v>
      </c>
      <c r="U91" s="439">
        <f t="shared" ca="1" si="112"/>
        <v>46.53</v>
      </c>
      <c r="V91" s="439">
        <f t="shared" ca="1" si="113"/>
        <v>24.94</v>
      </c>
      <c r="W91" s="439">
        <f t="shared" ca="1" si="114"/>
        <v>41.42</v>
      </c>
      <c r="X91" s="439">
        <f t="shared" ca="1" si="115"/>
        <v>44.65</v>
      </c>
      <c r="Y91" s="439">
        <f t="shared" ca="1" si="116"/>
        <v>48.4</v>
      </c>
      <c r="Z91" s="439">
        <f t="shared" ca="1" si="117"/>
        <v>46.39</v>
      </c>
      <c r="AA91" s="439">
        <f t="shared" ca="1" si="118"/>
        <v>26.8</v>
      </c>
      <c r="AB91" s="439">
        <f t="shared" ca="1" si="119"/>
        <v>41.06</v>
      </c>
      <c r="AC91" s="439">
        <f t="shared" ca="1" si="120"/>
        <v>43.82</v>
      </c>
      <c r="AD91" s="439">
        <f t="shared" ca="1" si="121"/>
        <v>51.43</v>
      </c>
      <c r="AE91" s="439">
        <f t="shared" ca="1" si="122"/>
        <v>46.56</v>
      </c>
      <c r="AF91" s="439">
        <f t="shared" ca="1" si="123"/>
        <v>23.15</v>
      </c>
      <c r="AG91" s="439">
        <f t="shared" ca="1" si="124"/>
        <v>27.99</v>
      </c>
      <c r="AH91" s="439">
        <f t="shared" ca="1" si="125"/>
        <v>29.74</v>
      </c>
      <c r="AI91" s="439">
        <f t="shared" ca="1" si="126"/>
        <v>32.39</v>
      </c>
      <c r="AJ91" s="439">
        <f t="shared" ca="1" si="127"/>
        <v>26.84</v>
      </c>
      <c r="AK91" s="439">
        <f t="shared" ca="1" si="128"/>
        <v>10.9</v>
      </c>
      <c r="AL91" s="439">
        <f t="shared" ca="1" si="129"/>
        <v>1.1539999999999999</v>
      </c>
      <c r="AM91" s="439">
        <f t="shared" ca="1" si="130"/>
        <v>1.2090000000000001</v>
      </c>
      <c r="AN91" s="439">
        <f t="shared" ca="1" si="131"/>
        <v>1.1539999999999999</v>
      </c>
      <c r="AO91" s="439">
        <f t="shared" ca="1" si="132"/>
        <v>0.58499999999999996</v>
      </c>
      <c r="AP91" s="439">
        <f t="shared" ca="1" si="133"/>
        <v>1.115</v>
      </c>
      <c r="AQ91" s="439">
        <f t="shared" ca="1" si="134"/>
        <v>1.1839999999999999</v>
      </c>
      <c r="AR91" s="439">
        <f t="shared" ca="1" si="135"/>
        <v>1.085</v>
      </c>
      <c r="AS91" s="439">
        <f t="shared" ca="1" si="136"/>
        <v>0.50900000000000001</v>
      </c>
      <c r="AT91" s="439">
        <f t="shared" ca="1" si="137"/>
        <v>4.75</v>
      </c>
      <c r="AU91" s="439">
        <f t="shared" ca="1" si="138"/>
        <v>4.93</v>
      </c>
      <c r="AV91" s="439">
        <f t="shared" ca="1" si="139"/>
        <v>5.0999999999999996</v>
      </c>
      <c r="AW91" s="439">
        <f t="shared" ca="1" si="140"/>
        <v>2.12</v>
      </c>
    </row>
    <row r="92" spans="1:49" ht="15.75" x14ac:dyDescent="0.25">
      <c r="A92" s="437" t="str">
        <f>INDEX(Оглавление, ROW())</f>
        <v>[Цены на приграничных АЗС 2017-2020 (7138827 v1).XLSM]Цены на 25.03.2019</v>
      </c>
      <c r="B92" s="438">
        <f t="shared" ca="1" si="90"/>
        <v>43549</v>
      </c>
      <c r="C92" s="439">
        <f t="shared" ca="1" si="94"/>
        <v>7.8076999999999996</v>
      </c>
      <c r="D92" s="439">
        <f t="shared" ca="1" si="95"/>
        <v>2.1021999999999998</v>
      </c>
      <c r="E92" s="439">
        <f t="shared" ca="1" si="96"/>
        <v>2.3879000000000001</v>
      </c>
      <c r="F92" s="439">
        <f t="shared" ca="1" si="97"/>
        <v>5.5400999999999998</v>
      </c>
      <c r="G92" s="439">
        <f t="shared" ca="1" si="98"/>
        <v>3.2896000000000001</v>
      </c>
      <c r="H92" s="439">
        <f t="shared" ca="1" si="99"/>
        <v>1.48</v>
      </c>
      <c r="I92" s="439">
        <f t="shared" ca="1" si="100"/>
        <v>1.59</v>
      </c>
      <c r="J92" s="439">
        <f t="shared" ca="1" si="101"/>
        <v>1.7</v>
      </c>
      <c r="K92" s="439">
        <f t="shared" ca="1" si="102"/>
        <v>1.59</v>
      </c>
      <c r="L92" s="439">
        <f t="shared" ca="1" si="103"/>
        <v>0.85</v>
      </c>
      <c r="M92" s="439">
        <f t="shared" ca="1" si="104"/>
        <v>42.01</v>
      </c>
      <c r="N92" s="439">
        <f t="shared" ca="1" si="105"/>
        <v>45.82</v>
      </c>
      <c r="O92" s="439">
        <f t="shared" ca="1" si="106"/>
        <v>51.26</v>
      </c>
      <c r="P92" s="439">
        <f t="shared" ca="1" si="107"/>
        <v>46.65</v>
      </c>
      <c r="Q92" s="439">
        <f t="shared" ca="1" si="108"/>
        <v>23.48</v>
      </c>
      <c r="R92" s="439">
        <f t="shared" ca="1" si="109"/>
        <v>41.09</v>
      </c>
      <c r="S92" s="439">
        <f t="shared" ca="1" si="110"/>
        <v>44.16</v>
      </c>
      <c r="T92" s="439">
        <f t="shared" ca="1" si="111"/>
        <v>48.9</v>
      </c>
      <c r="U92" s="439">
        <f t="shared" ca="1" si="112"/>
        <v>46.4</v>
      </c>
      <c r="V92" s="439">
        <f t="shared" ca="1" si="113"/>
        <v>24.94</v>
      </c>
      <c r="W92" s="439">
        <f t="shared" ca="1" si="114"/>
        <v>41.41</v>
      </c>
      <c r="X92" s="439">
        <f t="shared" ca="1" si="115"/>
        <v>44.65</v>
      </c>
      <c r="Y92" s="439">
        <f t="shared" ca="1" si="116"/>
        <v>48.4</v>
      </c>
      <c r="Z92" s="439">
        <f t="shared" ca="1" si="117"/>
        <v>46.28</v>
      </c>
      <c r="AA92" s="439">
        <f t="shared" ca="1" si="118"/>
        <v>26.8</v>
      </c>
      <c r="AB92" s="439">
        <f t="shared" ca="1" si="119"/>
        <v>41.12</v>
      </c>
      <c r="AC92" s="439">
        <f t="shared" ca="1" si="120"/>
        <v>43.83</v>
      </c>
      <c r="AD92" s="439">
        <f t="shared" ca="1" si="121"/>
        <v>51.46</v>
      </c>
      <c r="AE92" s="439">
        <f t="shared" ca="1" si="122"/>
        <v>46.59</v>
      </c>
      <c r="AF92" s="439">
        <f t="shared" ca="1" si="123"/>
        <v>24.27</v>
      </c>
      <c r="AG92" s="439">
        <f t="shared" ca="1" si="124"/>
        <v>27.99</v>
      </c>
      <c r="AH92" s="439">
        <f t="shared" ca="1" si="125"/>
        <v>29.74</v>
      </c>
      <c r="AI92" s="439">
        <f t="shared" ca="1" si="126"/>
        <v>32.39</v>
      </c>
      <c r="AJ92" s="439">
        <f t="shared" ca="1" si="127"/>
        <v>26.84</v>
      </c>
      <c r="AK92" s="439">
        <f t="shared" ca="1" si="128"/>
        <v>11.79</v>
      </c>
      <c r="AL92" s="439">
        <f t="shared" ca="1" si="129"/>
        <v>1.1839999999999999</v>
      </c>
      <c r="AM92" s="439">
        <f t="shared" ca="1" si="130"/>
        <v>1.2390000000000001</v>
      </c>
      <c r="AN92" s="439">
        <f t="shared" ca="1" si="131"/>
        <v>1.1739999999999999</v>
      </c>
      <c r="AO92" s="439">
        <f t="shared" ca="1" si="132"/>
        <v>0.58499999999999996</v>
      </c>
      <c r="AP92" s="439">
        <f t="shared" ca="1" si="133"/>
        <v>1.111</v>
      </c>
      <c r="AQ92" s="439">
        <f t="shared" ca="1" si="134"/>
        <v>1.18</v>
      </c>
      <c r="AR92" s="439">
        <f t="shared" ca="1" si="135"/>
        <v>1.085</v>
      </c>
      <c r="AS92" s="439">
        <f t="shared" ca="1" si="136"/>
        <v>0.50900000000000001</v>
      </c>
      <c r="AT92" s="439">
        <f t="shared" ca="1" si="137"/>
        <v>4.75</v>
      </c>
      <c r="AU92" s="439">
        <f t="shared" ca="1" si="138"/>
        <v>4.93</v>
      </c>
      <c r="AV92" s="439">
        <f t="shared" ca="1" si="139"/>
        <v>5.0999999999999996</v>
      </c>
      <c r="AW92" s="439">
        <f t="shared" ca="1" si="140"/>
        <v>2.12</v>
      </c>
    </row>
    <row r="93" spans="1:49" ht="15.75" x14ac:dyDescent="0.25">
      <c r="A93" s="437" t="str">
        <f>INDEX(Оглавление, ROW())</f>
        <v>[Цены на приграничных АЗС 2017-2020 (7138827 v1).XLSM]Цены на 01.04.2019</v>
      </c>
      <c r="B93" s="438">
        <f t="shared" ca="1" si="90"/>
        <v>43556</v>
      </c>
      <c r="C93" s="439">
        <f t="shared" ca="1" si="94"/>
        <v>7.8292000000000002</v>
      </c>
      <c r="D93" s="439">
        <f t="shared" ca="1" si="95"/>
        <v>2.1284999999999998</v>
      </c>
      <c r="E93" s="439">
        <f t="shared" ca="1" si="96"/>
        <v>2.3889</v>
      </c>
      <c r="F93" s="439">
        <f t="shared" ca="1" si="97"/>
        <v>5.5483000000000002</v>
      </c>
      <c r="G93" s="439">
        <f t="shared" ca="1" si="98"/>
        <v>3.2871000000000001</v>
      </c>
      <c r="H93" s="439">
        <f t="shared" ca="1" si="99"/>
        <v>1.49</v>
      </c>
      <c r="I93" s="439">
        <f t="shared" ca="1" si="100"/>
        <v>1.6</v>
      </c>
      <c r="J93" s="439">
        <f t="shared" ca="1" si="101"/>
        <v>1.71</v>
      </c>
      <c r="K93" s="439">
        <f t="shared" ca="1" si="102"/>
        <v>1.6</v>
      </c>
      <c r="L93" s="439">
        <f t="shared" ca="1" si="103"/>
        <v>0.86</v>
      </c>
      <c r="M93" s="439">
        <f t="shared" ca="1" si="104"/>
        <v>42.01</v>
      </c>
      <c r="N93" s="439">
        <f t="shared" ca="1" si="105"/>
        <v>45.82</v>
      </c>
      <c r="O93" s="439">
        <f t="shared" ca="1" si="106"/>
        <v>51.26</v>
      </c>
      <c r="P93" s="439">
        <f t="shared" ca="1" si="107"/>
        <v>46.64</v>
      </c>
      <c r="Q93" s="439">
        <f t="shared" ca="1" si="108"/>
        <v>23.21</v>
      </c>
      <c r="R93" s="439">
        <f t="shared" ca="1" si="109"/>
        <v>41.09</v>
      </c>
      <c r="S93" s="439">
        <f t="shared" ca="1" si="110"/>
        <v>44.16</v>
      </c>
      <c r="T93" s="439">
        <f t="shared" ca="1" si="111"/>
        <v>48.9</v>
      </c>
      <c r="U93" s="439">
        <f t="shared" ca="1" si="112"/>
        <v>46.44</v>
      </c>
      <c r="V93" s="439">
        <f t="shared" ca="1" si="113"/>
        <v>24.94</v>
      </c>
      <c r="W93" s="439">
        <f t="shared" ca="1" si="114"/>
        <v>41.42</v>
      </c>
      <c r="X93" s="439">
        <f t="shared" ca="1" si="115"/>
        <v>44.66</v>
      </c>
      <c r="Y93" s="439">
        <f t="shared" ca="1" si="116"/>
        <v>48.4</v>
      </c>
      <c r="Z93" s="439">
        <f t="shared" ca="1" si="117"/>
        <v>45.23</v>
      </c>
      <c r="AA93" s="439">
        <f t="shared" ca="1" si="118"/>
        <v>26.8</v>
      </c>
      <c r="AB93" s="439">
        <f t="shared" ca="1" si="119"/>
        <v>41.41</v>
      </c>
      <c r="AC93" s="439">
        <f t="shared" ca="1" si="120"/>
        <v>44.68</v>
      </c>
      <c r="AD93" s="439">
        <f t="shared" ca="1" si="121"/>
        <v>51.46</v>
      </c>
      <c r="AE93" s="439">
        <f t="shared" ca="1" si="122"/>
        <v>47.11</v>
      </c>
      <c r="AF93" s="439">
        <f t="shared" ca="1" si="123"/>
        <v>24.27</v>
      </c>
      <c r="AG93" s="439">
        <f t="shared" ca="1" si="124"/>
        <v>27.99</v>
      </c>
      <c r="AH93" s="439">
        <f t="shared" ca="1" si="125"/>
        <v>29.74</v>
      </c>
      <c r="AI93" s="439">
        <f t="shared" ca="1" si="126"/>
        <v>32.64</v>
      </c>
      <c r="AJ93" s="439">
        <f t="shared" ca="1" si="127"/>
        <v>26.84</v>
      </c>
      <c r="AK93" s="439">
        <f t="shared" ca="1" si="128"/>
        <v>12.64</v>
      </c>
      <c r="AL93" s="439">
        <f t="shared" ca="1" si="129"/>
        <v>1.1739999999999999</v>
      </c>
      <c r="AM93" s="439">
        <f t="shared" ca="1" si="130"/>
        <v>1.2290000000000001</v>
      </c>
      <c r="AN93" s="439">
        <f t="shared" ca="1" si="131"/>
        <v>1.1639999999999999</v>
      </c>
      <c r="AO93" s="439">
        <f t="shared" ca="1" si="132"/>
        <v>0.58499999999999996</v>
      </c>
      <c r="AP93" s="439">
        <f t="shared" ca="1" si="133"/>
        <v>1.1339999999999999</v>
      </c>
      <c r="AQ93" s="439">
        <f t="shared" ca="1" si="134"/>
        <v>1.204</v>
      </c>
      <c r="AR93" s="439">
        <f t="shared" ca="1" si="135"/>
        <v>1.0880000000000001</v>
      </c>
      <c r="AS93" s="439">
        <f t="shared" ca="1" si="136"/>
        <v>0.51</v>
      </c>
      <c r="AT93" s="439">
        <f t="shared" ca="1" si="137"/>
        <v>4.93</v>
      </c>
      <c r="AU93" s="439">
        <f t="shared" ca="1" si="138"/>
        <v>5.16</v>
      </c>
      <c r="AV93" s="439">
        <f t="shared" ca="1" si="139"/>
        <v>5.1100000000000003</v>
      </c>
      <c r="AW93" s="439">
        <f t="shared" ca="1" si="140"/>
        <v>2.13</v>
      </c>
    </row>
    <row r="94" spans="1:49" ht="15.75" x14ac:dyDescent="0.25">
      <c r="A94" s="437" t="str">
        <f>INDEX(Оглавление, ROW())</f>
        <v>[Цены на приграничных АЗС 2017-2020 (7138827 v1).XLSM]Цены на 08.04.2019</v>
      </c>
      <c r="B94" s="438">
        <f t="shared" ca="1" si="90"/>
        <v>43563</v>
      </c>
      <c r="C94" s="439">
        <f t="shared" ca="1" si="94"/>
        <v>8.0307999999999993</v>
      </c>
      <c r="D94" s="439">
        <f t="shared" ca="1" si="95"/>
        <v>2.1415000000000002</v>
      </c>
      <c r="E94" s="439">
        <f t="shared" ca="1" si="96"/>
        <v>2.4041999999999999</v>
      </c>
      <c r="F94" s="439">
        <f t="shared" ca="1" si="97"/>
        <v>5.6029</v>
      </c>
      <c r="G94" s="439">
        <f t="shared" ca="1" si="98"/>
        <v>3.2744</v>
      </c>
      <c r="H94" s="439">
        <f t="shared" ca="1" si="99"/>
        <v>1.5</v>
      </c>
      <c r="I94" s="439">
        <f t="shared" ca="1" si="100"/>
        <v>1.61</v>
      </c>
      <c r="J94" s="439">
        <f t="shared" ca="1" si="101"/>
        <v>1.72</v>
      </c>
      <c r="K94" s="439">
        <f t="shared" ca="1" si="102"/>
        <v>1.61</v>
      </c>
      <c r="L94" s="439">
        <f t="shared" ca="1" si="103"/>
        <v>0.87</v>
      </c>
      <c r="M94" s="439">
        <f t="shared" ca="1" si="104"/>
        <v>42.02</v>
      </c>
      <c r="N94" s="439">
        <f t="shared" ca="1" si="105"/>
        <v>45.81</v>
      </c>
      <c r="O94" s="439">
        <f t="shared" ca="1" si="106"/>
        <v>50.91</v>
      </c>
      <c r="P94" s="439">
        <f t="shared" ca="1" si="107"/>
        <v>46.59</v>
      </c>
      <c r="Q94" s="439">
        <f t="shared" ca="1" si="108"/>
        <v>23.26</v>
      </c>
      <c r="R94" s="439">
        <f t="shared" ca="1" si="109"/>
        <v>41.09</v>
      </c>
      <c r="S94" s="439">
        <f t="shared" ca="1" si="110"/>
        <v>44.16</v>
      </c>
      <c r="T94" s="439">
        <f t="shared" ca="1" si="111"/>
        <v>48.9</v>
      </c>
      <c r="U94" s="439">
        <f t="shared" ca="1" si="112"/>
        <v>45.35</v>
      </c>
      <c r="V94" s="439">
        <f t="shared" ca="1" si="113"/>
        <v>24.94</v>
      </c>
      <c r="W94" s="439">
        <f t="shared" ca="1" si="114"/>
        <v>41.3</v>
      </c>
      <c r="X94" s="439">
        <f t="shared" ca="1" si="115"/>
        <v>44.5</v>
      </c>
      <c r="Y94" s="439">
        <f t="shared" ca="1" si="116"/>
        <v>48.4</v>
      </c>
      <c r="Z94" s="439">
        <f t="shared" ca="1" si="117"/>
        <v>44.94</v>
      </c>
      <c r="AA94" s="439">
        <f t="shared" ca="1" si="118"/>
        <v>26.8</v>
      </c>
      <c r="AB94" s="439">
        <f t="shared" ca="1" si="119"/>
        <v>41.15</v>
      </c>
      <c r="AC94" s="439">
        <f t="shared" ca="1" si="120"/>
        <v>43.91</v>
      </c>
      <c r="AD94" s="439">
        <f t="shared" ca="1" si="121"/>
        <v>51.46</v>
      </c>
      <c r="AE94" s="439">
        <f t="shared" ca="1" si="122"/>
        <v>45.85</v>
      </c>
      <c r="AF94" s="439">
        <f t="shared" ca="1" si="123"/>
        <v>23.15</v>
      </c>
      <c r="AG94" s="439">
        <f t="shared" ca="1" si="124"/>
        <v>27.99</v>
      </c>
      <c r="AH94" s="439">
        <f t="shared" ca="1" si="125"/>
        <v>29.89</v>
      </c>
      <c r="AI94" s="439">
        <f t="shared" ca="1" si="126"/>
        <v>32.94</v>
      </c>
      <c r="AJ94" s="439">
        <f t="shared" ca="1" si="127"/>
        <v>26.84</v>
      </c>
      <c r="AK94" s="439">
        <f t="shared" ca="1" si="128"/>
        <v>12.9</v>
      </c>
      <c r="AL94" s="439">
        <f t="shared" ca="1" si="129"/>
        <v>1.214</v>
      </c>
      <c r="AM94" s="439">
        <f t="shared" ca="1" si="130"/>
        <v>1.2689999999999999</v>
      </c>
      <c r="AN94" s="439">
        <f t="shared" ca="1" si="131"/>
        <v>1.1739999999999999</v>
      </c>
      <c r="AO94" s="439">
        <f t="shared" ca="1" si="132"/>
        <v>0.58499999999999996</v>
      </c>
      <c r="AP94" s="439">
        <f t="shared" ca="1" si="133"/>
        <v>1.1379999999999999</v>
      </c>
      <c r="AQ94" s="439">
        <f t="shared" ca="1" si="134"/>
        <v>1.2150000000000001</v>
      </c>
      <c r="AR94" s="439">
        <f t="shared" ca="1" si="135"/>
        <v>1.085</v>
      </c>
      <c r="AS94" s="439">
        <f t="shared" ca="1" si="136"/>
        <v>0.51</v>
      </c>
      <c r="AT94" s="439">
        <f t="shared" ca="1" si="137"/>
        <v>5.01</v>
      </c>
      <c r="AU94" s="439">
        <f t="shared" ca="1" si="138"/>
        <v>5.19</v>
      </c>
      <c r="AV94" s="439">
        <f t="shared" ca="1" si="139"/>
        <v>5.12</v>
      </c>
      <c r="AW94" s="439">
        <f t="shared" ca="1" si="140"/>
        <v>2.16</v>
      </c>
    </row>
    <row r="95" spans="1:49" ht="15.75" x14ac:dyDescent="0.25">
      <c r="A95" s="437" t="str">
        <f>INDEX(Оглавление, ROW())</f>
        <v>[Цены на приграничных АЗС 2017-2020 (7138827 v1).XLSM]Цены на 15.04.2019</v>
      </c>
      <c r="B95" s="438">
        <f t="shared" ca="1" si="90"/>
        <v>43570</v>
      </c>
      <c r="C95" s="439">
        <f t="shared" ca="1" si="94"/>
        <v>7.9088000000000003</v>
      </c>
      <c r="D95" s="439">
        <f t="shared" ca="1" si="95"/>
        <v>2.1131000000000002</v>
      </c>
      <c r="E95" s="439">
        <f t="shared" ca="1" si="96"/>
        <v>2.3839000000000001</v>
      </c>
      <c r="F95" s="439">
        <f t="shared" ca="1" si="97"/>
        <v>5.6029</v>
      </c>
      <c r="G95" s="439">
        <f t="shared" ca="1" si="98"/>
        <v>3.2734000000000001</v>
      </c>
      <c r="H95" s="439">
        <f t="shared" ca="1" si="99"/>
        <v>1.51</v>
      </c>
      <c r="I95" s="439">
        <f t="shared" ca="1" si="100"/>
        <v>1.62</v>
      </c>
      <c r="J95" s="439">
        <f t="shared" ca="1" si="101"/>
        <v>1.73</v>
      </c>
      <c r="K95" s="439">
        <f t="shared" ca="1" si="102"/>
        <v>1.62</v>
      </c>
      <c r="L95" s="439">
        <f t="shared" ca="1" si="103"/>
        <v>0.87</v>
      </c>
      <c r="M95" s="439">
        <f t="shared" ca="1" si="104"/>
        <v>41.91</v>
      </c>
      <c r="N95" s="439">
        <f t="shared" ca="1" si="105"/>
        <v>45.75</v>
      </c>
      <c r="O95" s="439">
        <f t="shared" ca="1" si="106"/>
        <v>50.95</v>
      </c>
      <c r="P95" s="439">
        <f t="shared" ca="1" si="107"/>
        <v>46.58</v>
      </c>
      <c r="Q95" s="439">
        <f t="shared" ca="1" si="108"/>
        <v>23.48</v>
      </c>
      <c r="R95" s="439">
        <f t="shared" ca="1" si="109"/>
        <v>41.07</v>
      </c>
      <c r="S95" s="439">
        <f t="shared" ca="1" si="110"/>
        <v>44.14</v>
      </c>
      <c r="T95" s="439">
        <f t="shared" ca="1" si="111"/>
        <v>48.9</v>
      </c>
      <c r="U95" s="439">
        <f t="shared" ca="1" si="112"/>
        <v>45.31</v>
      </c>
      <c r="V95" s="439">
        <f t="shared" ca="1" si="113"/>
        <v>24.94</v>
      </c>
      <c r="W95" s="439">
        <f t="shared" ca="1" si="114"/>
        <v>41.44</v>
      </c>
      <c r="X95" s="439">
        <f t="shared" ca="1" si="115"/>
        <v>44.68</v>
      </c>
      <c r="Y95" s="439">
        <f t="shared" ca="1" si="116"/>
        <v>48.43</v>
      </c>
      <c r="Z95" s="439">
        <f t="shared" ca="1" si="117"/>
        <v>44.69</v>
      </c>
      <c r="AA95" s="439">
        <f t="shared" ca="1" si="118"/>
        <v>26.8</v>
      </c>
      <c r="AB95" s="439">
        <f t="shared" ca="1" si="119"/>
        <v>41.19</v>
      </c>
      <c r="AC95" s="439">
        <f t="shared" ca="1" si="120"/>
        <v>43.91</v>
      </c>
      <c r="AD95" s="439">
        <f t="shared" ca="1" si="121"/>
        <v>51.46</v>
      </c>
      <c r="AE95" s="439">
        <f t="shared" ca="1" si="122"/>
        <v>46.65</v>
      </c>
      <c r="AF95" s="439">
        <f t="shared" ca="1" si="123"/>
        <v>23.15</v>
      </c>
      <c r="AG95" s="439">
        <f t="shared" ca="1" si="124"/>
        <v>27.99</v>
      </c>
      <c r="AH95" s="439">
        <f t="shared" ca="1" si="125"/>
        <v>29.95</v>
      </c>
      <c r="AI95" s="439">
        <f t="shared" ca="1" si="126"/>
        <v>33.14</v>
      </c>
      <c r="AJ95" s="439">
        <f t="shared" ca="1" si="127"/>
        <v>26.84</v>
      </c>
      <c r="AK95" s="439">
        <f t="shared" ca="1" si="128"/>
        <v>13.29</v>
      </c>
      <c r="AL95" s="439">
        <f t="shared" ca="1" si="129"/>
        <v>1.234</v>
      </c>
      <c r="AM95" s="439">
        <f t="shared" ca="1" si="130"/>
        <v>1.2889999999999999</v>
      </c>
      <c r="AN95" s="439">
        <f t="shared" ca="1" si="131"/>
        <v>1.194</v>
      </c>
      <c r="AO95" s="439">
        <f t="shared" ca="1" si="132"/>
        <v>0.58499999999999996</v>
      </c>
      <c r="AP95" s="439">
        <f t="shared" ca="1" si="133"/>
        <v>1.1759999999999999</v>
      </c>
      <c r="AQ95" s="439">
        <f t="shared" ca="1" si="134"/>
        <v>1.2450000000000001</v>
      </c>
      <c r="AR95" s="439">
        <f t="shared" ca="1" si="135"/>
        <v>1.085</v>
      </c>
      <c r="AS95" s="439">
        <f t="shared" ca="1" si="136"/>
        <v>0.51</v>
      </c>
      <c r="AT95" s="439">
        <f t="shared" ca="1" si="137"/>
        <v>5.09</v>
      </c>
      <c r="AU95" s="439">
        <f t="shared" ca="1" si="138"/>
        <v>5.29</v>
      </c>
      <c r="AV95" s="439">
        <f t="shared" ca="1" si="139"/>
        <v>5.16</v>
      </c>
      <c r="AW95" s="439">
        <f t="shared" ca="1" si="140"/>
        <v>2.15</v>
      </c>
    </row>
    <row r="96" spans="1:49" ht="15.75" x14ac:dyDescent="0.25">
      <c r="A96" s="437" t="str">
        <f>INDEX(Оглавление, ROW())</f>
        <v>[Цены на приграничных АЗС 2017-2020 (7138827 v1).XLSM]Цены на 22.04.2019</v>
      </c>
      <c r="B96" s="438">
        <f t="shared" ca="1" si="90"/>
        <v>43577</v>
      </c>
      <c r="C96" s="439">
        <f t="shared" ca="1" si="94"/>
        <v>7.8059000000000003</v>
      </c>
      <c r="D96" s="439">
        <f t="shared" ca="1" si="95"/>
        <v>2.0950000000000002</v>
      </c>
      <c r="E96" s="439">
        <f t="shared" ca="1" si="96"/>
        <v>2.3557000000000001</v>
      </c>
      <c r="F96" s="439">
        <f t="shared" ca="1" si="97"/>
        <v>5.5061</v>
      </c>
      <c r="G96" s="439">
        <f t="shared" ca="1" si="98"/>
        <v>3.2765</v>
      </c>
      <c r="H96" s="439">
        <f t="shared" ca="1" si="99"/>
        <v>1.52</v>
      </c>
      <c r="I96" s="439">
        <f t="shared" ca="1" si="100"/>
        <v>1.63</v>
      </c>
      <c r="J96" s="439">
        <f t="shared" ca="1" si="101"/>
        <v>1.74</v>
      </c>
      <c r="K96" s="439">
        <f t="shared" ca="1" si="102"/>
        <v>1.63</v>
      </c>
      <c r="L96" s="439">
        <f t="shared" ca="1" si="103"/>
        <v>0.88</v>
      </c>
      <c r="M96" s="439">
        <f t="shared" ca="1" si="104"/>
        <v>41.92</v>
      </c>
      <c r="N96" s="439">
        <f t="shared" ca="1" si="105"/>
        <v>45.76</v>
      </c>
      <c r="O96" s="439">
        <f t="shared" ca="1" si="106"/>
        <v>51.24</v>
      </c>
      <c r="P96" s="439">
        <f t="shared" ca="1" si="107"/>
        <v>46.67</v>
      </c>
      <c r="Q96" s="439">
        <f t="shared" ca="1" si="108"/>
        <v>23.47</v>
      </c>
      <c r="R96" s="439">
        <f t="shared" ca="1" si="109"/>
        <v>41.25</v>
      </c>
      <c r="S96" s="439">
        <f t="shared" ca="1" si="110"/>
        <v>44.33</v>
      </c>
      <c r="T96" s="439">
        <f t="shared" ca="1" si="111"/>
        <v>48.9</v>
      </c>
      <c r="U96" s="439">
        <f t="shared" ca="1" si="112"/>
        <v>45.08</v>
      </c>
      <c r="V96" s="439">
        <f t="shared" ca="1" si="113"/>
        <v>24.94</v>
      </c>
      <c r="W96" s="439">
        <f t="shared" ca="1" si="114"/>
        <v>41.61</v>
      </c>
      <c r="X96" s="439">
        <f t="shared" ca="1" si="115"/>
        <v>44.84</v>
      </c>
      <c r="Y96" s="439">
        <f t="shared" ca="1" si="116"/>
        <v>48.65</v>
      </c>
      <c r="Z96" s="439">
        <f t="shared" ca="1" si="117"/>
        <v>44.49</v>
      </c>
      <c r="AA96" s="439">
        <f t="shared" ca="1" si="118"/>
        <v>26.8</v>
      </c>
      <c r="AB96" s="439">
        <f t="shared" ca="1" si="119"/>
        <v>41.18</v>
      </c>
      <c r="AC96" s="439">
        <f t="shared" ca="1" si="120"/>
        <v>43.87</v>
      </c>
      <c r="AD96" s="439">
        <f t="shared" ca="1" si="121"/>
        <v>51.46</v>
      </c>
      <c r="AE96" s="439">
        <f t="shared" ca="1" si="122"/>
        <v>46.46</v>
      </c>
      <c r="AF96" s="439">
        <f t="shared" ca="1" si="123"/>
        <v>23.15</v>
      </c>
      <c r="AG96" s="439">
        <f t="shared" ca="1" si="124"/>
        <v>27.99</v>
      </c>
      <c r="AH96" s="439">
        <f t="shared" ca="1" si="125"/>
        <v>29.95</v>
      </c>
      <c r="AI96" s="439">
        <f t="shared" ca="1" si="126"/>
        <v>33.39</v>
      </c>
      <c r="AJ96" s="439">
        <f t="shared" ca="1" si="127"/>
        <v>26.84</v>
      </c>
      <c r="AK96" s="439">
        <f t="shared" ca="1" si="128"/>
        <v>13.3</v>
      </c>
      <c r="AL96" s="439">
        <f t="shared" ca="1" si="129"/>
        <v>1.254</v>
      </c>
      <c r="AM96" s="439">
        <f t="shared" ca="1" si="130"/>
        <v>1.3089999999999999</v>
      </c>
      <c r="AN96" s="439">
        <f t="shared" ca="1" si="131"/>
        <v>1.1839999999999999</v>
      </c>
      <c r="AO96" s="439">
        <f t="shared" ca="1" si="132"/>
        <v>0.56499999999999995</v>
      </c>
      <c r="AP96" s="439">
        <f t="shared" ca="1" si="133"/>
        <v>1.169</v>
      </c>
      <c r="AQ96" s="439">
        <f t="shared" ca="1" si="134"/>
        <v>1.2649999999999999</v>
      </c>
      <c r="AR96" s="439">
        <f t="shared" ca="1" si="135"/>
        <v>1.1140000000000001</v>
      </c>
      <c r="AS96" s="439">
        <f t="shared" ca="1" si="136"/>
        <v>0.51</v>
      </c>
      <c r="AT96" s="439">
        <f t="shared" ca="1" si="137"/>
        <v>5.19</v>
      </c>
      <c r="AU96" s="439">
        <f t="shared" ca="1" si="138"/>
        <v>5.32</v>
      </c>
      <c r="AV96" s="439">
        <f t="shared" ca="1" si="139"/>
        <v>5.14</v>
      </c>
      <c r="AW96" s="439">
        <f t="shared" ca="1" si="140"/>
        <v>2.17</v>
      </c>
    </row>
    <row r="97" spans="1:49" ht="15.75" x14ac:dyDescent="0.25">
      <c r="A97" s="437" t="str">
        <f>INDEX(Оглавление, ROW())</f>
        <v>[Цены на приграничных АЗС 2017-2020 (7138827 v1).XLSM]Цены на 29.04.2019</v>
      </c>
      <c r="B97" s="438">
        <f t="shared" ca="1" si="90"/>
        <v>43584</v>
      </c>
      <c r="C97" s="439">
        <f t="shared" ca="1" si="94"/>
        <v>7.9870999999999999</v>
      </c>
      <c r="D97" s="439">
        <f t="shared" ca="1" si="95"/>
        <v>2.1103999999999998</v>
      </c>
      <c r="E97" s="439">
        <f t="shared" ca="1" si="96"/>
        <v>2.3504999999999998</v>
      </c>
      <c r="F97" s="439">
        <f t="shared" ca="1" si="97"/>
        <v>5.4789000000000003</v>
      </c>
      <c r="G97" s="439">
        <f t="shared" ca="1" si="98"/>
        <v>3.2614000000000001</v>
      </c>
      <c r="H97" s="439">
        <f t="shared" ca="1" si="99"/>
        <v>1.53</v>
      </c>
      <c r="I97" s="439">
        <f t="shared" ca="1" si="100"/>
        <v>1.64</v>
      </c>
      <c r="J97" s="439">
        <f t="shared" ca="1" si="101"/>
        <v>1.75</v>
      </c>
      <c r="K97" s="439">
        <f t="shared" ca="1" si="102"/>
        <v>1.64</v>
      </c>
      <c r="L97" s="439">
        <f t="shared" ca="1" si="103"/>
        <v>0.88</v>
      </c>
      <c r="M97" s="439">
        <f t="shared" ca="1" si="104"/>
        <v>41.92</v>
      </c>
      <c r="N97" s="439">
        <f t="shared" ca="1" si="105"/>
        <v>45.73</v>
      </c>
      <c r="O97" s="439">
        <f t="shared" ca="1" si="106"/>
        <v>51.24</v>
      </c>
      <c r="P97" s="439">
        <f t="shared" ca="1" si="107"/>
        <v>45.44</v>
      </c>
      <c r="Q97" s="439">
        <f t="shared" ca="1" si="108"/>
        <v>23.24</v>
      </c>
      <c r="R97" s="439">
        <f t="shared" ca="1" si="109"/>
        <v>41.04</v>
      </c>
      <c r="S97" s="439">
        <f t="shared" ca="1" si="110"/>
        <v>44.04</v>
      </c>
      <c r="T97" s="439">
        <f t="shared" ca="1" si="111"/>
        <v>48.9</v>
      </c>
      <c r="U97" s="439">
        <f t="shared" ca="1" si="112"/>
        <v>44.97</v>
      </c>
      <c r="V97" s="439">
        <f t="shared" ca="1" si="113"/>
        <v>24.94</v>
      </c>
      <c r="W97" s="439">
        <f t="shared" ca="1" si="114"/>
        <v>41.6</v>
      </c>
      <c r="X97" s="439">
        <f t="shared" ca="1" si="115"/>
        <v>44.82</v>
      </c>
      <c r="Y97" s="439">
        <f t="shared" ca="1" si="116"/>
        <v>48.65</v>
      </c>
      <c r="Z97" s="439">
        <f t="shared" ca="1" si="117"/>
        <v>44.54</v>
      </c>
      <c r="AA97" s="439">
        <f t="shared" ca="1" si="118"/>
        <v>26.8</v>
      </c>
      <c r="AB97" s="439">
        <f t="shared" ca="1" si="119"/>
        <v>41.43</v>
      </c>
      <c r="AC97" s="439">
        <f t="shared" ca="1" si="120"/>
        <v>44.75</v>
      </c>
      <c r="AD97" s="439">
        <f t="shared" ca="1" si="121"/>
        <v>51.46</v>
      </c>
      <c r="AE97" s="439">
        <f t="shared" ca="1" si="122"/>
        <v>46.86</v>
      </c>
      <c r="AF97" s="439">
        <f t="shared" ca="1" si="123"/>
        <v>23.15</v>
      </c>
      <c r="AG97" s="439">
        <f t="shared" ca="1" si="124"/>
        <v>27.99</v>
      </c>
      <c r="AH97" s="439">
        <f t="shared" ca="1" si="125"/>
        <v>29.95</v>
      </c>
      <c r="AI97" s="439">
        <f t="shared" ca="1" si="126"/>
        <v>33.99</v>
      </c>
      <c r="AJ97" s="439">
        <f t="shared" ca="1" si="127"/>
        <v>26.84</v>
      </c>
      <c r="AK97" s="439">
        <f t="shared" ca="1" si="128"/>
        <v>13.42</v>
      </c>
      <c r="AL97" s="439">
        <f t="shared" ca="1" si="129"/>
        <v>1.274</v>
      </c>
      <c r="AM97" s="439">
        <f t="shared" ca="1" si="130"/>
        <v>1.329</v>
      </c>
      <c r="AN97" s="439">
        <f t="shared" ca="1" si="131"/>
        <v>1.214</v>
      </c>
      <c r="AO97" s="439">
        <f t="shared" ca="1" si="132"/>
        <v>0.58499999999999996</v>
      </c>
      <c r="AP97" s="439">
        <f t="shared" ca="1" si="133"/>
        <v>1.169</v>
      </c>
      <c r="AQ97" s="439">
        <f t="shared" ca="1" si="134"/>
        <v>1.2589999999999999</v>
      </c>
      <c r="AR97" s="439">
        <f t="shared" ca="1" si="135"/>
        <v>1.1140000000000001</v>
      </c>
      <c r="AS97" s="439">
        <f t="shared" ca="1" si="136"/>
        <v>0.51</v>
      </c>
      <c r="AT97" s="439">
        <f t="shared" ca="1" si="137"/>
        <v>5.16</v>
      </c>
      <c r="AU97" s="439">
        <f t="shared" ca="1" si="138"/>
        <v>5.4</v>
      </c>
      <c r="AV97" s="439">
        <f t="shared" ca="1" si="139"/>
        <v>5.16</v>
      </c>
      <c r="AW97" s="439">
        <f t="shared" ca="1" si="140"/>
        <v>2.1800000000000002</v>
      </c>
    </row>
    <row r="98" spans="1:49" ht="15.75" x14ac:dyDescent="0.25">
      <c r="A98" s="437" t="str">
        <f>INDEX(Оглавление, ROW())</f>
        <v>[Цены на приграничных АЗС 2017-2020 (7138827 v1).XLSM]Цены на 10.05.2019</v>
      </c>
      <c r="B98" s="438">
        <f t="shared" ca="1" si="90"/>
        <v>43595</v>
      </c>
      <c r="C98" s="439">
        <f t="shared" ca="1" si="94"/>
        <v>7.9734999999999996</v>
      </c>
      <c r="D98" s="439">
        <f t="shared" ca="1" si="95"/>
        <v>2.109</v>
      </c>
      <c r="E98" s="439">
        <f t="shared" ca="1" si="96"/>
        <v>2.3620000000000001</v>
      </c>
      <c r="F98" s="439">
        <f t="shared" ca="1" si="97"/>
        <v>5.5243000000000002</v>
      </c>
      <c r="G98" s="439">
        <f t="shared" ca="1" si="98"/>
        <v>3.2425999999999999</v>
      </c>
      <c r="H98" s="439">
        <f t="shared" ca="1" si="99"/>
        <v>1.54</v>
      </c>
      <c r="I98" s="439">
        <f t="shared" ca="1" si="100"/>
        <v>1.65</v>
      </c>
      <c r="J98" s="439">
        <f t="shared" ca="1" si="101"/>
        <v>1.76</v>
      </c>
      <c r="K98" s="439">
        <f t="shared" ca="1" si="102"/>
        <v>1.65</v>
      </c>
      <c r="L98" s="439">
        <f t="shared" ca="1" si="103"/>
        <v>0.89</v>
      </c>
      <c r="M98" s="439">
        <f t="shared" ca="1" si="104"/>
        <v>41.93</v>
      </c>
      <c r="N98" s="439">
        <f t="shared" ca="1" si="105"/>
        <v>45.79</v>
      </c>
      <c r="O98" s="439">
        <f t="shared" ca="1" si="106"/>
        <v>51.24</v>
      </c>
      <c r="P98" s="439">
        <f t="shared" ca="1" si="107"/>
        <v>45.46</v>
      </c>
      <c r="Q98" s="439">
        <f t="shared" ca="1" si="108"/>
        <v>23.19</v>
      </c>
      <c r="R98" s="439">
        <f t="shared" ca="1" si="109"/>
        <v>41.31</v>
      </c>
      <c r="S98" s="439">
        <f t="shared" ca="1" si="110"/>
        <v>44.36</v>
      </c>
      <c r="T98" s="439">
        <f t="shared" ca="1" si="111"/>
        <v>48.9</v>
      </c>
      <c r="U98" s="439">
        <f t="shared" ca="1" si="112"/>
        <v>45.17</v>
      </c>
      <c r="V98" s="439">
        <f t="shared" ca="1" si="113"/>
        <v>24.94</v>
      </c>
      <c r="W98" s="439">
        <f t="shared" ca="1" si="114"/>
        <v>41.6</v>
      </c>
      <c r="X98" s="439">
        <f t="shared" ca="1" si="115"/>
        <v>44.82</v>
      </c>
      <c r="Y98" s="439">
        <f t="shared" ca="1" si="116"/>
        <v>48.8</v>
      </c>
      <c r="Z98" s="439">
        <f t="shared" ca="1" si="117"/>
        <v>44.57</v>
      </c>
      <c r="AA98" s="439">
        <f t="shared" ca="1" si="118"/>
        <v>26.8</v>
      </c>
      <c r="AB98" s="439">
        <f t="shared" ca="1" si="119"/>
        <v>41.29</v>
      </c>
      <c r="AC98" s="439">
        <f t="shared" ca="1" si="120"/>
        <v>44.95</v>
      </c>
      <c r="AD98" s="439">
        <f t="shared" ca="1" si="121"/>
        <v>51.46</v>
      </c>
      <c r="AE98" s="439">
        <f t="shared" ca="1" si="122"/>
        <v>47.32</v>
      </c>
      <c r="AF98" s="439">
        <f t="shared" ca="1" si="123"/>
        <v>23.15</v>
      </c>
      <c r="AG98" s="439">
        <f t="shared" ca="1" si="124"/>
        <v>28.29</v>
      </c>
      <c r="AH98" s="439">
        <f t="shared" ca="1" si="125"/>
        <v>29.95</v>
      </c>
      <c r="AI98" s="439">
        <f t="shared" ca="1" si="126"/>
        <v>33.99</v>
      </c>
      <c r="AJ98" s="439">
        <f t="shared" ca="1" si="127"/>
        <v>26.84</v>
      </c>
      <c r="AK98" s="439">
        <f t="shared" ca="1" si="128"/>
        <v>13.45</v>
      </c>
      <c r="AL98" s="439">
        <f t="shared" ca="1" si="129"/>
        <v>1.304</v>
      </c>
      <c r="AM98" s="439">
        <f t="shared" ca="1" si="130"/>
        <v>1.359</v>
      </c>
      <c r="AN98" s="439">
        <f t="shared" ca="1" si="131"/>
        <v>1.244</v>
      </c>
      <c r="AO98" s="439">
        <f t="shared" ca="1" si="132"/>
        <v>0.56499999999999995</v>
      </c>
      <c r="AP98" s="439">
        <f t="shared" ca="1" si="133"/>
        <v>1.196</v>
      </c>
      <c r="AQ98" s="439">
        <f t="shared" ca="1" si="134"/>
        <v>1.2649999999999999</v>
      </c>
      <c r="AR98" s="439">
        <f t="shared" ca="1" si="135"/>
        <v>1.1140000000000001</v>
      </c>
      <c r="AS98" s="439">
        <f t="shared" ca="1" si="136"/>
        <v>0.51900000000000002</v>
      </c>
      <c r="AT98" s="439">
        <f t="shared" ca="1" si="137"/>
        <v>5.22</v>
      </c>
      <c r="AU98" s="439">
        <f t="shared" ca="1" si="138"/>
        <v>5.48</v>
      </c>
      <c r="AV98" s="439">
        <f t="shared" ca="1" si="139"/>
        <v>5.19</v>
      </c>
      <c r="AW98" s="439">
        <f t="shared" ca="1" si="140"/>
        <v>2.2200000000000002</v>
      </c>
    </row>
    <row r="99" spans="1:49" ht="15.75" x14ac:dyDescent="0.25">
      <c r="A99" s="437" t="str">
        <f>INDEX(Оглавление, ROW())</f>
        <v>[Цены на приграничных АЗС 2017-2020 (7138827 v1).XLSM]Цены на 20.05.2019</v>
      </c>
      <c r="B99" s="438">
        <f t="shared" ca="1" si="90"/>
        <v>43605</v>
      </c>
      <c r="C99" s="439">
        <f t="shared" ca="1" si="94"/>
        <v>7.9081999999999999</v>
      </c>
      <c r="D99" s="439">
        <f t="shared" ca="1" si="95"/>
        <v>2.0853999999999999</v>
      </c>
      <c r="E99" s="439">
        <f t="shared" ca="1" si="96"/>
        <v>2.3315999999999999</v>
      </c>
      <c r="F99" s="439">
        <f t="shared" ca="1" si="97"/>
        <v>5.4039000000000001</v>
      </c>
      <c r="G99" s="439">
        <f t="shared" ca="1" si="98"/>
        <v>3.2282000000000002</v>
      </c>
      <c r="H99" s="439">
        <f t="shared" ca="1" si="99"/>
        <v>1.56</v>
      </c>
      <c r="I99" s="439">
        <f t="shared" ca="1" si="100"/>
        <v>1.67</v>
      </c>
      <c r="J99" s="439">
        <f t="shared" ca="1" si="101"/>
        <v>1.78</v>
      </c>
      <c r="K99" s="439">
        <f t="shared" ca="1" si="102"/>
        <v>1.67</v>
      </c>
      <c r="L99" s="439">
        <f t="shared" ca="1" si="103"/>
        <v>0.9</v>
      </c>
      <c r="M99" s="439">
        <f t="shared" ca="1" si="104"/>
        <v>41.95</v>
      </c>
      <c r="N99" s="439">
        <f t="shared" ca="1" si="105"/>
        <v>45.8</v>
      </c>
      <c r="O99" s="439">
        <f t="shared" ca="1" si="106"/>
        <v>51.24</v>
      </c>
      <c r="P99" s="439">
        <f t="shared" ca="1" si="107"/>
        <v>45.45</v>
      </c>
      <c r="Q99" s="439">
        <f t="shared" ca="1" si="108"/>
        <v>22.87</v>
      </c>
      <c r="R99" s="439">
        <f t="shared" ca="1" si="109"/>
        <v>41.22</v>
      </c>
      <c r="S99" s="439">
        <f t="shared" ca="1" si="110"/>
        <v>44.29</v>
      </c>
      <c r="T99" s="439">
        <f t="shared" ca="1" si="111"/>
        <v>49.55</v>
      </c>
      <c r="U99" s="439">
        <f t="shared" ca="1" si="112"/>
        <v>45.22</v>
      </c>
      <c r="V99" s="439">
        <f t="shared" ca="1" si="113"/>
        <v>24.65</v>
      </c>
      <c r="W99" s="439">
        <f t="shared" ca="1" si="114"/>
        <v>41.55</v>
      </c>
      <c r="X99" s="439">
        <f t="shared" ca="1" si="115"/>
        <v>44.75</v>
      </c>
      <c r="Y99" s="439">
        <f t="shared" ca="1" si="116"/>
        <v>48.98</v>
      </c>
      <c r="Z99" s="439">
        <f t="shared" ca="1" si="117"/>
        <v>44.69</v>
      </c>
      <c r="AA99" s="439">
        <f t="shared" ca="1" si="118"/>
        <v>26.8</v>
      </c>
      <c r="AB99" s="439">
        <f t="shared" ca="1" si="119"/>
        <v>41.52</v>
      </c>
      <c r="AC99" s="439">
        <f t="shared" ca="1" si="120"/>
        <v>44.8</v>
      </c>
      <c r="AD99" s="439">
        <f t="shared" ca="1" si="121"/>
        <v>51.46</v>
      </c>
      <c r="AE99" s="439">
        <f t="shared" ca="1" si="122"/>
        <v>46.87</v>
      </c>
      <c r="AF99" s="439">
        <f t="shared" ca="1" si="123"/>
        <v>23.55</v>
      </c>
      <c r="AG99" s="439">
        <f t="shared" ca="1" si="124"/>
        <v>28.29</v>
      </c>
      <c r="AH99" s="439">
        <f t="shared" ca="1" si="125"/>
        <v>29.49</v>
      </c>
      <c r="AI99" s="439">
        <f t="shared" ca="1" si="126"/>
        <v>33.99</v>
      </c>
      <c r="AJ99" s="439">
        <f t="shared" ca="1" si="127"/>
        <v>26.84</v>
      </c>
      <c r="AK99" s="439">
        <f t="shared" ca="1" si="128"/>
        <v>13.57</v>
      </c>
      <c r="AL99" s="439">
        <f t="shared" ca="1" si="129"/>
        <v>1.294</v>
      </c>
      <c r="AM99" s="439">
        <f t="shared" ca="1" si="130"/>
        <v>1.349</v>
      </c>
      <c r="AN99" s="439">
        <f t="shared" ca="1" si="131"/>
        <v>1.2090000000000001</v>
      </c>
      <c r="AO99" s="439">
        <f t="shared" ca="1" si="132"/>
        <v>0.56499999999999995</v>
      </c>
      <c r="AP99" s="439">
        <f t="shared" ca="1" si="133"/>
        <v>1.2110000000000001</v>
      </c>
      <c r="AQ99" s="439">
        <f t="shared" ca="1" si="134"/>
        <v>1.28</v>
      </c>
      <c r="AR99" s="439">
        <f t="shared" ca="1" si="135"/>
        <v>1.1339999999999999</v>
      </c>
      <c r="AS99" s="439">
        <f t="shared" ca="1" si="136"/>
        <v>0.51900000000000002</v>
      </c>
      <c r="AT99" s="439">
        <f t="shared" ca="1" si="137"/>
        <v>5.22</v>
      </c>
      <c r="AU99" s="439">
        <f t="shared" ca="1" si="138"/>
        <v>5.4</v>
      </c>
      <c r="AV99" s="439">
        <f t="shared" ca="1" si="139"/>
        <v>5.18</v>
      </c>
      <c r="AW99" s="439">
        <f t="shared" ca="1" si="140"/>
        <v>2.23</v>
      </c>
    </row>
    <row r="100" spans="1:49" ht="15.75" x14ac:dyDescent="0.25">
      <c r="A100" s="437" t="str">
        <f>INDEX(Оглавление, ROW())</f>
        <v>[Цены на приграничных АЗС 2017-2020 (7138827 v1).XLSM]Цены на 27.05.2019</v>
      </c>
      <c r="B100" s="438">
        <f t="shared" ca="1" si="90"/>
        <v>43612</v>
      </c>
      <c r="C100" s="439">
        <f t="shared" ca="1" si="94"/>
        <v>7.8746</v>
      </c>
      <c r="D100" s="439">
        <f t="shared" ca="1" si="95"/>
        <v>2.0792999999999999</v>
      </c>
      <c r="E100" s="439">
        <f t="shared" ca="1" si="96"/>
        <v>2.3252000000000002</v>
      </c>
      <c r="F100" s="439">
        <f t="shared" ca="1" si="97"/>
        <v>5.4135</v>
      </c>
      <c r="G100" s="439">
        <f t="shared" ca="1" si="98"/>
        <v>3.2206000000000001</v>
      </c>
      <c r="H100" s="439">
        <f t="shared" ca="1" si="99"/>
        <v>1.57</v>
      </c>
      <c r="I100" s="439">
        <f t="shared" ca="1" si="100"/>
        <v>1.68</v>
      </c>
      <c r="J100" s="439">
        <f t="shared" ca="1" si="101"/>
        <v>1.79</v>
      </c>
      <c r="K100" s="439">
        <f t="shared" ca="1" si="102"/>
        <v>1.68</v>
      </c>
      <c r="L100" s="439">
        <f t="shared" ca="1" si="103"/>
        <v>0.9</v>
      </c>
      <c r="M100" s="439">
        <f t="shared" ca="1" si="104"/>
        <v>41.95</v>
      </c>
      <c r="N100" s="439">
        <f t="shared" ca="1" si="105"/>
        <v>45.77</v>
      </c>
      <c r="O100" s="439">
        <f t="shared" ca="1" si="106"/>
        <v>51.22</v>
      </c>
      <c r="P100" s="439">
        <f t="shared" ca="1" si="107"/>
        <v>45.43</v>
      </c>
      <c r="Q100" s="439">
        <f t="shared" ca="1" si="108"/>
        <v>23.08</v>
      </c>
      <c r="R100" s="439">
        <f t="shared" ca="1" si="109"/>
        <v>41.39</v>
      </c>
      <c r="S100" s="439">
        <f t="shared" ca="1" si="110"/>
        <v>44.46</v>
      </c>
      <c r="T100" s="439">
        <f t="shared" ca="1" si="111"/>
        <v>49.55</v>
      </c>
      <c r="U100" s="439">
        <f t="shared" ca="1" si="112"/>
        <v>45.2</v>
      </c>
      <c r="V100" s="439">
        <f t="shared" ca="1" si="113"/>
        <v>24.65</v>
      </c>
      <c r="W100" s="439">
        <f t="shared" ca="1" si="114"/>
        <v>41.64</v>
      </c>
      <c r="X100" s="439">
        <f t="shared" ca="1" si="115"/>
        <v>44.87</v>
      </c>
      <c r="Y100" s="439">
        <f t="shared" ca="1" si="116"/>
        <v>48.9</v>
      </c>
      <c r="Z100" s="439">
        <f t="shared" ca="1" si="117"/>
        <v>44.7</v>
      </c>
      <c r="AA100" s="439">
        <f t="shared" ca="1" si="118"/>
        <v>26.8</v>
      </c>
      <c r="AB100" s="439">
        <f t="shared" ca="1" si="119"/>
        <v>41.39</v>
      </c>
      <c r="AC100" s="439">
        <f t="shared" ca="1" si="120"/>
        <v>44.15</v>
      </c>
      <c r="AD100" s="439">
        <f t="shared" ca="1" si="121"/>
        <v>51.46</v>
      </c>
      <c r="AE100" s="439">
        <f t="shared" ca="1" si="122"/>
        <v>45.4</v>
      </c>
      <c r="AF100" s="439">
        <f t="shared" ca="1" si="123"/>
        <v>23.55</v>
      </c>
      <c r="AG100" s="439">
        <f t="shared" ca="1" si="124"/>
        <v>28.29</v>
      </c>
      <c r="AH100" s="439">
        <f t="shared" ca="1" si="125"/>
        <v>29.49</v>
      </c>
      <c r="AI100" s="439">
        <f t="shared" ca="1" si="126"/>
        <v>33.99</v>
      </c>
      <c r="AJ100" s="439">
        <f t="shared" ca="1" si="127"/>
        <v>26.84</v>
      </c>
      <c r="AK100" s="439">
        <f t="shared" ca="1" si="128"/>
        <v>13.42</v>
      </c>
      <c r="AL100" s="439">
        <f t="shared" ca="1" si="129"/>
        <v>1.3140000000000001</v>
      </c>
      <c r="AM100" s="439">
        <f t="shared" ca="1" si="130"/>
        <v>1.369</v>
      </c>
      <c r="AN100" s="439">
        <f t="shared" ca="1" si="131"/>
        <v>1.224</v>
      </c>
      <c r="AO100" s="439">
        <f t="shared" ca="1" si="132"/>
        <v>0.56499999999999995</v>
      </c>
      <c r="AP100" s="439">
        <f t="shared" ca="1" si="133"/>
        <v>1.204</v>
      </c>
      <c r="AQ100" s="439">
        <f t="shared" ca="1" si="134"/>
        <v>1.2749999999999999</v>
      </c>
      <c r="AR100" s="439">
        <f t="shared" ca="1" si="135"/>
        <v>1.1140000000000001</v>
      </c>
      <c r="AS100" s="439">
        <f t="shared" ca="1" si="136"/>
        <v>0.51900000000000002</v>
      </c>
      <c r="AT100" s="439">
        <f t="shared" ca="1" si="137"/>
        <v>5.25</v>
      </c>
      <c r="AU100" s="439">
        <f t="shared" ca="1" si="138"/>
        <v>5.5</v>
      </c>
      <c r="AV100" s="439">
        <f t="shared" ca="1" si="139"/>
        <v>5.21</v>
      </c>
      <c r="AW100" s="439">
        <f t="shared" ca="1" si="140"/>
        <v>2.2200000000000002</v>
      </c>
    </row>
    <row r="101" spans="1:49" ht="15.75" x14ac:dyDescent="0.25">
      <c r="A101" s="437" t="str">
        <f>INDEX(Оглавление, ROW())</f>
        <v>[Цены на приграничных АЗС 2017-2020 (7138827 v1).XLSM]Цены на 03.06.2019</v>
      </c>
      <c r="B101" s="438">
        <f t="shared" ca="1" si="90"/>
        <v>43619</v>
      </c>
      <c r="C101" s="439">
        <f t="shared" ca="1" si="94"/>
        <v>7.8120000000000003</v>
      </c>
      <c r="D101" s="439">
        <f t="shared" ca="1" si="95"/>
        <v>2.0989</v>
      </c>
      <c r="E101" s="439">
        <f t="shared" ca="1" si="96"/>
        <v>2.3384</v>
      </c>
      <c r="F101" s="439">
        <f t="shared" ca="1" si="97"/>
        <v>5.4576000000000002</v>
      </c>
      <c r="G101" s="439">
        <f t="shared" ca="1" si="98"/>
        <v>3.2073</v>
      </c>
      <c r="H101" s="439">
        <f t="shared" ca="1" si="99"/>
        <v>1.58</v>
      </c>
      <c r="I101" s="439">
        <f t="shared" ca="1" si="100"/>
        <v>1.69</v>
      </c>
      <c r="J101" s="439">
        <f t="shared" ca="1" si="101"/>
        <v>1.8</v>
      </c>
      <c r="K101" s="439">
        <f t="shared" ca="1" si="102"/>
        <v>1.69</v>
      </c>
      <c r="L101" s="439">
        <f t="shared" ca="1" si="103"/>
        <v>0.91</v>
      </c>
      <c r="M101" s="439">
        <f t="shared" ca="1" si="104"/>
        <v>42.08</v>
      </c>
      <c r="N101" s="439">
        <f t="shared" ca="1" si="105"/>
        <v>45.98</v>
      </c>
      <c r="O101" s="439">
        <f t="shared" ca="1" si="106"/>
        <v>50.99</v>
      </c>
      <c r="P101" s="439">
        <f t="shared" ca="1" si="107"/>
        <v>45.5</v>
      </c>
      <c r="Q101" s="439">
        <f t="shared" ca="1" si="108"/>
        <v>22.64</v>
      </c>
      <c r="R101" s="439">
        <f t="shared" ca="1" si="109"/>
        <v>41.47</v>
      </c>
      <c r="S101" s="439">
        <f t="shared" ca="1" si="110"/>
        <v>44.55</v>
      </c>
      <c r="T101" s="439">
        <f t="shared" ca="1" si="111"/>
        <v>49.55</v>
      </c>
      <c r="U101" s="439">
        <f t="shared" ca="1" si="112"/>
        <v>45.13</v>
      </c>
      <c r="V101" s="439">
        <f t="shared" ca="1" si="113"/>
        <v>24.3</v>
      </c>
      <c r="W101" s="439">
        <f t="shared" ca="1" si="114"/>
        <v>41.78</v>
      </c>
      <c r="X101" s="439">
        <f t="shared" ca="1" si="115"/>
        <v>45.01</v>
      </c>
      <c r="Y101" s="439">
        <f t="shared" ca="1" si="116"/>
        <v>48.9</v>
      </c>
      <c r="Z101" s="439">
        <f t="shared" ca="1" si="117"/>
        <v>44.67</v>
      </c>
      <c r="AA101" s="439">
        <f t="shared" ca="1" si="118"/>
        <v>26.8</v>
      </c>
      <c r="AB101" s="439">
        <f t="shared" ca="1" si="119"/>
        <v>41.63</v>
      </c>
      <c r="AC101" s="439">
        <f t="shared" ca="1" si="120"/>
        <v>44.71</v>
      </c>
      <c r="AD101" s="439">
        <f t="shared" ca="1" si="121"/>
        <v>51.46</v>
      </c>
      <c r="AE101" s="439">
        <f t="shared" ca="1" si="122"/>
        <v>45.68</v>
      </c>
      <c r="AF101" s="439">
        <f t="shared" ca="1" si="123"/>
        <v>23.55</v>
      </c>
      <c r="AG101" s="439">
        <f t="shared" ca="1" si="124"/>
        <v>28.29</v>
      </c>
      <c r="AH101" s="439">
        <f t="shared" ca="1" si="125"/>
        <v>29.49</v>
      </c>
      <c r="AI101" s="439">
        <f t="shared" ca="1" si="126"/>
        <v>33.99</v>
      </c>
      <c r="AJ101" s="439">
        <f t="shared" ca="1" si="127"/>
        <v>26.84</v>
      </c>
      <c r="AK101" s="439">
        <f t="shared" ca="1" si="128"/>
        <v>13.49</v>
      </c>
      <c r="AL101" s="439">
        <f t="shared" ca="1" si="129"/>
        <v>1.3140000000000001</v>
      </c>
      <c r="AM101" s="439">
        <f t="shared" ca="1" si="130"/>
        <v>1.369</v>
      </c>
      <c r="AN101" s="439">
        <f t="shared" ca="1" si="131"/>
        <v>1.224</v>
      </c>
      <c r="AO101" s="439">
        <f t="shared" ca="1" si="132"/>
        <v>0.57499999999999996</v>
      </c>
      <c r="AP101" s="439">
        <f t="shared" ca="1" si="133"/>
        <v>1.204</v>
      </c>
      <c r="AQ101" s="439">
        <f t="shared" ca="1" si="134"/>
        <v>1.2749999999999999</v>
      </c>
      <c r="AR101" s="439">
        <f t="shared" ca="1" si="135"/>
        <v>1.1240000000000001</v>
      </c>
      <c r="AS101" s="439">
        <f t="shared" ca="1" si="136"/>
        <v>0.51900000000000002</v>
      </c>
      <c r="AT101" s="439">
        <f t="shared" ca="1" si="137"/>
        <v>5.25</v>
      </c>
      <c r="AU101" s="439">
        <f t="shared" ca="1" si="138"/>
        <v>5.47</v>
      </c>
      <c r="AV101" s="439">
        <f t="shared" ca="1" si="139"/>
        <v>5.2</v>
      </c>
      <c r="AW101" s="439">
        <f t="shared" ca="1" si="140"/>
        <v>2.2000000000000002</v>
      </c>
    </row>
    <row r="102" spans="1:49" ht="15.75" x14ac:dyDescent="0.25">
      <c r="A102" s="437" t="str">
        <f>INDEX(Оглавление, ROW())</f>
        <v>[Цены на приграничных АЗС 2017-2020 (7138827 v1).XLSM]Цены на 10.06.2019</v>
      </c>
      <c r="B102" s="438">
        <f t="shared" ca="1" si="90"/>
        <v>43626</v>
      </c>
      <c r="C102" s="439">
        <f t="shared" ca="1" si="94"/>
        <v>7.8791000000000002</v>
      </c>
      <c r="D102" s="439">
        <f t="shared" ca="1" si="95"/>
        <v>2.0924999999999998</v>
      </c>
      <c r="E102" s="439">
        <f t="shared" ca="1" si="96"/>
        <v>2.3567999999999998</v>
      </c>
      <c r="F102" s="439">
        <f t="shared" ca="1" si="97"/>
        <v>5.5106000000000002</v>
      </c>
      <c r="G102" s="439">
        <f t="shared" ca="1" si="98"/>
        <v>3.2170000000000001</v>
      </c>
      <c r="H102" s="439">
        <f t="shared" ca="1" si="99"/>
        <v>1.58</v>
      </c>
      <c r="I102" s="439">
        <f t="shared" ca="1" si="100"/>
        <v>1.68</v>
      </c>
      <c r="J102" s="439">
        <f t="shared" ca="1" si="101"/>
        <v>1.8</v>
      </c>
      <c r="K102" s="439">
        <f t="shared" ca="1" si="102"/>
        <v>1.68</v>
      </c>
      <c r="L102" s="439">
        <f t="shared" ca="1" si="103"/>
        <v>0.91</v>
      </c>
      <c r="M102" s="439">
        <f t="shared" ca="1" si="104"/>
        <v>42.29</v>
      </c>
      <c r="N102" s="439">
        <f t="shared" ca="1" si="105"/>
        <v>46.16</v>
      </c>
      <c r="O102" s="439">
        <f t="shared" ca="1" si="106"/>
        <v>51.1</v>
      </c>
      <c r="P102" s="439">
        <f t="shared" ca="1" si="107"/>
        <v>45.53</v>
      </c>
      <c r="Q102" s="439">
        <f t="shared" ca="1" si="108"/>
        <v>22.38</v>
      </c>
      <c r="R102" s="439">
        <f t="shared" ca="1" si="109"/>
        <v>41.59</v>
      </c>
      <c r="S102" s="439">
        <f t="shared" ca="1" si="110"/>
        <v>44.68</v>
      </c>
      <c r="T102" s="439">
        <f t="shared" ca="1" si="111"/>
        <v>49.55</v>
      </c>
      <c r="U102" s="439">
        <f t="shared" ca="1" si="112"/>
        <v>45.35</v>
      </c>
      <c r="V102" s="439">
        <f t="shared" ca="1" si="113"/>
        <v>24.3</v>
      </c>
      <c r="W102" s="439">
        <f t="shared" ca="1" si="114"/>
        <v>42.04</v>
      </c>
      <c r="X102" s="439">
        <f t="shared" ca="1" si="115"/>
        <v>45.29</v>
      </c>
      <c r="Y102" s="439">
        <f t="shared" ca="1" si="116"/>
        <v>49.1</v>
      </c>
      <c r="Z102" s="439">
        <f t="shared" ca="1" si="117"/>
        <v>44.92</v>
      </c>
      <c r="AA102" s="439">
        <f t="shared" ca="1" si="118"/>
        <v>26.8</v>
      </c>
      <c r="AB102" s="439">
        <f t="shared" ca="1" si="119"/>
        <v>41.79</v>
      </c>
      <c r="AC102" s="439">
        <f t="shared" ca="1" si="120"/>
        <v>44.63</v>
      </c>
      <c r="AD102" s="439">
        <f t="shared" ca="1" si="121"/>
        <v>51.46</v>
      </c>
      <c r="AE102" s="439">
        <f t="shared" ca="1" si="122"/>
        <v>45.78</v>
      </c>
      <c r="AF102" s="439">
        <f t="shared" ca="1" si="123"/>
        <v>23.55</v>
      </c>
      <c r="AG102" s="439">
        <f t="shared" ca="1" si="124"/>
        <v>28.29</v>
      </c>
      <c r="AH102" s="439">
        <f t="shared" ca="1" si="125"/>
        <v>29.49</v>
      </c>
      <c r="AI102" s="439">
        <f t="shared" ca="1" si="126"/>
        <v>33.99</v>
      </c>
      <c r="AJ102" s="439">
        <f t="shared" ca="1" si="127"/>
        <v>26.84</v>
      </c>
      <c r="AK102" s="439">
        <f t="shared" ca="1" si="128"/>
        <v>13.62</v>
      </c>
      <c r="AL102" s="439">
        <f t="shared" ca="1" si="129"/>
        <v>1.2889999999999999</v>
      </c>
      <c r="AM102" s="439">
        <f t="shared" ca="1" si="130"/>
        <v>1.3440000000000001</v>
      </c>
      <c r="AN102" s="439">
        <f t="shared" ca="1" si="131"/>
        <v>1.1990000000000001</v>
      </c>
      <c r="AO102" s="439">
        <f t="shared" ca="1" si="132"/>
        <v>0.56499999999999995</v>
      </c>
      <c r="AP102" s="439">
        <f t="shared" ca="1" si="133"/>
        <v>1.175</v>
      </c>
      <c r="AQ102" s="439">
        <f t="shared" ca="1" si="134"/>
        <v>1.244</v>
      </c>
      <c r="AR102" s="439">
        <f t="shared" ca="1" si="135"/>
        <v>1.1100000000000001</v>
      </c>
      <c r="AS102" s="439">
        <f t="shared" ca="1" si="136"/>
        <v>0.51900000000000002</v>
      </c>
      <c r="AT102" s="439">
        <f t="shared" ca="1" si="137"/>
        <v>5.25</v>
      </c>
      <c r="AU102" s="439">
        <f t="shared" ca="1" si="138"/>
        <v>5.49</v>
      </c>
      <c r="AV102" s="439">
        <f t="shared" ca="1" si="139"/>
        <v>5.18</v>
      </c>
      <c r="AW102" s="439">
        <f t="shared" ca="1" si="140"/>
        <v>2.19</v>
      </c>
    </row>
    <row r="103" spans="1:49" ht="15.75" x14ac:dyDescent="0.25">
      <c r="A103" s="437" t="str">
        <f>INDEX(Оглавление, ROW())</f>
        <v>[Цены на приграничных АЗС 2017-2020 (7138827 v1).XLSM]Цены на 17.06.2019</v>
      </c>
      <c r="B103" s="438">
        <f t="shared" ca="1" si="90"/>
        <v>43633</v>
      </c>
      <c r="C103" s="439">
        <f t="shared" ca="1" si="94"/>
        <v>7.8201999999999998</v>
      </c>
      <c r="D103" s="439">
        <f t="shared" ca="1" si="95"/>
        <v>2.0655000000000001</v>
      </c>
      <c r="E103" s="439">
        <f t="shared" ca="1" si="96"/>
        <v>2.3307000000000002</v>
      </c>
      <c r="F103" s="439">
        <f t="shared" ca="1" si="97"/>
        <v>5.4695999999999998</v>
      </c>
      <c r="G103" s="439">
        <f t="shared" ca="1" si="98"/>
        <v>3.2077</v>
      </c>
      <c r="H103" s="439">
        <f t="shared" ca="1" si="99"/>
        <v>1.57</v>
      </c>
      <c r="I103" s="439">
        <f t="shared" ca="1" si="100"/>
        <v>1.67</v>
      </c>
      <c r="J103" s="439">
        <f t="shared" ca="1" si="101"/>
        <v>1.79</v>
      </c>
      <c r="K103" s="439">
        <f t="shared" ca="1" si="102"/>
        <v>1.67</v>
      </c>
      <c r="L103" s="439">
        <f t="shared" ca="1" si="103"/>
        <v>0.91</v>
      </c>
      <c r="M103" s="439">
        <f t="shared" ca="1" si="104"/>
        <v>42.33</v>
      </c>
      <c r="N103" s="439">
        <f t="shared" ca="1" si="105"/>
        <v>46.2</v>
      </c>
      <c r="O103" s="439">
        <f t="shared" ca="1" si="106"/>
        <v>51.03</v>
      </c>
      <c r="P103" s="439">
        <f t="shared" ca="1" si="107"/>
        <v>45.62</v>
      </c>
      <c r="Q103" s="439">
        <f t="shared" ca="1" si="108"/>
        <v>22.02</v>
      </c>
      <c r="R103" s="439">
        <f t="shared" ca="1" si="109"/>
        <v>41.72</v>
      </c>
      <c r="S103" s="439">
        <f t="shared" ca="1" si="110"/>
        <v>44.82</v>
      </c>
      <c r="T103" s="439">
        <f t="shared" ca="1" si="111"/>
        <v>50.09</v>
      </c>
      <c r="U103" s="439">
        <f t="shared" ca="1" si="112"/>
        <v>45.28</v>
      </c>
      <c r="V103" s="439">
        <f t="shared" ca="1" si="113"/>
        <v>23.96</v>
      </c>
      <c r="W103" s="439">
        <f t="shared" ca="1" si="114"/>
        <v>42.06</v>
      </c>
      <c r="X103" s="439">
        <f t="shared" ca="1" si="115"/>
        <v>45.29</v>
      </c>
      <c r="Y103" s="439">
        <f t="shared" ca="1" si="116"/>
        <v>49.1</v>
      </c>
      <c r="Z103" s="439">
        <f t="shared" ca="1" si="117"/>
        <v>44.84</v>
      </c>
      <c r="AA103" s="439">
        <f t="shared" ca="1" si="118"/>
        <v>26.8</v>
      </c>
      <c r="AB103" s="439">
        <f t="shared" ca="1" si="119"/>
        <v>41.82</v>
      </c>
      <c r="AC103" s="439">
        <f t="shared" ca="1" si="120"/>
        <v>44.91</v>
      </c>
      <c r="AD103" s="439">
        <f t="shared" ca="1" si="121"/>
        <v>51.99</v>
      </c>
      <c r="AE103" s="439">
        <f t="shared" ca="1" si="122"/>
        <v>46.8</v>
      </c>
      <c r="AF103" s="439">
        <f t="shared" ca="1" si="123"/>
        <v>23.55</v>
      </c>
      <c r="AG103" s="439">
        <f t="shared" ca="1" si="124"/>
        <v>28.29</v>
      </c>
      <c r="AH103" s="439">
        <f t="shared" ca="1" si="125"/>
        <v>29.49</v>
      </c>
      <c r="AI103" s="439">
        <f t="shared" ca="1" si="126"/>
        <v>33.99</v>
      </c>
      <c r="AJ103" s="439">
        <f t="shared" ca="1" si="127"/>
        <v>26.84</v>
      </c>
      <c r="AK103" s="439">
        <f t="shared" ca="1" si="128"/>
        <v>13.57</v>
      </c>
      <c r="AL103" s="439">
        <f t="shared" ca="1" si="129"/>
        <v>1.294</v>
      </c>
      <c r="AM103" s="439">
        <f t="shared" ca="1" si="130"/>
        <v>1.349</v>
      </c>
      <c r="AN103" s="439">
        <f t="shared" ca="1" si="131"/>
        <v>1.214</v>
      </c>
      <c r="AO103" s="439">
        <f t="shared" ca="1" si="132"/>
        <v>0.56499999999999995</v>
      </c>
      <c r="AP103" s="439">
        <f t="shared" ca="1" si="133"/>
        <v>1.175</v>
      </c>
      <c r="AQ103" s="439">
        <f t="shared" ca="1" si="134"/>
        <v>1.244</v>
      </c>
      <c r="AR103" s="439">
        <f t="shared" ca="1" si="135"/>
        <v>1.085</v>
      </c>
      <c r="AS103" s="439">
        <f t="shared" ca="1" si="136"/>
        <v>0.51900000000000002</v>
      </c>
      <c r="AT103" s="439">
        <f t="shared" ca="1" si="137"/>
        <v>5.23</v>
      </c>
      <c r="AU103" s="439">
        <f t="shared" ca="1" si="138"/>
        <v>5.52</v>
      </c>
      <c r="AV103" s="439">
        <f t="shared" ca="1" si="139"/>
        <v>5.16</v>
      </c>
      <c r="AW103" s="439">
        <f t="shared" ca="1" si="140"/>
        <v>2.17</v>
      </c>
    </row>
    <row r="104" spans="1:49" ht="15.75" x14ac:dyDescent="0.25">
      <c r="A104" s="437" t="str">
        <f>INDEX(Оглавление, ROW())</f>
        <v>[Цены на приграничных АЗС 2017-2020 (7138827 v1).XLSM]Цены на 24.06.2019</v>
      </c>
      <c r="B104" s="438">
        <f t="shared" ca="1" si="90"/>
        <v>43640</v>
      </c>
      <c r="C104" s="439">
        <f t="shared" ca="1" si="94"/>
        <v>7.7897999999999996</v>
      </c>
      <c r="D104" s="439">
        <f t="shared" ca="1" si="95"/>
        <v>2.0417000000000001</v>
      </c>
      <c r="E104" s="439">
        <f t="shared" ca="1" si="96"/>
        <v>2.3069999999999999</v>
      </c>
      <c r="F104" s="439">
        <f t="shared" ca="1" si="97"/>
        <v>5.4139999999999997</v>
      </c>
      <c r="G104" s="439">
        <f t="shared" ca="1" si="98"/>
        <v>3.2351999999999999</v>
      </c>
      <c r="H104" s="439">
        <f t="shared" ca="1" si="99"/>
        <v>1.57</v>
      </c>
      <c r="I104" s="439">
        <f t="shared" ca="1" si="100"/>
        <v>1.67</v>
      </c>
      <c r="J104" s="439">
        <f t="shared" ca="1" si="101"/>
        <v>1.79</v>
      </c>
      <c r="K104" s="439">
        <f t="shared" ca="1" si="102"/>
        <v>1.67</v>
      </c>
      <c r="L104" s="439">
        <f t="shared" ca="1" si="103"/>
        <v>0.91</v>
      </c>
      <c r="M104" s="439">
        <f t="shared" ca="1" si="104"/>
        <v>42.34</v>
      </c>
      <c r="N104" s="439">
        <f t="shared" ca="1" si="105"/>
        <v>46.21</v>
      </c>
      <c r="O104" s="439">
        <f t="shared" ca="1" si="106"/>
        <v>51.03</v>
      </c>
      <c r="P104" s="439">
        <f t="shared" ca="1" si="107"/>
        <v>45.63</v>
      </c>
      <c r="Q104" s="439">
        <f t="shared" ca="1" si="108"/>
        <v>22.08</v>
      </c>
      <c r="R104" s="439">
        <f t="shared" ca="1" si="109"/>
        <v>41.65</v>
      </c>
      <c r="S104" s="439">
        <f t="shared" ca="1" si="110"/>
        <v>44.77</v>
      </c>
      <c r="T104" s="439">
        <f t="shared" ca="1" si="111"/>
        <v>50.09</v>
      </c>
      <c r="U104" s="439">
        <f t="shared" ca="1" si="112"/>
        <v>45.35</v>
      </c>
      <c r="V104" s="439">
        <f t="shared" ca="1" si="113"/>
        <v>23.96</v>
      </c>
      <c r="W104" s="439">
        <f t="shared" ca="1" si="114"/>
        <v>42.04</v>
      </c>
      <c r="X104" s="439">
        <f t="shared" ca="1" si="115"/>
        <v>45.3</v>
      </c>
      <c r="Y104" s="439">
        <f t="shared" ca="1" si="116"/>
        <v>49.1</v>
      </c>
      <c r="Z104" s="439">
        <f t="shared" ca="1" si="117"/>
        <v>44.9</v>
      </c>
      <c r="AA104" s="439">
        <f t="shared" ca="1" si="118"/>
        <v>26.8</v>
      </c>
      <c r="AB104" s="439">
        <f t="shared" ca="1" si="119"/>
        <v>41.77</v>
      </c>
      <c r="AC104" s="439">
        <f t="shared" ca="1" si="120"/>
        <v>44.53</v>
      </c>
      <c r="AD104" s="439">
        <f t="shared" ca="1" si="121"/>
        <v>51.99</v>
      </c>
      <c r="AE104" s="439">
        <f t="shared" ca="1" si="122"/>
        <v>45.74</v>
      </c>
      <c r="AF104" s="439">
        <f t="shared" ca="1" si="123"/>
        <v>23.55</v>
      </c>
      <c r="AG104" s="439">
        <f t="shared" ca="1" si="124"/>
        <v>28.29</v>
      </c>
      <c r="AH104" s="439">
        <f t="shared" ca="1" si="125"/>
        <v>29.49</v>
      </c>
      <c r="AI104" s="439">
        <f t="shared" ca="1" si="126"/>
        <v>33.99</v>
      </c>
      <c r="AJ104" s="439">
        <f t="shared" ca="1" si="127"/>
        <v>26.84</v>
      </c>
      <c r="AK104" s="439">
        <f t="shared" ca="1" si="128"/>
        <v>13.47</v>
      </c>
      <c r="AL104" s="439">
        <f t="shared" ca="1" si="129"/>
        <v>1.284</v>
      </c>
      <c r="AM104" s="439">
        <f t="shared" ca="1" si="130"/>
        <v>1.339</v>
      </c>
      <c r="AN104" s="439">
        <f t="shared" ca="1" si="131"/>
        <v>1.194</v>
      </c>
      <c r="AO104" s="439">
        <f t="shared" ca="1" si="132"/>
        <v>0.56499999999999995</v>
      </c>
      <c r="AP104" s="439">
        <f t="shared" ca="1" si="133"/>
        <v>1.165</v>
      </c>
      <c r="AQ104" s="439">
        <f t="shared" ca="1" si="134"/>
        <v>1.234</v>
      </c>
      <c r="AR104" s="439">
        <f t="shared" ca="1" si="135"/>
        <v>1.085</v>
      </c>
      <c r="AS104" s="439">
        <f t="shared" ca="1" si="136"/>
        <v>0.51300000000000001</v>
      </c>
      <c r="AT104" s="439">
        <f t="shared" ca="1" si="137"/>
        <v>5.17</v>
      </c>
      <c r="AU104" s="439">
        <f t="shared" ca="1" si="138"/>
        <v>5.48</v>
      </c>
      <c r="AV104" s="439">
        <f t="shared" ca="1" si="139"/>
        <v>5.12</v>
      </c>
      <c r="AW104" s="439">
        <f t="shared" ca="1" si="140"/>
        <v>2.14</v>
      </c>
    </row>
    <row r="105" spans="1:49" ht="15.75" x14ac:dyDescent="0.25">
      <c r="A105" s="437" t="str">
        <f>INDEX(Оглавление, ROW())</f>
        <v>[Цены на приграничных АЗС 2017-2020 (7138827 v1).XLSM]Цены на 01.07.2019</v>
      </c>
      <c r="B105" s="438">
        <f t="shared" ca="1" si="90"/>
        <v>43647</v>
      </c>
      <c r="C105" s="439">
        <f t="shared" ca="1" si="94"/>
        <v>7.8122999999999996</v>
      </c>
      <c r="D105" s="439">
        <f t="shared" ca="1" si="95"/>
        <v>2.0432999999999999</v>
      </c>
      <c r="E105" s="439">
        <f t="shared" ca="1" si="96"/>
        <v>2.3250999999999999</v>
      </c>
      <c r="F105" s="439">
        <f t="shared" ca="1" si="97"/>
        <v>5.4701000000000004</v>
      </c>
      <c r="G105" s="439">
        <f t="shared" ca="1" si="98"/>
        <v>3.2387000000000001</v>
      </c>
      <c r="H105" s="439">
        <f t="shared" ca="1" si="99"/>
        <v>1.57</v>
      </c>
      <c r="I105" s="439">
        <f t="shared" ca="1" si="100"/>
        <v>1.67</v>
      </c>
      <c r="J105" s="439">
        <f t="shared" ca="1" si="101"/>
        <v>1.79</v>
      </c>
      <c r="K105" s="439">
        <f t="shared" ca="1" si="102"/>
        <v>1.67</v>
      </c>
      <c r="L105" s="439">
        <f t="shared" ca="1" si="103"/>
        <v>0.91</v>
      </c>
      <c r="M105" s="439">
        <f t="shared" ca="1" si="104"/>
        <v>42.36</v>
      </c>
      <c r="N105" s="439">
        <f t="shared" ca="1" si="105"/>
        <v>46.23</v>
      </c>
      <c r="O105" s="439">
        <f t="shared" ca="1" si="106"/>
        <v>51.66</v>
      </c>
      <c r="P105" s="439">
        <f t="shared" ca="1" si="107"/>
        <v>45.63</v>
      </c>
      <c r="Q105" s="439">
        <f t="shared" ca="1" si="108"/>
        <v>21.85</v>
      </c>
      <c r="R105" s="439">
        <f t="shared" ca="1" si="109"/>
        <v>41.61</v>
      </c>
      <c r="S105" s="439">
        <f t="shared" ca="1" si="110"/>
        <v>44.77</v>
      </c>
      <c r="T105" s="439">
        <f t="shared" ca="1" si="111"/>
        <v>50.09</v>
      </c>
      <c r="U105" s="439">
        <f t="shared" ca="1" si="112"/>
        <v>45.35</v>
      </c>
      <c r="V105" s="439">
        <f t="shared" ca="1" si="113"/>
        <v>24.3</v>
      </c>
      <c r="W105" s="439">
        <f t="shared" ca="1" si="114"/>
        <v>42.04</v>
      </c>
      <c r="X105" s="439">
        <f t="shared" ca="1" si="115"/>
        <v>45.28</v>
      </c>
      <c r="Y105" s="439">
        <f t="shared" ca="1" si="116"/>
        <v>49.1</v>
      </c>
      <c r="Z105" s="439">
        <f t="shared" ca="1" si="117"/>
        <v>44.93</v>
      </c>
      <c r="AA105" s="439">
        <f t="shared" ca="1" si="118"/>
        <v>26.8</v>
      </c>
      <c r="AB105" s="439">
        <f t="shared" ca="1" si="119"/>
        <v>41.77</v>
      </c>
      <c r="AC105" s="439">
        <f t="shared" ca="1" si="120"/>
        <v>44.5</v>
      </c>
      <c r="AD105" s="439">
        <f t="shared" ca="1" si="121"/>
        <v>51.99</v>
      </c>
      <c r="AE105" s="439">
        <f t="shared" ca="1" si="122"/>
        <v>45.74</v>
      </c>
      <c r="AF105" s="439">
        <f t="shared" ca="1" si="123"/>
        <v>23.55</v>
      </c>
      <c r="AG105" s="439">
        <f t="shared" ca="1" si="124"/>
        <v>28.29</v>
      </c>
      <c r="AH105" s="439">
        <f t="shared" ca="1" si="125"/>
        <v>29.49</v>
      </c>
      <c r="AI105" s="439">
        <f t="shared" ca="1" si="126"/>
        <v>33.99</v>
      </c>
      <c r="AJ105" s="439">
        <f t="shared" ca="1" si="127"/>
        <v>26.84</v>
      </c>
      <c r="AK105" s="439">
        <f t="shared" ca="1" si="128"/>
        <v>12.8</v>
      </c>
      <c r="AL105" s="439">
        <f t="shared" ca="1" si="129"/>
        <v>1.284</v>
      </c>
      <c r="AM105" s="439">
        <f t="shared" ca="1" si="130"/>
        <v>1.339</v>
      </c>
      <c r="AN105" s="439">
        <f t="shared" ca="1" si="131"/>
        <v>1.194</v>
      </c>
      <c r="AO105" s="439">
        <f t="shared" ca="1" si="132"/>
        <v>0.56499999999999995</v>
      </c>
      <c r="AP105" s="439">
        <f t="shared" ca="1" si="133"/>
        <v>1.175</v>
      </c>
      <c r="AQ105" s="439">
        <f t="shared" ca="1" si="134"/>
        <v>1.244</v>
      </c>
      <c r="AR105" s="439">
        <f t="shared" ca="1" si="135"/>
        <v>1.07</v>
      </c>
      <c r="AS105" s="439">
        <f t="shared" ca="1" si="136"/>
        <v>0.46899999999999997</v>
      </c>
      <c r="AT105" s="439">
        <f t="shared" ca="1" si="137"/>
        <v>5.14</v>
      </c>
      <c r="AU105" s="439">
        <f t="shared" ca="1" si="138"/>
        <v>5.34</v>
      </c>
      <c r="AV105" s="439">
        <f t="shared" ca="1" si="139"/>
        <v>5.07</v>
      </c>
      <c r="AW105" s="439">
        <f t="shared" ca="1" si="140"/>
        <v>2.08</v>
      </c>
    </row>
    <row r="106" spans="1:49" ht="15.75" x14ac:dyDescent="0.25">
      <c r="A106" s="437" t="str">
        <f>INDEX(Оглавление, ROW())</f>
        <v>[Цены на приграничных АЗС 2017-2020 (7138827 v1).XLSM]Цены на 08.07.2019</v>
      </c>
      <c r="B106" s="438">
        <f t="shared" ca="1" si="90"/>
        <v>43654</v>
      </c>
      <c r="C106" s="439">
        <f t="shared" ca="1" si="94"/>
        <v>7.9775</v>
      </c>
      <c r="D106" s="439">
        <f t="shared" ca="1" si="95"/>
        <v>2.0488</v>
      </c>
      <c r="E106" s="439">
        <f t="shared" ca="1" si="96"/>
        <v>2.3073999999999999</v>
      </c>
      <c r="F106" s="439">
        <f t="shared" ca="1" si="97"/>
        <v>5.4359999999999999</v>
      </c>
      <c r="G106" s="439">
        <f t="shared" ca="1" si="98"/>
        <v>3.2231999999999998</v>
      </c>
      <c r="H106" s="439">
        <f t="shared" ca="1" si="99"/>
        <v>1.57</v>
      </c>
      <c r="I106" s="439">
        <f t="shared" ca="1" si="100"/>
        <v>1.67</v>
      </c>
      <c r="J106" s="439">
        <f t="shared" ca="1" si="101"/>
        <v>1.79</v>
      </c>
      <c r="K106" s="439">
        <f t="shared" ca="1" si="102"/>
        <v>1.67</v>
      </c>
      <c r="L106" s="439">
        <f t="shared" ca="1" si="103"/>
        <v>0.91</v>
      </c>
      <c r="M106" s="439">
        <f t="shared" ca="1" si="104"/>
        <v>42.36</v>
      </c>
      <c r="N106" s="439">
        <f t="shared" ca="1" si="105"/>
        <v>46.25</v>
      </c>
      <c r="O106" s="439">
        <f t="shared" ca="1" si="106"/>
        <v>51.66</v>
      </c>
      <c r="P106" s="439">
        <f t="shared" ca="1" si="107"/>
        <v>45.63</v>
      </c>
      <c r="Q106" s="439">
        <f t="shared" ca="1" si="108"/>
        <v>21.77</v>
      </c>
      <c r="R106" s="439">
        <f t="shared" ca="1" si="109"/>
        <v>41.66</v>
      </c>
      <c r="S106" s="439">
        <f t="shared" ca="1" si="110"/>
        <v>44.77</v>
      </c>
      <c r="T106" s="439">
        <f t="shared" ca="1" si="111"/>
        <v>50.09</v>
      </c>
      <c r="U106" s="439">
        <f t="shared" ca="1" si="112"/>
        <v>45.34</v>
      </c>
      <c r="V106" s="439">
        <f t="shared" ca="1" si="113"/>
        <v>24.3</v>
      </c>
      <c r="W106" s="439">
        <f t="shared" ca="1" si="114"/>
        <v>42.02</v>
      </c>
      <c r="X106" s="439">
        <f t="shared" ca="1" si="115"/>
        <v>45.28</v>
      </c>
      <c r="Y106" s="439">
        <f t="shared" ca="1" si="116"/>
        <v>49.09</v>
      </c>
      <c r="Z106" s="439">
        <f t="shared" ca="1" si="117"/>
        <v>44.93</v>
      </c>
      <c r="AA106" s="439">
        <f t="shared" ca="1" si="118"/>
        <v>26.8</v>
      </c>
      <c r="AB106" s="439">
        <f t="shared" ca="1" si="119"/>
        <v>41.77</v>
      </c>
      <c r="AC106" s="439">
        <f t="shared" ca="1" si="120"/>
        <v>44.53</v>
      </c>
      <c r="AD106" s="439">
        <f t="shared" ca="1" si="121"/>
        <v>51.99</v>
      </c>
      <c r="AE106" s="439">
        <f t="shared" ca="1" si="122"/>
        <v>45.79</v>
      </c>
      <c r="AF106" s="439">
        <f t="shared" ca="1" si="123"/>
        <v>23.55</v>
      </c>
      <c r="AG106" s="439">
        <f t="shared" ca="1" si="124"/>
        <v>28.29</v>
      </c>
      <c r="AH106" s="439">
        <f t="shared" ca="1" si="125"/>
        <v>29.49</v>
      </c>
      <c r="AI106" s="439">
        <f t="shared" ca="1" si="126"/>
        <v>33.19</v>
      </c>
      <c r="AJ106" s="439">
        <f t="shared" ca="1" si="127"/>
        <v>26.84</v>
      </c>
      <c r="AK106" s="439">
        <f t="shared" ca="1" si="128"/>
        <v>13.1</v>
      </c>
      <c r="AL106" s="439">
        <f t="shared" ca="1" si="129"/>
        <v>1.284</v>
      </c>
      <c r="AM106" s="439">
        <f t="shared" ca="1" si="130"/>
        <v>1.339</v>
      </c>
      <c r="AN106" s="439">
        <f t="shared" ca="1" si="131"/>
        <v>1.194</v>
      </c>
      <c r="AO106" s="439">
        <f t="shared" ca="1" si="132"/>
        <v>0.56499999999999995</v>
      </c>
      <c r="AP106" s="439">
        <f t="shared" ca="1" si="133"/>
        <v>1.155</v>
      </c>
      <c r="AQ106" s="439">
        <f t="shared" ca="1" si="134"/>
        <v>1.224</v>
      </c>
      <c r="AR106" s="439">
        <f t="shared" ca="1" si="135"/>
        <v>1.0649999999999999</v>
      </c>
      <c r="AS106" s="439">
        <f t="shared" ca="1" si="136"/>
        <v>0.46899999999999997</v>
      </c>
      <c r="AT106" s="439">
        <f t="shared" ca="1" si="137"/>
        <v>5.13</v>
      </c>
      <c r="AU106" s="439">
        <f t="shared" ca="1" si="138"/>
        <v>5.42</v>
      </c>
      <c r="AV106" s="439">
        <f t="shared" ca="1" si="139"/>
        <v>5.07</v>
      </c>
      <c r="AW106" s="439">
        <f t="shared" ca="1" si="140"/>
        <v>2.08</v>
      </c>
    </row>
    <row r="107" spans="1:49" ht="15.75" x14ac:dyDescent="0.25">
      <c r="A107" s="437" t="str">
        <f>INDEX(Оглавление, ROW())</f>
        <v>[Цены на приграничных АЗС 2017-2020 (7138827 v1).XLSM]Цены на 15.07.2019</v>
      </c>
      <c r="B107" s="438">
        <f t="shared" ca="1" si="90"/>
        <v>43661</v>
      </c>
      <c r="C107" s="439">
        <f t="shared" ca="1" si="94"/>
        <v>7.8673999999999999</v>
      </c>
      <c r="D107" s="439">
        <f t="shared" ca="1" si="95"/>
        <v>2.0341</v>
      </c>
      <c r="E107" s="439">
        <f t="shared" ca="1" si="96"/>
        <v>2.2787000000000002</v>
      </c>
      <c r="F107" s="439">
        <f t="shared" ca="1" si="97"/>
        <v>5.3548</v>
      </c>
      <c r="G107" s="439">
        <f t="shared" ca="1" si="98"/>
        <v>3.2311000000000001</v>
      </c>
      <c r="H107" s="439">
        <f t="shared" ca="1" si="99"/>
        <v>1.57</v>
      </c>
      <c r="I107" s="439">
        <f t="shared" ca="1" si="100"/>
        <v>1.67</v>
      </c>
      <c r="J107" s="439">
        <f t="shared" ca="1" si="101"/>
        <v>1.79</v>
      </c>
      <c r="K107" s="439">
        <f t="shared" ca="1" si="102"/>
        <v>1.67</v>
      </c>
      <c r="L107" s="439">
        <f t="shared" ca="1" si="103"/>
        <v>0.91</v>
      </c>
      <c r="M107" s="439">
        <f t="shared" ca="1" si="104"/>
        <v>42.36</v>
      </c>
      <c r="N107" s="439">
        <f t="shared" ca="1" si="105"/>
        <v>46.24</v>
      </c>
      <c r="O107" s="439">
        <f t="shared" ca="1" si="106"/>
        <v>51.29</v>
      </c>
      <c r="P107" s="439">
        <f t="shared" ca="1" si="107"/>
        <v>45.61</v>
      </c>
      <c r="Q107" s="439">
        <f t="shared" ca="1" si="108"/>
        <v>21.51</v>
      </c>
      <c r="R107" s="439">
        <f t="shared" ca="1" si="109"/>
        <v>41.66</v>
      </c>
      <c r="S107" s="439">
        <f t="shared" ca="1" si="110"/>
        <v>44.77</v>
      </c>
      <c r="T107" s="439">
        <f t="shared" ca="1" si="111"/>
        <v>50.09</v>
      </c>
      <c r="U107" s="439">
        <f t="shared" ca="1" si="112"/>
        <v>45.34</v>
      </c>
      <c r="V107" s="439">
        <f t="shared" ca="1" si="113"/>
        <v>24.3</v>
      </c>
      <c r="W107" s="439">
        <f t="shared" ca="1" si="114"/>
        <v>41.98</v>
      </c>
      <c r="X107" s="439">
        <f t="shared" ca="1" si="115"/>
        <v>45.21</v>
      </c>
      <c r="Y107" s="439">
        <f t="shared" ca="1" si="116"/>
        <v>49.1</v>
      </c>
      <c r="Z107" s="439">
        <f t="shared" ca="1" si="117"/>
        <v>44.86</v>
      </c>
      <c r="AA107" s="439">
        <f t="shared" ca="1" si="118"/>
        <v>26.8</v>
      </c>
      <c r="AB107" s="439">
        <f t="shared" ca="1" si="119"/>
        <v>41.77</v>
      </c>
      <c r="AC107" s="439">
        <f t="shared" ca="1" si="120"/>
        <v>44.69</v>
      </c>
      <c r="AD107" s="439">
        <f t="shared" ca="1" si="121"/>
        <v>51.99</v>
      </c>
      <c r="AE107" s="439">
        <f t="shared" ca="1" si="122"/>
        <v>45.74</v>
      </c>
      <c r="AF107" s="439">
        <f t="shared" ca="1" si="123"/>
        <v>23.55</v>
      </c>
      <c r="AG107" s="439">
        <f t="shared" ca="1" si="124"/>
        <v>28.29</v>
      </c>
      <c r="AH107" s="439">
        <f t="shared" ca="1" si="125"/>
        <v>29.29</v>
      </c>
      <c r="AI107" s="439">
        <f t="shared" ca="1" si="126"/>
        <v>33.04</v>
      </c>
      <c r="AJ107" s="439">
        <f t="shared" ca="1" si="127"/>
        <v>26.84</v>
      </c>
      <c r="AK107" s="439">
        <f t="shared" ca="1" si="128"/>
        <v>13.08</v>
      </c>
      <c r="AL107" s="439">
        <f t="shared" ca="1" si="129"/>
        <v>1.284</v>
      </c>
      <c r="AM107" s="439">
        <f t="shared" ca="1" si="130"/>
        <v>1.339</v>
      </c>
      <c r="AN107" s="439">
        <f t="shared" ca="1" si="131"/>
        <v>1.1839999999999999</v>
      </c>
      <c r="AO107" s="439">
        <f t="shared" ca="1" si="132"/>
        <v>0.56499999999999995</v>
      </c>
      <c r="AP107" s="439">
        <f t="shared" ca="1" si="133"/>
        <v>1.1850000000000001</v>
      </c>
      <c r="AQ107" s="439">
        <f t="shared" ca="1" si="134"/>
        <v>1.254</v>
      </c>
      <c r="AR107" s="439">
        <f t="shared" ca="1" si="135"/>
        <v>1.0880000000000001</v>
      </c>
      <c r="AS107" s="439">
        <f t="shared" ca="1" si="136"/>
        <v>0.45</v>
      </c>
      <c r="AT107" s="439">
        <f t="shared" ca="1" si="137"/>
        <v>5.13</v>
      </c>
      <c r="AU107" s="439">
        <f t="shared" ca="1" si="138"/>
        <v>5.41</v>
      </c>
      <c r="AV107" s="439">
        <f t="shared" ca="1" si="139"/>
        <v>5.07</v>
      </c>
      <c r="AW107" s="439">
        <f t="shared" ca="1" si="140"/>
        <v>2.0699999999999998</v>
      </c>
    </row>
    <row r="108" spans="1:49" ht="15.75" x14ac:dyDescent="0.25">
      <c r="A108" s="437" t="str">
        <f>INDEX(Оглавление, ROW())</f>
        <v>[Цены на приграничных АЗС 2017-2020 (7138827 v1).XLSM]Цены на 22.07.2019</v>
      </c>
      <c r="B108" s="438">
        <f t="shared" ca="1" si="90"/>
        <v>43668</v>
      </c>
      <c r="C108" s="439">
        <f t="shared" ca="1" si="94"/>
        <v>7.8705999999999996</v>
      </c>
      <c r="D108" s="439">
        <f t="shared" ca="1" si="95"/>
        <v>2.0255000000000001</v>
      </c>
      <c r="E108" s="439">
        <f t="shared" ca="1" si="96"/>
        <v>2.2799999999999998</v>
      </c>
      <c r="F108" s="439">
        <f t="shared" ca="1" si="97"/>
        <v>5.3482000000000003</v>
      </c>
      <c r="G108" s="439">
        <f t="shared" ca="1" si="98"/>
        <v>3.2149999999999999</v>
      </c>
      <c r="H108" s="439">
        <f t="shared" ca="1" si="99"/>
        <v>1.56</v>
      </c>
      <c r="I108" s="439">
        <f t="shared" ca="1" si="100"/>
        <v>1.66</v>
      </c>
      <c r="J108" s="439">
        <f t="shared" ca="1" si="101"/>
        <v>1.78</v>
      </c>
      <c r="K108" s="439">
        <f t="shared" ca="1" si="102"/>
        <v>1.66</v>
      </c>
      <c r="L108" s="439">
        <f t="shared" ca="1" si="103"/>
        <v>0.9</v>
      </c>
      <c r="M108" s="439">
        <f t="shared" ca="1" si="104"/>
        <v>42.37</v>
      </c>
      <c r="N108" s="439">
        <f t="shared" ca="1" si="105"/>
        <v>46.26</v>
      </c>
      <c r="O108" s="439">
        <f t="shared" ca="1" si="106"/>
        <v>51.31</v>
      </c>
      <c r="P108" s="439">
        <f t="shared" ca="1" si="107"/>
        <v>45.59</v>
      </c>
      <c r="Q108" s="439">
        <f t="shared" ca="1" si="108"/>
        <v>21.77</v>
      </c>
      <c r="R108" s="439">
        <f t="shared" ca="1" si="109"/>
        <v>41.66</v>
      </c>
      <c r="S108" s="439">
        <f t="shared" ca="1" si="110"/>
        <v>44.77</v>
      </c>
      <c r="T108" s="439">
        <f t="shared" ca="1" si="111"/>
        <v>50.09</v>
      </c>
      <c r="U108" s="439">
        <f t="shared" ca="1" si="112"/>
        <v>45.34</v>
      </c>
      <c r="V108" s="439">
        <f t="shared" ca="1" si="113"/>
        <v>24.3</v>
      </c>
      <c r="W108" s="439">
        <f t="shared" ca="1" si="114"/>
        <v>42.04</v>
      </c>
      <c r="X108" s="439">
        <f t="shared" ca="1" si="115"/>
        <v>45.28</v>
      </c>
      <c r="Y108" s="439">
        <f t="shared" ca="1" si="116"/>
        <v>49.1</v>
      </c>
      <c r="Z108" s="439">
        <f t="shared" ca="1" si="117"/>
        <v>44.89</v>
      </c>
      <c r="AA108" s="439">
        <f t="shared" ca="1" si="118"/>
        <v>26.8</v>
      </c>
      <c r="AB108" s="439">
        <f t="shared" ca="1" si="119"/>
        <v>42</v>
      </c>
      <c r="AC108" s="439">
        <f t="shared" ca="1" si="120"/>
        <v>45.16</v>
      </c>
      <c r="AD108" s="439">
        <f t="shared" ca="1" si="121"/>
        <v>51.99</v>
      </c>
      <c r="AE108" s="439">
        <f t="shared" ca="1" si="122"/>
        <v>46.34</v>
      </c>
      <c r="AF108" s="439">
        <f t="shared" ca="1" si="123"/>
        <v>23.55</v>
      </c>
      <c r="AG108" s="439">
        <f t="shared" ca="1" si="124"/>
        <v>28.29</v>
      </c>
      <c r="AH108" s="439">
        <f t="shared" ca="1" si="125"/>
        <v>29.29</v>
      </c>
      <c r="AI108" s="439">
        <f t="shared" ca="1" si="126"/>
        <v>33.04</v>
      </c>
      <c r="AJ108" s="439">
        <f t="shared" ca="1" si="127"/>
        <v>26.84</v>
      </c>
      <c r="AK108" s="439">
        <f t="shared" ca="1" si="128"/>
        <v>12.54</v>
      </c>
      <c r="AL108" s="439">
        <f t="shared" ca="1" si="129"/>
        <v>1.284</v>
      </c>
      <c r="AM108" s="439">
        <f t="shared" ca="1" si="130"/>
        <v>1.339</v>
      </c>
      <c r="AN108" s="439">
        <f t="shared" ca="1" si="131"/>
        <v>1.1839999999999999</v>
      </c>
      <c r="AO108" s="439">
        <f t="shared" ca="1" si="132"/>
        <v>0.56499999999999995</v>
      </c>
      <c r="AP108" s="439">
        <f t="shared" ca="1" si="133"/>
        <v>1.1850000000000001</v>
      </c>
      <c r="AQ108" s="439">
        <f t="shared" ca="1" si="134"/>
        <v>1.254</v>
      </c>
      <c r="AR108" s="439">
        <f t="shared" ca="1" si="135"/>
        <v>1.0880000000000001</v>
      </c>
      <c r="AS108" s="439">
        <f t="shared" ca="1" si="136"/>
        <v>0.45</v>
      </c>
      <c r="AT108" s="439">
        <f t="shared" ca="1" si="137"/>
        <v>5.14</v>
      </c>
      <c r="AU108" s="439">
        <f t="shared" ca="1" si="138"/>
        <v>5.4</v>
      </c>
      <c r="AV108" s="439">
        <f t="shared" ca="1" si="139"/>
        <v>5.09</v>
      </c>
      <c r="AW108" s="439">
        <f t="shared" ca="1" si="140"/>
        <v>2.0499999999999998</v>
      </c>
    </row>
    <row r="109" spans="1:49" ht="15.75" x14ac:dyDescent="0.25">
      <c r="A109" s="437" t="str">
        <f>INDEX(Оглавление, ROW())</f>
        <v>[Цены на приграничных АЗС 2017-2020 (7138827 v1).XLSM]Цены на 29.07.2019</v>
      </c>
      <c r="B109" s="438">
        <f t="shared" ca="1" si="90"/>
        <v>43675</v>
      </c>
      <c r="C109" s="439">
        <f t="shared" ca="1" si="94"/>
        <v>8.0610999999999997</v>
      </c>
      <c r="D109" s="439">
        <f t="shared" ca="1" si="95"/>
        <v>2.0343</v>
      </c>
      <c r="E109" s="439">
        <f t="shared" ca="1" si="96"/>
        <v>2.2616999999999998</v>
      </c>
      <c r="F109" s="439">
        <f t="shared" ca="1" si="97"/>
        <v>5.2903000000000002</v>
      </c>
      <c r="G109" s="439">
        <f t="shared" ca="1" si="98"/>
        <v>3.2044000000000001</v>
      </c>
      <c r="H109" s="439">
        <f t="shared" ca="1" si="99"/>
        <v>1.56</v>
      </c>
      <c r="I109" s="439">
        <f t="shared" ca="1" si="100"/>
        <v>1.66</v>
      </c>
      <c r="J109" s="439">
        <f t="shared" ca="1" si="101"/>
        <v>1.78</v>
      </c>
      <c r="K109" s="439">
        <f t="shared" ca="1" si="102"/>
        <v>1.66</v>
      </c>
      <c r="L109" s="439">
        <f t="shared" ca="1" si="103"/>
        <v>0.9</v>
      </c>
      <c r="M109" s="439">
        <f t="shared" ca="1" si="104"/>
        <v>42.29</v>
      </c>
      <c r="N109" s="439">
        <f t="shared" ca="1" si="105"/>
        <v>46.27</v>
      </c>
      <c r="O109" s="439">
        <f t="shared" ca="1" si="106"/>
        <v>51.31</v>
      </c>
      <c r="P109" s="439">
        <f t="shared" ca="1" si="107"/>
        <v>45.54</v>
      </c>
      <c r="Q109" s="439">
        <f t="shared" ca="1" si="108"/>
        <v>21.63</v>
      </c>
      <c r="R109" s="439">
        <f t="shared" ca="1" si="109"/>
        <v>41.66</v>
      </c>
      <c r="S109" s="439">
        <f t="shared" ca="1" si="110"/>
        <v>44.77</v>
      </c>
      <c r="T109" s="439">
        <f t="shared" ca="1" si="111"/>
        <v>50.09</v>
      </c>
      <c r="U109" s="439">
        <f t="shared" ca="1" si="112"/>
        <v>45.34</v>
      </c>
      <c r="V109" s="439">
        <f t="shared" ca="1" si="113"/>
        <v>24.3</v>
      </c>
      <c r="W109" s="439">
        <f t="shared" ca="1" si="114"/>
        <v>42.03</v>
      </c>
      <c r="X109" s="439">
        <f t="shared" ca="1" si="115"/>
        <v>45.28</v>
      </c>
      <c r="Y109" s="439">
        <f t="shared" ca="1" si="116"/>
        <v>49.1</v>
      </c>
      <c r="Z109" s="439">
        <f t="shared" ca="1" si="117"/>
        <v>44.88</v>
      </c>
      <c r="AA109" s="439">
        <f t="shared" ca="1" si="118"/>
        <v>26.8</v>
      </c>
      <c r="AB109" s="439">
        <f t="shared" ca="1" si="119"/>
        <v>41.72</v>
      </c>
      <c r="AC109" s="439">
        <f t="shared" ca="1" si="120"/>
        <v>45.69</v>
      </c>
      <c r="AD109" s="439">
        <f t="shared" ca="1" si="121"/>
        <v>51.99</v>
      </c>
      <c r="AE109" s="439">
        <f t="shared" ca="1" si="122"/>
        <v>45.74</v>
      </c>
      <c r="AF109" s="439">
        <f t="shared" ca="1" si="123"/>
        <v>23.55</v>
      </c>
      <c r="AG109" s="439">
        <f t="shared" ca="1" si="124"/>
        <v>28.29</v>
      </c>
      <c r="AH109" s="439">
        <f t="shared" ca="1" si="125"/>
        <v>29.29</v>
      </c>
      <c r="AI109" s="439">
        <f t="shared" ca="1" si="126"/>
        <v>33.04</v>
      </c>
      <c r="AJ109" s="439">
        <f t="shared" ca="1" si="127"/>
        <v>26.84</v>
      </c>
      <c r="AK109" s="439">
        <f t="shared" ca="1" si="128"/>
        <v>12.34</v>
      </c>
      <c r="AL109" s="439">
        <f t="shared" ca="1" si="129"/>
        <v>1.284</v>
      </c>
      <c r="AM109" s="439">
        <f t="shared" ca="1" si="130"/>
        <v>1.339</v>
      </c>
      <c r="AN109" s="439">
        <f t="shared" ca="1" si="131"/>
        <v>1.1839999999999999</v>
      </c>
      <c r="AO109" s="439">
        <f t="shared" ca="1" si="132"/>
        <v>0.56499999999999995</v>
      </c>
      <c r="AP109" s="439">
        <f t="shared" ca="1" si="133"/>
        <v>1.1850000000000001</v>
      </c>
      <c r="AQ109" s="439">
        <f t="shared" ca="1" si="134"/>
        <v>1.254</v>
      </c>
      <c r="AR109" s="439">
        <f t="shared" ca="1" si="135"/>
        <v>1.085</v>
      </c>
      <c r="AS109" s="439">
        <f t="shared" ca="1" si="136"/>
        <v>0.45</v>
      </c>
      <c r="AT109" s="439">
        <f t="shared" ca="1" si="137"/>
        <v>5.13</v>
      </c>
      <c r="AU109" s="439">
        <f t="shared" ca="1" si="138"/>
        <v>5.43</v>
      </c>
      <c r="AV109" s="439">
        <f t="shared" ca="1" si="139"/>
        <v>5.09</v>
      </c>
      <c r="AW109" s="439">
        <f t="shared" ca="1" si="140"/>
        <v>2.0099999999999998</v>
      </c>
    </row>
    <row r="110" spans="1:49" ht="15.75" x14ac:dyDescent="0.25">
      <c r="A110" s="437" t="str">
        <f>INDEX(Оглавление, ROW())</f>
        <v>[Цены на приграничных АЗС 2017-2020 (7138827 v1).XLSM]Цены на 05.08.2019</v>
      </c>
      <c r="B110" s="438">
        <f t="shared" ca="1" si="90"/>
        <v>43682</v>
      </c>
      <c r="C110" s="439">
        <f t="shared" ca="1" si="94"/>
        <v>8.0357000000000003</v>
      </c>
      <c r="D110" s="439">
        <f t="shared" ca="1" si="95"/>
        <v>2.0552999999999999</v>
      </c>
      <c r="E110" s="439">
        <f t="shared" ca="1" si="96"/>
        <v>2.2795999999999998</v>
      </c>
      <c r="F110" s="439">
        <f t="shared" ca="1" si="97"/>
        <v>5.3013000000000003</v>
      </c>
      <c r="G110" s="439">
        <f t="shared" ca="1" si="98"/>
        <v>3.1743000000000001</v>
      </c>
      <c r="H110" s="439">
        <f t="shared" ca="1" si="99"/>
        <v>1.56</v>
      </c>
      <c r="I110" s="439">
        <f t="shared" ca="1" si="100"/>
        <v>1.66</v>
      </c>
      <c r="J110" s="439">
        <f t="shared" ca="1" si="101"/>
        <v>1.78</v>
      </c>
      <c r="K110" s="439">
        <f t="shared" ca="1" si="102"/>
        <v>1.66</v>
      </c>
      <c r="L110" s="439">
        <f t="shared" ca="1" si="103"/>
        <v>0.9</v>
      </c>
      <c r="M110" s="439">
        <f t="shared" ca="1" si="104"/>
        <v>42.33</v>
      </c>
      <c r="N110" s="439">
        <f t="shared" ca="1" si="105"/>
        <v>46.38</v>
      </c>
      <c r="O110" s="439">
        <f t="shared" ca="1" si="106"/>
        <v>51.31</v>
      </c>
      <c r="P110" s="439">
        <f t="shared" ca="1" si="107"/>
        <v>45.86</v>
      </c>
      <c r="Q110" s="439">
        <f t="shared" ca="1" si="108"/>
        <v>21.47</v>
      </c>
      <c r="R110" s="439">
        <f t="shared" ca="1" si="109"/>
        <v>41.87</v>
      </c>
      <c r="S110" s="439">
        <f t="shared" ca="1" si="110"/>
        <v>44.98</v>
      </c>
      <c r="T110" s="439">
        <f t="shared" ca="1" si="111"/>
        <v>50.09</v>
      </c>
      <c r="U110" s="439">
        <f t="shared" ca="1" si="112"/>
        <v>45.49</v>
      </c>
      <c r="V110" s="439">
        <f t="shared" ca="1" si="113"/>
        <v>24.3</v>
      </c>
      <c r="W110" s="439">
        <f t="shared" ca="1" si="114"/>
        <v>42.27</v>
      </c>
      <c r="X110" s="439">
        <f t="shared" ca="1" si="115"/>
        <v>45.52</v>
      </c>
      <c r="Y110" s="439">
        <f t="shared" ca="1" si="116"/>
        <v>49.38</v>
      </c>
      <c r="Z110" s="439">
        <f t="shared" ca="1" si="117"/>
        <v>44.95</v>
      </c>
      <c r="AA110" s="439">
        <f t="shared" ca="1" si="118"/>
        <v>26.8</v>
      </c>
      <c r="AB110" s="439">
        <f t="shared" ca="1" si="119"/>
        <v>42.1</v>
      </c>
      <c r="AC110" s="439">
        <f t="shared" ca="1" si="120"/>
        <v>45.22</v>
      </c>
      <c r="AD110" s="439">
        <f t="shared" ca="1" si="121"/>
        <v>52.49</v>
      </c>
      <c r="AE110" s="439">
        <f t="shared" ca="1" si="122"/>
        <v>46.41</v>
      </c>
      <c r="AF110" s="439">
        <f t="shared" ca="1" si="123"/>
        <v>22.62</v>
      </c>
      <c r="AG110" s="439">
        <f t="shared" ca="1" si="124"/>
        <v>28.29</v>
      </c>
      <c r="AH110" s="439">
        <f t="shared" ca="1" si="125"/>
        <v>29.29</v>
      </c>
      <c r="AI110" s="439">
        <f t="shared" ca="1" si="126"/>
        <v>33.04</v>
      </c>
      <c r="AJ110" s="439">
        <f t="shared" ca="1" si="127"/>
        <v>26.84</v>
      </c>
      <c r="AK110" s="439">
        <f t="shared" ca="1" si="128"/>
        <v>12.24</v>
      </c>
      <c r="AL110" s="439">
        <f t="shared" ca="1" si="129"/>
        <v>1.284</v>
      </c>
      <c r="AM110" s="439">
        <f t="shared" ca="1" si="130"/>
        <v>1.339</v>
      </c>
      <c r="AN110" s="439">
        <f t="shared" ca="1" si="131"/>
        <v>1.1839999999999999</v>
      </c>
      <c r="AO110" s="439">
        <f t="shared" ca="1" si="132"/>
        <v>0.56499999999999995</v>
      </c>
      <c r="AP110" s="439">
        <f t="shared" ca="1" si="133"/>
        <v>1.1739999999999999</v>
      </c>
      <c r="AQ110" s="439">
        <f t="shared" ca="1" si="134"/>
        <v>1.254</v>
      </c>
      <c r="AR110" s="439">
        <f t="shared" ca="1" si="135"/>
        <v>1.0780000000000001</v>
      </c>
      <c r="AS110" s="439">
        <f t="shared" ca="1" si="136"/>
        <v>0.44</v>
      </c>
      <c r="AT110" s="439">
        <f t="shared" ca="1" si="137"/>
        <v>5.15</v>
      </c>
      <c r="AU110" s="439">
        <f t="shared" ca="1" si="138"/>
        <v>5.45</v>
      </c>
      <c r="AV110" s="439">
        <f t="shared" ca="1" si="139"/>
        <v>5.0999999999999996</v>
      </c>
      <c r="AW110" s="439">
        <f t="shared" ca="1" si="140"/>
        <v>1.99</v>
      </c>
    </row>
    <row r="111" spans="1:49" ht="15.75" x14ac:dyDescent="0.25">
      <c r="A111" s="437" t="str">
        <f>INDEX(Оглавление, ROW())</f>
        <v>[Цены на приграничных АЗС 2017-2020 (7138827 v1).XLSM]Цены на 12.08.2019</v>
      </c>
      <c r="B111" s="438">
        <f t="shared" ca="1" si="90"/>
        <v>43689</v>
      </c>
      <c r="C111" s="439">
        <f t="shared" ca="1" si="94"/>
        <v>8.1267999999999994</v>
      </c>
      <c r="D111" s="439">
        <f t="shared" ca="1" si="95"/>
        <v>2.0430999999999999</v>
      </c>
      <c r="E111" s="439">
        <f t="shared" ca="1" si="96"/>
        <v>2.2866</v>
      </c>
      <c r="F111" s="439">
        <f t="shared" ca="1" si="97"/>
        <v>5.2972999999999999</v>
      </c>
      <c r="G111" s="439">
        <f t="shared" ca="1" si="98"/>
        <v>3.1313</v>
      </c>
      <c r="H111" s="439">
        <f t="shared" ca="1" si="99"/>
        <v>1.55</v>
      </c>
      <c r="I111" s="439">
        <f t="shared" ca="1" si="100"/>
        <v>1.65</v>
      </c>
      <c r="J111" s="439">
        <f t="shared" ca="1" si="101"/>
        <v>1.78</v>
      </c>
      <c r="K111" s="439">
        <f t="shared" ca="1" si="102"/>
        <v>1.65</v>
      </c>
      <c r="L111" s="439">
        <f t="shared" ca="1" si="103"/>
        <v>0.89</v>
      </c>
      <c r="M111" s="439">
        <f t="shared" ca="1" si="104"/>
        <v>41.88</v>
      </c>
      <c r="N111" s="439">
        <f t="shared" ca="1" si="105"/>
        <v>45.78</v>
      </c>
      <c r="O111" s="439">
        <f t="shared" ca="1" si="106"/>
        <v>51.31</v>
      </c>
      <c r="P111" s="439">
        <f t="shared" ca="1" si="107"/>
        <v>45.05</v>
      </c>
      <c r="Q111" s="439">
        <f t="shared" ca="1" si="108"/>
        <v>21.47</v>
      </c>
      <c r="R111" s="439">
        <f t="shared" ca="1" si="109"/>
        <v>41.8</v>
      </c>
      <c r="S111" s="439">
        <f t="shared" ca="1" si="110"/>
        <v>44.91</v>
      </c>
      <c r="T111" s="439">
        <f t="shared" ca="1" si="111"/>
        <v>50.09</v>
      </c>
      <c r="U111" s="439">
        <f t="shared" ca="1" si="112"/>
        <v>45.5</v>
      </c>
      <c r="V111" s="439">
        <f t="shared" ca="1" si="113"/>
        <v>24.3</v>
      </c>
      <c r="W111" s="439">
        <f t="shared" ca="1" si="114"/>
        <v>42.23</v>
      </c>
      <c r="X111" s="439">
        <f t="shared" ca="1" si="115"/>
        <v>45.46</v>
      </c>
      <c r="Y111" s="439">
        <f t="shared" ca="1" si="116"/>
        <v>49.38</v>
      </c>
      <c r="Z111" s="439">
        <f t="shared" ca="1" si="117"/>
        <v>45.12</v>
      </c>
      <c r="AA111" s="439">
        <f t="shared" ca="1" si="118"/>
        <v>26.8</v>
      </c>
      <c r="AB111" s="439">
        <f t="shared" ca="1" si="119"/>
        <v>42.14</v>
      </c>
      <c r="AC111" s="439">
        <f t="shared" ca="1" si="120"/>
        <v>45.27</v>
      </c>
      <c r="AD111" s="439">
        <f t="shared" ca="1" si="121"/>
        <v>52.49</v>
      </c>
      <c r="AE111" s="439">
        <f t="shared" ca="1" si="122"/>
        <v>46.44</v>
      </c>
      <c r="AF111" s="439">
        <f t="shared" ca="1" si="123"/>
        <v>22.59</v>
      </c>
      <c r="AG111" s="439">
        <f t="shared" ca="1" si="124"/>
        <v>28.34</v>
      </c>
      <c r="AH111" s="439">
        <f t="shared" ca="1" si="125"/>
        <v>29.39</v>
      </c>
      <c r="AI111" s="439">
        <f t="shared" ca="1" si="126"/>
        <v>33.04</v>
      </c>
      <c r="AJ111" s="439">
        <f t="shared" ca="1" si="127"/>
        <v>26.84</v>
      </c>
      <c r="AK111" s="439">
        <f t="shared" ca="1" si="128"/>
        <v>10.97</v>
      </c>
      <c r="AL111" s="439">
        <f t="shared" ca="1" si="129"/>
        <v>1.294</v>
      </c>
      <c r="AM111" s="439">
        <f t="shared" ca="1" si="130"/>
        <v>1.349</v>
      </c>
      <c r="AN111" s="439">
        <f t="shared" ca="1" si="131"/>
        <v>1.194</v>
      </c>
      <c r="AO111" s="439">
        <f t="shared" ca="1" si="132"/>
        <v>0.56499999999999995</v>
      </c>
      <c r="AP111" s="439">
        <f t="shared" ca="1" si="133"/>
        <v>1.1950000000000001</v>
      </c>
      <c r="AQ111" s="439">
        <f t="shared" ca="1" si="134"/>
        <v>1.264</v>
      </c>
      <c r="AR111" s="439">
        <f t="shared" ca="1" si="135"/>
        <v>1.095</v>
      </c>
      <c r="AS111" s="439">
        <f t="shared" ca="1" si="136"/>
        <v>0.439</v>
      </c>
      <c r="AT111" s="439">
        <f t="shared" ca="1" si="137"/>
        <v>5.13</v>
      </c>
      <c r="AU111" s="439">
        <f t="shared" ca="1" si="138"/>
        <v>5.33</v>
      </c>
      <c r="AV111" s="439">
        <f t="shared" ca="1" si="139"/>
        <v>5.07</v>
      </c>
      <c r="AW111" s="439">
        <f t="shared" ca="1" si="140"/>
        <v>1.98</v>
      </c>
    </row>
    <row r="112" spans="1:49" ht="15.75" x14ac:dyDescent="0.25">
      <c r="A112" s="437" t="str">
        <f>INDEX(Оглавление, ROW())</f>
        <v>[Цены на приграничных АЗС 2017-2020 (7138827 v1).XLSM]Цены на 19.08.2019</v>
      </c>
      <c r="B112" s="438">
        <f t="shared" ca="1" si="90"/>
        <v>43696</v>
      </c>
      <c r="C112" s="439">
        <f t="shared" ca="1" si="94"/>
        <v>8.1408000000000005</v>
      </c>
      <c r="D112" s="439">
        <f t="shared" ca="1" si="95"/>
        <v>2.0470000000000002</v>
      </c>
      <c r="E112" s="439">
        <f t="shared" ca="1" si="96"/>
        <v>2.2713999999999999</v>
      </c>
      <c r="F112" s="439">
        <f t="shared" ca="1" si="97"/>
        <v>5.2384000000000004</v>
      </c>
      <c r="G112" s="439">
        <f t="shared" ca="1" si="98"/>
        <v>3.1032999999999999</v>
      </c>
      <c r="H112" s="439">
        <f t="shared" ca="1" si="99"/>
        <v>1.55</v>
      </c>
      <c r="I112" s="439">
        <f t="shared" ca="1" si="100"/>
        <v>1.65</v>
      </c>
      <c r="J112" s="439">
        <f t="shared" ca="1" si="101"/>
        <v>1.78</v>
      </c>
      <c r="K112" s="439">
        <f t="shared" ca="1" si="102"/>
        <v>1.65</v>
      </c>
      <c r="L112" s="439">
        <f t="shared" ca="1" si="103"/>
        <v>0.89</v>
      </c>
      <c r="M112" s="439">
        <f t="shared" ca="1" si="104"/>
        <v>42.27</v>
      </c>
      <c r="N112" s="439">
        <f t="shared" ca="1" si="105"/>
        <v>46.28</v>
      </c>
      <c r="O112" s="439">
        <f t="shared" ca="1" si="106"/>
        <v>51.31</v>
      </c>
      <c r="P112" s="439">
        <f t="shared" ca="1" si="107"/>
        <v>45.73</v>
      </c>
      <c r="Q112" s="439">
        <f t="shared" ca="1" si="108"/>
        <v>21.22</v>
      </c>
      <c r="R112" s="439">
        <f t="shared" ca="1" si="109"/>
        <v>41.82</v>
      </c>
      <c r="S112" s="439">
        <f t="shared" ca="1" si="110"/>
        <v>44.9</v>
      </c>
      <c r="T112" s="439">
        <f t="shared" ca="1" si="111"/>
        <v>50.09</v>
      </c>
      <c r="U112" s="439">
        <f t="shared" ca="1" si="112"/>
        <v>45.48</v>
      </c>
      <c r="V112" s="439">
        <f t="shared" ca="1" si="113"/>
        <v>24.3</v>
      </c>
      <c r="W112" s="439">
        <f t="shared" ca="1" si="114"/>
        <v>42.21</v>
      </c>
      <c r="X112" s="439">
        <f t="shared" ca="1" si="115"/>
        <v>45.47</v>
      </c>
      <c r="Y112" s="439">
        <f t="shared" ca="1" si="116"/>
        <v>49.38</v>
      </c>
      <c r="Z112" s="439">
        <f t="shared" ca="1" si="117"/>
        <v>45.14</v>
      </c>
      <c r="AA112" s="439">
        <f t="shared" ca="1" si="118"/>
        <v>26.8</v>
      </c>
      <c r="AB112" s="439">
        <f t="shared" ca="1" si="119"/>
        <v>41.66</v>
      </c>
      <c r="AC112" s="439">
        <f t="shared" ca="1" si="120"/>
        <v>44.5</v>
      </c>
      <c r="AD112" s="439">
        <f t="shared" ca="1" si="121"/>
        <v>52.49</v>
      </c>
      <c r="AE112" s="439">
        <f t="shared" ca="1" si="122"/>
        <v>46</v>
      </c>
      <c r="AF112" s="439">
        <f t="shared" ca="1" si="123"/>
        <v>22.59</v>
      </c>
      <c r="AG112" s="439">
        <f t="shared" ca="1" si="124"/>
        <v>28.34</v>
      </c>
      <c r="AH112" s="439">
        <f t="shared" ca="1" si="125"/>
        <v>29.39</v>
      </c>
      <c r="AI112" s="439">
        <f t="shared" ca="1" si="126"/>
        <v>32.99</v>
      </c>
      <c r="AJ112" s="439">
        <f t="shared" ca="1" si="127"/>
        <v>26.84</v>
      </c>
      <c r="AK112" s="439">
        <f t="shared" ca="1" si="128"/>
        <v>10.72</v>
      </c>
      <c r="AL112" s="439">
        <f t="shared" ca="1" si="129"/>
        <v>1.294</v>
      </c>
      <c r="AM112" s="439">
        <f t="shared" ca="1" si="130"/>
        <v>1.349</v>
      </c>
      <c r="AN112" s="439">
        <f t="shared" ca="1" si="131"/>
        <v>1.194</v>
      </c>
      <c r="AO112" s="439">
        <f t="shared" ca="1" si="132"/>
        <v>0.56499999999999995</v>
      </c>
      <c r="AP112" s="439">
        <f t="shared" ca="1" si="133"/>
        <v>1.177</v>
      </c>
      <c r="AQ112" s="439">
        <f t="shared" ca="1" si="134"/>
        <v>1.246</v>
      </c>
      <c r="AR112" s="439">
        <f t="shared" ca="1" si="135"/>
        <v>1.077</v>
      </c>
      <c r="AS112" s="439">
        <f t="shared" ca="1" si="136"/>
        <v>0.42899999999999999</v>
      </c>
      <c r="AT112" s="439">
        <f t="shared" ca="1" si="137"/>
        <v>5.08</v>
      </c>
      <c r="AU112" s="439">
        <f t="shared" ca="1" si="138"/>
        <v>5.34</v>
      </c>
      <c r="AV112" s="439">
        <f t="shared" ca="1" si="139"/>
        <v>5.0199999999999996</v>
      </c>
      <c r="AW112" s="439">
        <f t="shared" ca="1" si="140"/>
        <v>1.95</v>
      </c>
    </row>
    <row r="113" spans="1:49" ht="15.75" x14ac:dyDescent="0.25">
      <c r="A113" s="437" t="str">
        <f>INDEX(Оглавление, ROW())</f>
        <v>[Цены на приграничных АЗС 2017-2020 (7138827 v1).XLSM]Цены на 26.08.2019</v>
      </c>
      <c r="B113" s="438">
        <f t="shared" ca="1" si="90"/>
        <v>43703</v>
      </c>
      <c r="C113" s="439">
        <f t="shared" ca="1" si="94"/>
        <v>8.2002000000000006</v>
      </c>
      <c r="D113" s="439">
        <f t="shared" ca="1" si="95"/>
        <v>2.0566</v>
      </c>
      <c r="E113" s="439">
        <f t="shared" ca="1" si="96"/>
        <v>2.2759</v>
      </c>
      <c r="F113" s="439">
        <f t="shared" ca="1" si="97"/>
        <v>5.2213000000000003</v>
      </c>
      <c r="G113" s="439">
        <f t="shared" ca="1" si="98"/>
        <v>3.1349</v>
      </c>
      <c r="H113" s="439">
        <f t="shared" ca="1" si="99"/>
        <v>1.55</v>
      </c>
      <c r="I113" s="439">
        <f t="shared" ca="1" si="100"/>
        <v>1.65</v>
      </c>
      <c r="J113" s="439">
        <f t="shared" ca="1" si="101"/>
        <v>1.78</v>
      </c>
      <c r="K113" s="439">
        <f t="shared" ca="1" si="102"/>
        <v>1.65</v>
      </c>
      <c r="L113" s="439">
        <f t="shared" ca="1" si="103"/>
        <v>0.89</v>
      </c>
      <c r="M113" s="439">
        <f t="shared" ca="1" si="104"/>
        <v>42.27</v>
      </c>
      <c r="N113" s="439">
        <f t="shared" ca="1" si="105"/>
        <v>46.29</v>
      </c>
      <c r="O113" s="439">
        <f t="shared" ca="1" si="106"/>
        <v>51.31</v>
      </c>
      <c r="P113" s="439">
        <f t="shared" ca="1" si="107"/>
        <v>45.75</v>
      </c>
      <c r="Q113" s="439">
        <f t="shared" ca="1" si="108"/>
        <v>21.15</v>
      </c>
      <c r="R113" s="439">
        <f t="shared" ca="1" si="109"/>
        <v>41.83</v>
      </c>
      <c r="S113" s="439">
        <f t="shared" ca="1" si="110"/>
        <v>44.91</v>
      </c>
      <c r="T113" s="439">
        <f t="shared" ca="1" si="111"/>
        <v>50.09</v>
      </c>
      <c r="U113" s="439">
        <f t="shared" ca="1" si="112"/>
        <v>45.51</v>
      </c>
      <c r="V113" s="439">
        <f t="shared" ca="1" si="113"/>
        <v>24.3</v>
      </c>
      <c r="W113" s="439">
        <f t="shared" ca="1" si="114"/>
        <v>42.24</v>
      </c>
      <c r="X113" s="439">
        <f t="shared" ca="1" si="115"/>
        <v>45.48</v>
      </c>
      <c r="Y113" s="439">
        <f t="shared" ca="1" si="116"/>
        <v>49.7</v>
      </c>
      <c r="Z113" s="439">
        <f t="shared" ca="1" si="117"/>
        <v>45.12</v>
      </c>
      <c r="AA113" s="439">
        <f t="shared" ca="1" si="118"/>
        <v>26.8</v>
      </c>
      <c r="AB113" s="439">
        <f t="shared" ca="1" si="119"/>
        <v>41.66</v>
      </c>
      <c r="AC113" s="439">
        <f t="shared" ca="1" si="120"/>
        <v>44.5</v>
      </c>
      <c r="AD113" s="439">
        <f t="shared" ca="1" si="121"/>
        <v>52.49</v>
      </c>
      <c r="AE113" s="439">
        <f t="shared" ca="1" si="122"/>
        <v>46</v>
      </c>
      <c r="AF113" s="439">
        <f t="shared" ca="1" si="123"/>
        <v>22.62</v>
      </c>
      <c r="AG113" s="439">
        <f t="shared" ca="1" si="124"/>
        <v>28.34</v>
      </c>
      <c r="AH113" s="439">
        <f t="shared" ca="1" si="125"/>
        <v>29.39</v>
      </c>
      <c r="AI113" s="439">
        <f t="shared" ca="1" si="126"/>
        <v>32.840000000000003</v>
      </c>
      <c r="AJ113" s="439">
        <f t="shared" ca="1" si="127"/>
        <v>26.84</v>
      </c>
      <c r="AK113" s="439">
        <f t="shared" ca="1" si="128"/>
        <v>10.97</v>
      </c>
      <c r="AL113" s="439">
        <f t="shared" ca="1" si="129"/>
        <v>1.264</v>
      </c>
      <c r="AM113" s="439">
        <f t="shared" ca="1" si="130"/>
        <v>1.319</v>
      </c>
      <c r="AN113" s="439">
        <f t="shared" ca="1" si="131"/>
        <v>1.1839999999999999</v>
      </c>
      <c r="AO113" s="439">
        <f t="shared" ca="1" si="132"/>
        <v>0.56499999999999995</v>
      </c>
      <c r="AP113" s="439">
        <f t="shared" ca="1" si="133"/>
        <v>1.1779999999999999</v>
      </c>
      <c r="AQ113" s="439">
        <f t="shared" ca="1" si="134"/>
        <v>1.254</v>
      </c>
      <c r="AR113" s="439">
        <f t="shared" ca="1" si="135"/>
        <v>1.0780000000000001</v>
      </c>
      <c r="AS113" s="439">
        <f t="shared" ca="1" si="136"/>
        <v>0.47299999999999998</v>
      </c>
      <c r="AT113" s="439">
        <f t="shared" ca="1" si="137"/>
        <v>5.04</v>
      </c>
      <c r="AU113" s="439">
        <f t="shared" ca="1" si="138"/>
        <v>5.26</v>
      </c>
      <c r="AV113" s="439">
        <f t="shared" ca="1" si="139"/>
        <v>5.01</v>
      </c>
      <c r="AW113" s="439">
        <f t="shared" ca="1" si="140"/>
        <v>1.94</v>
      </c>
    </row>
    <row r="114" spans="1:49" ht="15.75" x14ac:dyDescent="0.25">
      <c r="A114" s="437" t="str">
        <f>INDEX(Оглавление, ROW())</f>
        <v>[Цены на приграничных АЗС 2017-2020 (7138827 v1).XLSM]Цены на 02.09.2019</v>
      </c>
      <c r="B114" s="438">
        <f t="shared" ca="1" si="90"/>
        <v>43710</v>
      </c>
      <c r="C114" s="439">
        <f t="shared" ca="1" si="94"/>
        <v>8.3469999999999995</v>
      </c>
      <c r="D114" s="439">
        <f t="shared" ca="1" si="95"/>
        <v>2.0979999999999999</v>
      </c>
      <c r="E114" s="439">
        <f t="shared" ca="1" si="96"/>
        <v>2.3159999999999998</v>
      </c>
      <c r="F114" s="439">
        <f t="shared" ca="1" si="97"/>
        <v>5.2864000000000004</v>
      </c>
      <c r="G114" s="439">
        <f t="shared" ca="1" si="98"/>
        <v>3.1577000000000002</v>
      </c>
      <c r="H114" s="439">
        <f t="shared" ca="1" si="99"/>
        <v>1.55</v>
      </c>
      <c r="I114" s="439">
        <f t="shared" ca="1" si="100"/>
        <v>1.65</v>
      </c>
      <c r="J114" s="439">
        <f t="shared" ca="1" si="101"/>
        <v>1.78</v>
      </c>
      <c r="K114" s="439">
        <f t="shared" ca="1" si="102"/>
        <v>1.65</v>
      </c>
      <c r="L114" s="439">
        <f t="shared" ca="1" si="103"/>
        <v>0.89</v>
      </c>
      <c r="M114" s="439">
        <f t="shared" ca="1" si="104"/>
        <v>41.31</v>
      </c>
      <c r="N114" s="439">
        <f t="shared" ca="1" si="105"/>
        <v>46.36</v>
      </c>
      <c r="O114" s="439">
        <f t="shared" ca="1" si="106"/>
        <v>51.31</v>
      </c>
      <c r="P114" s="439">
        <f t="shared" ca="1" si="107"/>
        <v>45.8</v>
      </c>
      <c r="Q114" s="439">
        <f t="shared" ca="1" si="108"/>
        <v>21.27</v>
      </c>
      <c r="R114" s="439">
        <f t="shared" ca="1" si="109"/>
        <v>41.79</v>
      </c>
      <c r="S114" s="439">
        <f t="shared" ca="1" si="110"/>
        <v>44.91</v>
      </c>
      <c r="T114" s="439">
        <f t="shared" ca="1" si="111"/>
        <v>50.09</v>
      </c>
      <c r="U114" s="439">
        <f t="shared" ca="1" si="112"/>
        <v>45.5</v>
      </c>
      <c r="V114" s="439">
        <f t="shared" ca="1" si="113"/>
        <v>24.3</v>
      </c>
      <c r="W114" s="439">
        <f t="shared" ca="1" si="114"/>
        <v>42.21</v>
      </c>
      <c r="X114" s="439">
        <f t="shared" ca="1" si="115"/>
        <v>45.45</v>
      </c>
      <c r="Y114" s="439">
        <f t="shared" ca="1" si="116"/>
        <v>49.7</v>
      </c>
      <c r="Z114" s="439">
        <f t="shared" ca="1" si="117"/>
        <v>45.14</v>
      </c>
      <c r="AA114" s="439">
        <f t="shared" ca="1" si="118"/>
        <v>26.8</v>
      </c>
      <c r="AB114" s="439">
        <f t="shared" ca="1" si="119"/>
        <v>41.66</v>
      </c>
      <c r="AC114" s="439">
        <f t="shared" ca="1" si="120"/>
        <v>44.5</v>
      </c>
      <c r="AD114" s="439">
        <f t="shared" ca="1" si="121"/>
        <v>52.49</v>
      </c>
      <c r="AE114" s="439">
        <f t="shared" ca="1" si="122"/>
        <v>46</v>
      </c>
      <c r="AF114" s="439">
        <f t="shared" ca="1" si="123"/>
        <v>22.62</v>
      </c>
      <c r="AG114" s="439">
        <f t="shared" ca="1" si="124"/>
        <v>28.34</v>
      </c>
      <c r="AH114" s="439">
        <f t="shared" ca="1" si="125"/>
        <v>29.39</v>
      </c>
      <c r="AI114" s="439">
        <f t="shared" ca="1" si="126"/>
        <v>32.840000000000003</v>
      </c>
      <c r="AJ114" s="439">
        <f t="shared" ca="1" si="127"/>
        <v>26.84</v>
      </c>
      <c r="AK114" s="439">
        <f t="shared" ca="1" si="128"/>
        <v>11.07</v>
      </c>
      <c r="AL114" s="439">
        <f t="shared" ca="1" si="129"/>
        <v>1.264</v>
      </c>
      <c r="AM114" s="439">
        <f t="shared" ca="1" si="130"/>
        <v>1.319</v>
      </c>
      <c r="AN114" s="439">
        <f t="shared" ca="1" si="131"/>
        <v>1.1839999999999999</v>
      </c>
      <c r="AO114" s="439">
        <f t="shared" ca="1" si="132"/>
        <v>0.56499999999999995</v>
      </c>
      <c r="AP114" s="439">
        <f t="shared" ca="1" si="133"/>
        <v>1.1850000000000001</v>
      </c>
      <c r="AQ114" s="439">
        <f t="shared" ca="1" si="134"/>
        <v>1.254</v>
      </c>
      <c r="AR114" s="439">
        <f t="shared" ca="1" si="135"/>
        <v>1.085</v>
      </c>
      <c r="AS114" s="439">
        <f t="shared" ca="1" si="136"/>
        <v>0.48899999999999999</v>
      </c>
      <c r="AT114" s="439">
        <f t="shared" ca="1" si="137"/>
        <v>5.01</v>
      </c>
      <c r="AU114" s="439">
        <f t="shared" ca="1" si="138"/>
        <v>5.29</v>
      </c>
      <c r="AV114" s="439">
        <f t="shared" ca="1" si="139"/>
        <v>4.99</v>
      </c>
      <c r="AW114" s="439">
        <f t="shared" ca="1" si="140"/>
        <v>1.95</v>
      </c>
    </row>
    <row r="115" spans="1:49" ht="15.75" x14ac:dyDescent="0.25">
      <c r="A115" s="437" t="str">
        <f>INDEX(Оглавление, ROW())</f>
        <v>[Цены на приграничных АЗС 2017-2020 (7138827 v1).XLSM]Цены на 09.09.2019</v>
      </c>
      <c r="B115" s="438">
        <f t="shared" ca="1" si="90"/>
        <v>43717</v>
      </c>
      <c r="C115" s="439">
        <f t="shared" ca="1" si="94"/>
        <v>8.4164999999999992</v>
      </c>
      <c r="D115" s="439">
        <f t="shared" ca="1" si="95"/>
        <v>2.1071</v>
      </c>
      <c r="E115" s="439">
        <f t="shared" ca="1" si="96"/>
        <v>2.3271000000000002</v>
      </c>
      <c r="F115" s="439">
        <f t="shared" ca="1" si="97"/>
        <v>5.3575999999999997</v>
      </c>
      <c r="G115" s="439">
        <f t="shared" ca="1" si="98"/>
        <v>3.1939000000000002</v>
      </c>
      <c r="H115" s="439">
        <f t="shared" ca="1" si="99"/>
        <v>1.55</v>
      </c>
      <c r="I115" s="439">
        <f t="shared" ca="1" si="100"/>
        <v>1.65</v>
      </c>
      <c r="J115" s="439">
        <f t="shared" ca="1" si="101"/>
        <v>1.78</v>
      </c>
      <c r="K115" s="439">
        <f t="shared" ca="1" si="102"/>
        <v>1.65</v>
      </c>
      <c r="L115" s="439">
        <f t="shared" ca="1" si="103"/>
        <v>0.89</v>
      </c>
      <c r="M115" s="439">
        <f t="shared" ca="1" si="104"/>
        <v>41.29</v>
      </c>
      <c r="N115" s="439">
        <f t="shared" ca="1" si="105"/>
        <v>46.34</v>
      </c>
      <c r="O115" s="439">
        <f t="shared" ca="1" si="106"/>
        <v>51.31</v>
      </c>
      <c r="P115" s="439">
        <f t="shared" ca="1" si="107"/>
        <v>45.76</v>
      </c>
      <c r="Q115" s="439">
        <f t="shared" ca="1" si="108"/>
        <v>21.28</v>
      </c>
      <c r="R115" s="439">
        <f t="shared" ca="1" si="109"/>
        <v>41.79</v>
      </c>
      <c r="S115" s="439">
        <f t="shared" ca="1" si="110"/>
        <v>44.91</v>
      </c>
      <c r="T115" s="439">
        <f t="shared" ca="1" si="111"/>
        <v>50.09</v>
      </c>
      <c r="U115" s="439">
        <f t="shared" ca="1" si="112"/>
        <v>45.5</v>
      </c>
      <c r="V115" s="439">
        <f t="shared" ca="1" si="113"/>
        <v>24.3</v>
      </c>
      <c r="W115" s="439">
        <f t="shared" ca="1" si="114"/>
        <v>42.24</v>
      </c>
      <c r="X115" s="439">
        <f t="shared" ca="1" si="115"/>
        <v>45.48</v>
      </c>
      <c r="Y115" s="439">
        <f t="shared" ca="1" si="116"/>
        <v>49.7</v>
      </c>
      <c r="Z115" s="439">
        <f t="shared" ca="1" si="117"/>
        <v>45.12</v>
      </c>
      <c r="AA115" s="439">
        <f t="shared" ca="1" si="118"/>
        <v>26.8</v>
      </c>
      <c r="AB115" s="439">
        <f t="shared" ca="1" si="119"/>
        <v>41.66</v>
      </c>
      <c r="AC115" s="439">
        <f t="shared" ca="1" si="120"/>
        <v>44.5</v>
      </c>
      <c r="AD115" s="439">
        <f t="shared" ca="1" si="121"/>
        <v>52.49</v>
      </c>
      <c r="AE115" s="439">
        <f t="shared" ca="1" si="122"/>
        <v>46</v>
      </c>
      <c r="AF115" s="439">
        <f t="shared" ca="1" si="123"/>
        <v>22.62</v>
      </c>
      <c r="AG115" s="439">
        <f t="shared" ca="1" si="124"/>
        <v>28.34</v>
      </c>
      <c r="AH115" s="439">
        <f t="shared" ca="1" si="125"/>
        <v>29.39</v>
      </c>
      <c r="AI115" s="439">
        <f t="shared" ca="1" si="126"/>
        <v>32.840000000000003</v>
      </c>
      <c r="AJ115" s="439">
        <f t="shared" ca="1" si="127"/>
        <v>26.84</v>
      </c>
      <c r="AK115" s="439">
        <f t="shared" ca="1" si="128"/>
        <v>11.99</v>
      </c>
      <c r="AL115" s="439">
        <f t="shared" ca="1" si="129"/>
        <v>1.244</v>
      </c>
      <c r="AM115" s="439">
        <f t="shared" ca="1" si="130"/>
        <v>1.2989999999999999</v>
      </c>
      <c r="AN115" s="439">
        <f t="shared" ca="1" si="131"/>
        <v>1.1839999999999999</v>
      </c>
      <c r="AO115" s="439">
        <f t="shared" ca="1" si="132"/>
        <v>0.56499999999999995</v>
      </c>
      <c r="AP115" s="439">
        <f t="shared" ca="1" si="133"/>
        <v>1.1850000000000001</v>
      </c>
      <c r="AQ115" s="439">
        <f t="shared" ca="1" si="134"/>
        <v>1.254</v>
      </c>
      <c r="AR115" s="439">
        <f t="shared" ca="1" si="135"/>
        <v>1.085</v>
      </c>
      <c r="AS115" s="439">
        <f t="shared" ca="1" si="136"/>
        <v>0.495</v>
      </c>
      <c r="AT115" s="439">
        <f t="shared" ca="1" si="137"/>
        <v>4.99</v>
      </c>
      <c r="AU115" s="439">
        <f t="shared" ca="1" si="138"/>
        <v>5.25</v>
      </c>
      <c r="AV115" s="439">
        <f t="shared" ca="1" si="139"/>
        <v>4.9800000000000004</v>
      </c>
      <c r="AW115" s="439">
        <f t="shared" ca="1" si="140"/>
        <v>1.93</v>
      </c>
    </row>
    <row r="116" spans="1:49" ht="15.75" x14ac:dyDescent="0.25">
      <c r="A116" s="437" t="str">
        <f>INDEX(Оглавление, ROW())</f>
        <v>[Цены на приграничных АЗС 2017-2020 (7138827 v1).XLSM]Цены на 16.09.2019</v>
      </c>
      <c r="B116" s="438">
        <f t="shared" ca="1" si="90"/>
        <v>43724</v>
      </c>
      <c r="C116" s="439">
        <f t="shared" ca="1" si="94"/>
        <v>8.2746999999999993</v>
      </c>
      <c r="D116" s="439">
        <f t="shared" ca="1" si="95"/>
        <v>2.0510999999999999</v>
      </c>
      <c r="E116" s="439">
        <f t="shared" ca="1" si="96"/>
        <v>2.2768000000000002</v>
      </c>
      <c r="F116" s="439">
        <f t="shared" ca="1" si="97"/>
        <v>5.2514000000000003</v>
      </c>
      <c r="G116" s="439">
        <f t="shared" ca="1" si="98"/>
        <v>3.1859000000000002</v>
      </c>
      <c r="H116" s="439">
        <f t="shared" ca="1" si="99"/>
        <v>1.56</v>
      </c>
      <c r="I116" s="439">
        <f t="shared" ca="1" si="100"/>
        <v>1.66</v>
      </c>
      <c r="J116" s="439">
        <f t="shared" ca="1" si="101"/>
        <v>1.79</v>
      </c>
      <c r="K116" s="439">
        <f t="shared" ca="1" si="102"/>
        <v>1.66</v>
      </c>
      <c r="L116" s="439">
        <f t="shared" ca="1" si="103"/>
        <v>0.89</v>
      </c>
      <c r="M116" s="439">
        <f t="shared" ca="1" si="104"/>
        <v>42.29</v>
      </c>
      <c r="N116" s="439">
        <f t="shared" ca="1" si="105"/>
        <v>46.33</v>
      </c>
      <c r="O116" s="439">
        <f t="shared" ca="1" si="106"/>
        <v>51.31</v>
      </c>
      <c r="P116" s="439">
        <f t="shared" ca="1" si="107"/>
        <v>45.76</v>
      </c>
      <c r="Q116" s="439">
        <f t="shared" ca="1" si="108"/>
        <v>21.51</v>
      </c>
      <c r="R116" s="439">
        <f t="shared" ca="1" si="109"/>
        <v>41.79</v>
      </c>
      <c r="S116" s="439">
        <f t="shared" ca="1" si="110"/>
        <v>44.91</v>
      </c>
      <c r="T116" s="439">
        <f t="shared" ca="1" si="111"/>
        <v>50.09</v>
      </c>
      <c r="U116" s="439">
        <f t="shared" ca="1" si="112"/>
        <v>45.49</v>
      </c>
      <c r="V116" s="439">
        <f t="shared" ca="1" si="113"/>
        <v>24.3</v>
      </c>
      <c r="W116" s="439">
        <f t="shared" ca="1" si="114"/>
        <v>42.24</v>
      </c>
      <c r="X116" s="439">
        <f t="shared" ca="1" si="115"/>
        <v>45.48</v>
      </c>
      <c r="Y116" s="439">
        <f t="shared" ca="1" si="116"/>
        <v>49.7</v>
      </c>
      <c r="Z116" s="439">
        <f t="shared" ca="1" si="117"/>
        <v>45.12</v>
      </c>
      <c r="AA116" s="439">
        <f t="shared" ca="1" si="118"/>
        <v>26.8</v>
      </c>
      <c r="AB116" s="439">
        <f t="shared" ca="1" si="119"/>
        <v>41.66</v>
      </c>
      <c r="AC116" s="439">
        <f t="shared" ca="1" si="120"/>
        <v>44.5</v>
      </c>
      <c r="AD116" s="439">
        <f t="shared" ca="1" si="121"/>
        <v>52.49</v>
      </c>
      <c r="AE116" s="439">
        <f t="shared" ca="1" si="122"/>
        <v>46</v>
      </c>
      <c r="AF116" s="439">
        <f t="shared" ca="1" si="123"/>
        <v>22.62</v>
      </c>
      <c r="AG116" s="439">
        <f t="shared" ca="1" si="124"/>
        <v>28.34</v>
      </c>
      <c r="AH116" s="439">
        <f t="shared" ca="1" si="125"/>
        <v>29.39</v>
      </c>
      <c r="AI116" s="439">
        <f t="shared" ca="1" si="126"/>
        <v>32.840000000000003</v>
      </c>
      <c r="AJ116" s="439">
        <f t="shared" ca="1" si="127"/>
        <v>26.84</v>
      </c>
      <c r="AK116" s="439">
        <f t="shared" ca="1" si="128"/>
        <v>12.04</v>
      </c>
      <c r="AL116" s="439">
        <f t="shared" ca="1" si="129"/>
        <v>1.244</v>
      </c>
      <c r="AM116" s="439">
        <f t="shared" ca="1" si="130"/>
        <v>1.2989999999999999</v>
      </c>
      <c r="AN116" s="439">
        <f t="shared" ca="1" si="131"/>
        <v>1.194</v>
      </c>
      <c r="AO116" s="439">
        <f t="shared" ca="1" si="132"/>
        <v>0.56499999999999995</v>
      </c>
      <c r="AP116" s="439">
        <f t="shared" ca="1" si="133"/>
        <v>1.165</v>
      </c>
      <c r="AQ116" s="439">
        <f t="shared" ca="1" si="134"/>
        <v>1.234</v>
      </c>
      <c r="AR116" s="439">
        <f t="shared" ca="1" si="135"/>
        <v>1.079</v>
      </c>
      <c r="AS116" s="439">
        <f t="shared" ca="1" si="136"/>
        <v>0.495</v>
      </c>
      <c r="AT116" s="439">
        <f t="shared" ca="1" si="137"/>
        <v>4.9800000000000004</v>
      </c>
      <c r="AU116" s="439">
        <f t="shared" ca="1" si="138"/>
        <v>5.19</v>
      </c>
      <c r="AV116" s="439">
        <f t="shared" ca="1" si="139"/>
        <v>5</v>
      </c>
      <c r="AW116" s="439">
        <f t="shared" ca="1" si="140"/>
        <v>1.92</v>
      </c>
    </row>
    <row r="117" spans="1:49" ht="15.75" x14ac:dyDescent="0.25">
      <c r="A117" s="437" t="str">
        <f>INDEX(Оглавление, ROW())</f>
        <v>[Цены на приграничных АЗС 2017-2020 (7138827 v1).XLSM]Цены на 22.09.2019</v>
      </c>
      <c r="B117" s="438">
        <f t="shared" ca="1" si="90"/>
        <v>43730</v>
      </c>
      <c r="C117" s="439">
        <f t="shared" ca="1" si="94"/>
        <v>8.3587000000000007</v>
      </c>
      <c r="D117" s="439">
        <f t="shared" ca="1" si="95"/>
        <v>2.0411999999999999</v>
      </c>
      <c r="E117" s="439">
        <f t="shared" ca="1" si="96"/>
        <v>2.2585000000000002</v>
      </c>
      <c r="F117" s="439">
        <f t="shared" ca="1" si="97"/>
        <v>5.1910999999999996</v>
      </c>
      <c r="G117" s="439">
        <f t="shared" ca="1" si="98"/>
        <v>3.198</v>
      </c>
      <c r="H117" s="439">
        <f t="shared" ca="1" si="99"/>
        <v>1.57</v>
      </c>
      <c r="I117" s="439">
        <f t="shared" ca="1" si="100"/>
        <v>1.67</v>
      </c>
      <c r="J117" s="439">
        <f t="shared" ca="1" si="101"/>
        <v>1.8</v>
      </c>
      <c r="K117" s="439">
        <f t="shared" ca="1" si="102"/>
        <v>1.67</v>
      </c>
      <c r="L117" s="439">
        <f t="shared" ca="1" si="103"/>
        <v>0.89</v>
      </c>
      <c r="M117" s="439">
        <f t="shared" ca="1" si="104"/>
        <v>42.31</v>
      </c>
      <c r="N117" s="439">
        <f t="shared" ca="1" si="105"/>
        <v>46.36</v>
      </c>
      <c r="O117" s="439">
        <f t="shared" ca="1" si="106"/>
        <v>51.31</v>
      </c>
      <c r="P117" s="439">
        <f t="shared" ca="1" si="107"/>
        <v>45.82</v>
      </c>
      <c r="Q117" s="439">
        <f t="shared" ca="1" si="108"/>
        <v>21.18</v>
      </c>
      <c r="R117" s="439">
        <f t="shared" ca="1" si="109"/>
        <v>41.79</v>
      </c>
      <c r="S117" s="439">
        <f t="shared" ca="1" si="110"/>
        <v>44.91</v>
      </c>
      <c r="T117" s="439">
        <f t="shared" ca="1" si="111"/>
        <v>50.09</v>
      </c>
      <c r="U117" s="439">
        <f t="shared" ca="1" si="112"/>
        <v>45.5</v>
      </c>
      <c r="V117" s="439">
        <f t="shared" ca="1" si="113"/>
        <v>24.3</v>
      </c>
      <c r="W117" s="439">
        <f t="shared" ca="1" si="114"/>
        <v>42.24</v>
      </c>
      <c r="X117" s="439">
        <f t="shared" ca="1" si="115"/>
        <v>45.48</v>
      </c>
      <c r="Y117" s="439">
        <f t="shared" ca="1" si="116"/>
        <v>49.7</v>
      </c>
      <c r="Z117" s="439">
        <f t="shared" ca="1" si="117"/>
        <v>45.12</v>
      </c>
      <c r="AA117" s="439">
        <f t="shared" ca="1" si="118"/>
        <v>26.8</v>
      </c>
      <c r="AB117" s="439">
        <f t="shared" ca="1" si="119"/>
        <v>41.66</v>
      </c>
      <c r="AC117" s="439">
        <f t="shared" ca="1" si="120"/>
        <v>44.5</v>
      </c>
      <c r="AD117" s="439">
        <f t="shared" ca="1" si="121"/>
        <v>52.49</v>
      </c>
      <c r="AE117" s="439">
        <f t="shared" ca="1" si="122"/>
        <v>46</v>
      </c>
      <c r="AF117" s="439">
        <f t="shared" ca="1" si="123"/>
        <v>22.62</v>
      </c>
      <c r="AG117" s="439">
        <f t="shared" ca="1" si="124"/>
        <v>28.34</v>
      </c>
      <c r="AH117" s="439">
        <f t="shared" ca="1" si="125"/>
        <v>29.39</v>
      </c>
      <c r="AI117" s="439">
        <f t="shared" ca="1" si="126"/>
        <v>32.840000000000003</v>
      </c>
      <c r="AJ117" s="439">
        <f t="shared" ca="1" si="127"/>
        <v>26.84</v>
      </c>
      <c r="AK117" s="439">
        <f t="shared" ca="1" si="128"/>
        <v>12.05</v>
      </c>
      <c r="AL117" s="439">
        <f t="shared" ca="1" si="129"/>
        <v>1.274</v>
      </c>
      <c r="AM117" s="439">
        <f t="shared" ca="1" si="130"/>
        <v>1.329</v>
      </c>
      <c r="AN117" s="439">
        <f t="shared" ca="1" si="131"/>
        <v>1.204</v>
      </c>
      <c r="AO117" s="439">
        <f t="shared" ca="1" si="132"/>
        <v>0.56499999999999995</v>
      </c>
      <c r="AP117" s="439">
        <f t="shared" ca="1" si="133"/>
        <v>1.1739999999999999</v>
      </c>
      <c r="AQ117" s="439">
        <f t="shared" ca="1" si="134"/>
        <v>1.2430000000000001</v>
      </c>
      <c r="AR117" s="439">
        <f t="shared" ca="1" si="135"/>
        <v>1.0840000000000001</v>
      </c>
      <c r="AS117" s="439">
        <f t="shared" ca="1" si="136"/>
        <v>0.499</v>
      </c>
      <c r="AT117" s="439">
        <f t="shared" ca="1" si="137"/>
        <v>4.97</v>
      </c>
      <c r="AU117" s="439">
        <f t="shared" ca="1" si="138"/>
        <v>5.21</v>
      </c>
      <c r="AV117" s="439">
        <f t="shared" ca="1" si="139"/>
        <v>5</v>
      </c>
      <c r="AW117" s="439">
        <f t="shared" ca="1" si="140"/>
        <v>1.94</v>
      </c>
    </row>
    <row r="118" spans="1:49" ht="15.75" x14ac:dyDescent="0.25">
      <c r="A118" s="437" t="str">
        <f>INDEX(Оглавление, ROW())</f>
        <v>[Цены на приграничных АЗС 2017-2020 (7138827 v1).XLSM]Цены на 29.09.2019</v>
      </c>
      <c r="B118" s="438">
        <f t="shared" ca="1" si="90"/>
        <v>43737</v>
      </c>
      <c r="C118" s="439">
        <f t="shared" ca="1" si="94"/>
        <v>8.6079000000000008</v>
      </c>
      <c r="D118" s="439">
        <f t="shared" ca="1" si="95"/>
        <v>2.0743</v>
      </c>
      <c r="E118" s="439">
        <f t="shared" ca="1" si="96"/>
        <v>2.2650999999999999</v>
      </c>
      <c r="F118" s="439">
        <f t="shared" ca="1" si="97"/>
        <v>5.1910999999999996</v>
      </c>
      <c r="G118" s="439">
        <f t="shared" ca="1" si="98"/>
        <v>3.2222</v>
      </c>
      <c r="H118" s="439">
        <f t="shared" ca="1" si="99"/>
        <v>1.58</v>
      </c>
      <c r="I118" s="439">
        <f t="shared" ca="1" si="100"/>
        <v>1.68</v>
      </c>
      <c r="J118" s="439">
        <f t="shared" ca="1" si="101"/>
        <v>1.81</v>
      </c>
      <c r="K118" s="439">
        <f t="shared" ca="1" si="102"/>
        <v>1.68</v>
      </c>
      <c r="L118" s="439">
        <f t="shared" ca="1" si="103"/>
        <v>0.89</v>
      </c>
      <c r="M118" s="439">
        <f t="shared" ca="1" si="104"/>
        <v>42.39</v>
      </c>
      <c r="N118" s="439">
        <f t="shared" ca="1" si="105"/>
        <v>46.45</v>
      </c>
      <c r="O118" s="439">
        <f t="shared" ca="1" si="106"/>
        <v>51.31</v>
      </c>
      <c r="P118" s="439">
        <f t="shared" ca="1" si="107"/>
        <v>45.5</v>
      </c>
      <c r="Q118" s="439">
        <f t="shared" ca="1" si="108"/>
        <v>21.18</v>
      </c>
      <c r="R118" s="439">
        <f t="shared" ca="1" si="109"/>
        <v>41.79</v>
      </c>
      <c r="S118" s="439">
        <f t="shared" ca="1" si="110"/>
        <v>44.91</v>
      </c>
      <c r="T118" s="439">
        <f t="shared" ca="1" si="111"/>
        <v>50.09</v>
      </c>
      <c r="U118" s="439">
        <f t="shared" ca="1" si="112"/>
        <v>45.5</v>
      </c>
      <c r="V118" s="439">
        <f t="shared" ca="1" si="113"/>
        <v>24.3</v>
      </c>
      <c r="W118" s="439">
        <f t="shared" ca="1" si="114"/>
        <v>42.26</v>
      </c>
      <c r="X118" s="439">
        <f t="shared" ca="1" si="115"/>
        <v>45.51</v>
      </c>
      <c r="Y118" s="439">
        <f t="shared" ca="1" si="116"/>
        <v>49.7</v>
      </c>
      <c r="Z118" s="439">
        <f t="shared" ca="1" si="117"/>
        <v>45.12</v>
      </c>
      <c r="AA118" s="439">
        <f t="shared" ca="1" si="118"/>
        <v>26.8</v>
      </c>
      <c r="AB118" s="439">
        <f t="shared" ca="1" si="119"/>
        <v>41.74</v>
      </c>
      <c r="AC118" s="439">
        <f t="shared" ca="1" si="120"/>
        <v>44.61</v>
      </c>
      <c r="AD118" s="439">
        <f t="shared" ca="1" si="121"/>
        <v>52.49</v>
      </c>
      <c r="AE118" s="439">
        <f t="shared" ca="1" si="122"/>
        <v>46.13</v>
      </c>
      <c r="AF118" s="439">
        <f t="shared" ca="1" si="123"/>
        <v>22.62</v>
      </c>
      <c r="AG118" s="439">
        <f t="shared" ca="1" si="124"/>
        <v>28.34</v>
      </c>
      <c r="AH118" s="439">
        <f t="shared" ca="1" si="125"/>
        <v>29.39</v>
      </c>
      <c r="AI118" s="439">
        <f t="shared" ca="1" si="126"/>
        <v>32.840000000000003</v>
      </c>
      <c r="AJ118" s="439">
        <f t="shared" ca="1" si="127"/>
        <v>26.84</v>
      </c>
      <c r="AK118" s="439">
        <f t="shared" ca="1" si="128"/>
        <v>11.84</v>
      </c>
      <c r="AL118" s="439">
        <f t="shared" ca="1" si="129"/>
        <v>1.284</v>
      </c>
      <c r="AM118" s="439">
        <f t="shared" ca="1" si="130"/>
        <v>1.339</v>
      </c>
      <c r="AN118" s="439">
        <f t="shared" ca="1" si="131"/>
        <v>1.214</v>
      </c>
      <c r="AO118" s="439">
        <f t="shared" ca="1" si="132"/>
        <v>0.56499999999999995</v>
      </c>
      <c r="AP118" s="439">
        <f t="shared" ca="1" si="133"/>
        <v>1.149</v>
      </c>
      <c r="AQ118" s="439">
        <f t="shared" ca="1" si="134"/>
        <v>1.2290000000000001</v>
      </c>
      <c r="AR118" s="439">
        <f t="shared" ca="1" si="135"/>
        <v>1.083</v>
      </c>
      <c r="AS118" s="439">
        <f t="shared" ca="1" si="136"/>
        <v>0.495</v>
      </c>
      <c r="AT118" s="439">
        <f t="shared" ca="1" si="137"/>
        <v>4.95</v>
      </c>
      <c r="AU118" s="439">
        <f t="shared" ca="1" si="138"/>
        <v>5.26</v>
      </c>
      <c r="AV118" s="439">
        <f t="shared" ca="1" si="139"/>
        <v>5.01</v>
      </c>
      <c r="AW118" s="439">
        <f t="shared" ca="1" si="140"/>
        <v>1.96</v>
      </c>
    </row>
    <row r="119" spans="1:49" ht="15.75" x14ac:dyDescent="0.25">
      <c r="A119" s="437" t="str">
        <f>INDEX(Оглавление, ROW())</f>
        <v>[Цены на приграничных АЗС 2017-2020 (7138827 v1).XLSM]Цены на 07.10.2019</v>
      </c>
      <c r="B119" s="438">
        <f t="shared" ca="1" si="90"/>
        <v>43745</v>
      </c>
      <c r="C119" s="439">
        <f t="shared" ca="1" si="94"/>
        <v>8.4377999999999993</v>
      </c>
      <c r="D119" s="439">
        <f t="shared" ca="1" si="95"/>
        <v>2.0739000000000001</v>
      </c>
      <c r="E119" s="439">
        <f t="shared" ca="1" si="96"/>
        <v>2.2772000000000001</v>
      </c>
      <c r="F119" s="439">
        <f t="shared" ca="1" si="97"/>
        <v>5.2584999999999997</v>
      </c>
      <c r="G119" s="439">
        <f t="shared" ca="1" si="98"/>
        <v>3.1941999999999999</v>
      </c>
      <c r="H119" s="439">
        <f t="shared" ca="1" si="99"/>
        <v>1.58</v>
      </c>
      <c r="I119" s="439">
        <f t="shared" ca="1" si="100"/>
        <v>1.68</v>
      </c>
      <c r="J119" s="439">
        <f t="shared" ca="1" si="101"/>
        <v>1.81</v>
      </c>
      <c r="K119" s="439">
        <f t="shared" ca="1" si="102"/>
        <v>1.68</v>
      </c>
      <c r="L119" s="439">
        <f t="shared" ca="1" si="103"/>
        <v>0.89</v>
      </c>
      <c r="M119" s="439">
        <f t="shared" ca="1" si="104"/>
        <v>42.41</v>
      </c>
      <c r="N119" s="439">
        <f t="shared" ca="1" si="105"/>
        <v>46.49</v>
      </c>
      <c r="O119" s="439">
        <f t="shared" ca="1" si="106"/>
        <v>51.31</v>
      </c>
      <c r="P119" s="439">
        <f t="shared" ca="1" si="107"/>
        <v>45.93</v>
      </c>
      <c r="Q119" s="439">
        <f t="shared" ca="1" si="108"/>
        <v>21.26</v>
      </c>
      <c r="R119" s="439">
        <f t="shared" ca="1" si="109"/>
        <v>42.14</v>
      </c>
      <c r="S119" s="439">
        <f t="shared" ca="1" si="110"/>
        <v>45.28</v>
      </c>
      <c r="T119" s="439">
        <f t="shared" ca="1" si="111"/>
        <v>50.09</v>
      </c>
      <c r="U119" s="439">
        <f t="shared" ca="1" si="112"/>
        <v>45.71</v>
      </c>
      <c r="V119" s="439">
        <f t="shared" ca="1" si="113"/>
        <v>24.3</v>
      </c>
      <c r="W119" s="439">
        <f t="shared" ca="1" si="114"/>
        <v>42.49</v>
      </c>
      <c r="X119" s="439">
        <f t="shared" ca="1" si="115"/>
        <v>45.74</v>
      </c>
      <c r="Y119" s="439">
        <f t="shared" ca="1" si="116"/>
        <v>49.7</v>
      </c>
      <c r="Z119" s="439">
        <f t="shared" ca="1" si="117"/>
        <v>45.26</v>
      </c>
      <c r="AA119" s="439">
        <f t="shared" ca="1" si="118"/>
        <v>26.8</v>
      </c>
      <c r="AB119" s="439">
        <f t="shared" ca="1" si="119"/>
        <v>41.74</v>
      </c>
      <c r="AC119" s="439">
        <f t="shared" ca="1" si="120"/>
        <v>44.66</v>
      </c>
      <c r="AD119" s="439">
        <f t="shared" ca="1" si="121"/>
        <v>52.49</v>
      </c>
      <c r="AE119" s="439">
        <f t="shared" ca="1" si="122"/>
        <v>46.16</v>
      </c>
      <c r="AF119" s="439">
        <f t="shared" ca="1" si="123"/>
        <v>22.62</v>
      </c>
      <c r="AG119" s="439">
        <f t="shared" ca="1" si="124"/>
        <v>28.34</v>
      </c>
      <c r="AH119" s="439">
        <f t="shared" ca="1" si="125"/>
        <v>29.39</v>
      </c>
      <c r="AI119" s="439">
        <f t="shared" ca="1" si="126"/>
        <v>32.840000000000003</v>
      </c>
      <c r="AJ119" s="439">
        <f t="shared" ca="1" si="127"/>
        <v>26.84</v>
      </c>
      <c r="AK119" s="439">
        <f t="shared" ca="1" si="128"/>
        <v>11.8</v>
      </c>
      <c r="AL119" s="439">
        <f t="shared" ca="1" si="129"/>
        <v>1.284</v>
      </c>
      <c r="AM119" s="439">
        <f t="shared" ca="1" si="130"/>
        <v>1.339</v>
      </c>
      <c r="AN119" s="439">
        <f t="shared" ca="1" si="131"/>
        <v>1.214</v>
      </c>
      <c r="AO119" s="439">
        <f t="shared" ca="1" si="132"/>
        <v>0.56499999999999995</v>
      </c>
      <c r="AP119" s="439">
        <f t="shared" ca="1" si="133"/>
        <v>1.149</v>
      </c>
      <c r="AQ119" s="439">
        <f t="shared" ca="1" si="134"/>
        <v>1.2290000000000001</v>
      </c>
      <c r="AR119" s="439">
        <f t="shared" ca="1" si="135"/>
        <v>1.085</v>
      </c>
      <c r="AS119" s="439">
        <f t="shared" ca="1" si="136"/>
        <v>0.47699999999999998</v>
      </c>
      <c r="AT119" s="439">
        <f t="shared" ca="1" si="137"/>
        <v>4.95</v>
      </c>
      <c r="AU119" s="439">
        <f t="shared" ca="1" si="138"/>
        <v>5.23</v>
      </c>
      <c r="AV119" s="439">
        <f t="shared" ca="1" si="139"/>
        <v>5</v>
      </c>
      <c r="AW119" s="439">
        <f t="shared" ca="1" si="140"/>
        <v>1.95</v>
      </c>
    </row>
    <row r="120" spans="1:49" ht="15.75" x14ac:dyDescent="0.25">
      <c r="A120" s="437" t="str">
        <f>INDEX(Оглавление, ROW())</f>
        <v>[Цены на приграничных АЗС 2017-2020 (7138827 v1).XLSM]Цены на 14.10.2019</v>
      </c>
      <c r="B120" s="438">
        <f t="shared" ca="1" si="90"/>
        <v>43752</v>
      </c>
      <c r="C120" s="439">
        <f t="shared" ca="1" si="94"/>
        <v>8.3268000000000004</v>
      </c>
      <c r="D120" s="439">
        <f t="shared" ca="1" si="95"/>
        <v>2.0505</v>
      </c>
      <c r="E120" s="439">
        <f t="shared" ca="1" si="96"/>
        <v>2.2589999999999999</v>
      </c>
      <c r="F120" s="439">
        <f t="shared" ca="1" si="97"/>
        <v>5.2398999999999996</v>
      </c>
      <c r="G120" s="439">
        <f t="shared" ca="1" si="98"/>
        <v>3.1936</v>
      </c>
      <c r="H120" s="439">
        <f t="shared" ca="1" si="99"/>
        <v>1.58</v>
      </c>
      <c r="I120" s="439">
        <f t="shared" ca="1" si="100"/>
        <v>1.68</v>
      </c>
      <c r="J120" s="439">
        <f t="shared" ca="1" si="101"/>
        <v>1.81</v>
      </c>
      <c r="K120" s="439">
        <f t="shared" ca="1" si="102"/>
        <v>1.68</v>
      </c>
      <c r="L120" s="439">
        <f t="shared" ca="1" si="103"/>
        <v>0.89</v>
      </c>
      <c r="M120" s="439">
        <f t="shared" ca="1" si="104"/>
        <v>42.39</v>
      </c>
      <c r="N120" s="439">
        <f t="shared" ca="1" si="105"/>
        <v>46.48</v>
      </c>
      <c r="O120" s="439">
        <f t="shared" ca="1" si="106"/>
        <v>51.53</v>
      </c>
      <c r="P120" s="439">
        <f t="shared" ca="1" si="107"/>
        <v>45.9</v>
      </c>
      <c r="Q120" s="439">
        <f t="shared" ca="1" si="108"/>
        <v>21.55</v>
      </c>
      <c r="R120" s="439">
        <f t="shared" ca="1" si="109"/>
        <v>42.18</v>
      </c>
      <c r="S120" s="439">
        <f t="shared" ca="1" si="110"/>
        <v>45.3</v>
      </c>
      <c r="T120" s="439">
        <f t="shared" ca="1" si="111"/>
        <v>50.09</v>
      </c>
      <c r="U120" s="439">
        <f t="shared" ca="1" si="112"/>
        <v>45.74</v>
      </c>
      <c r="V120" s="439">
        <f t="shared" ca="1" si="113"/>
        <v>24.3</v>
      </c>
      <c r="W120" s="439">
        <f t="shared" ca="1" si="114"/>
        <v>42.45</v>
      </c>
      <c r="X120" s="439">
        <f t="shared" ca="1" si="115"/>
        <v>45.69</v>
      </c>
      <c r="Y120" s="439">
        <f t="shared" ca="1" si="116"/>
        <v>49.7</v>
      </c>
      <c r="Z120" s="439">
        <f t="shared" ca="1" si="117"/>
        <v>45.39</v>
      </c>
      <c r="AA120" s="439">
        <f t="shared" ca="1" si="118"/>
        <v>26.8</v>
      </c>
      <c r="AB120" s="439">
        <f t="shared" ca="1" si="119"/>
        <v>41.81</v>
      </c>
      <c r="AC120" s="439">
        <f t="shared" ca="1" si="120"/>
        <v>44.82</v>
      </c>
      <c r="AD120" s="439">
        <f t="shared" ca="1" si="121"/>
        <v>52.49</v>
      </c>
      <c r="AE120" s="439">
        <f t="shared" ca="1" si="122"/>
        <v>46.32</v>
      </c>
      <c r="AF120" s="439">
        <f t="shared" ca="1" si="123"/>
        <v>22.63</v>
      </c>
      <c r="AG120" s="439">
        <f t="shared" ca="1" si="124"/>
        <v>28.34</v>
      </c>
      <c r="AH120" s="439">
        <f t="shared" ca="1" si="125"/>
        <v>29.39</v>
      </c>
      <c r="AI120" s="439">
        <f t="shared" ca="1" si="126"/>
        <v>32.840000000000003</v>
      </c>
      <c r="AJ120" s="439">
        <f t="shared" ca="1" si="127"/>
        <v>26.84</v>
      </c>
      <c r="AK120" s="439">
        <f t="shared" ca="1" si="128"/>
        <v>11.65</v>
      </c>
      <c r="AL120" s="439">
        <f t="shared" ca="1" si="129"/>
        <v>1.254</v>
      </c>
      <c r="AM120" s="439">
        <f t="shared" ca="1" si="130"/>
        <v>1.3089999999999999</v>
      </c>
      <c r="AN120" s="439">
        <f t="shared" ca="1" si="131"/>
        <v>1.204</v>
      </c>
      <c r="AO120" s="439">
        <f t="shared" ca="1" si="132"/>
        <v>0.56499999999999995</v>
      </c>
      <c r="AP120" s="439">
        <f t="shared" ca="1" si="133"/>
        <v>1.127</v>
      </c>
      <c r="AQ120" s="439">
        <f t="shared" ca="1" si="134"/>
        <v>1.2090000000000001</v>
      </c>
      <c r="AR120" s="439">
        <f t="shared" ca="1" si="135"/>
        <v>1.0569999999999999</v>
      </c>
      <c r="AS120" s="439">
        <f t="shared" ca="1" si="136"/>
        <v>0.499</v>
      </c>
      <c r="AT120" s="439">
        <f t="shared" ca="1" si="137"/>
        <v>4.9400000000000004</v>
      </c>
      <c r="AU120" s="439">
        <f t="shared" ca="1" si="138"/>
        <v>5.18</v>
      </c>
      <c r="AV120" s="439">
        <f t="shared" ca="1" si="139"/>
        <v>4.97</v>
      </c>
      <c r="AW120" s="439">
        <f t="shared" ca="1" si="140"/>
        <v>1.93</v>
      </c>
    </row>
    <row r="121" spans="1:49" ht="15.75" x14ac:dyDescent="0.25">
      <c r="A121" s="437" t="str">
        <f>INDEX(Оглавление, ROW())</f>
        <v>[Цены на приграничных АЗС 2017-2020 (7138827 v1).XLSM]Цены на 21.10.2019</v>
      </c>
      <c r="B121" s="438">
        <f t="shared" ca="1" si="90"/>
        <v>43759</v>
      </c>
      <c r="C121" s="439">
        <f t="shared" ca="1" si="94"/>
        <v>8.1302000000000003</v>
      </c>
      <c r="D121" s="439">
        <f t="shared" ca="1" si="95"/>
        <v>2.0388000000000002</v>
      </c>
      <c r="E121" s="439">
        <f t="shared" ca="1" si="96"/>
        <v>2.2679999999999998</v>
      </c>
      <c r="F121" s="439">
        <f t="shared" ca="1" si="97"/>
        <v>5.2950999999999997</v>
      </c>
      <c r="G121" s="439">
        <f t="shared" ca="1" si="98"/>
        <v>3.1884000000000001</v>
      </c>
      <c r="H121" s="439">
        <f t="shared" ca="1" si="99"/>
        <v>1.58</v>
      </c>
      <c r="I121" s="439">
        <f t="shared" ca="1" si="100"/>
        <v>1.68</v>
      </c>
      <c r="J121" s="439">
        <f t="shared" ca="1" si="101"/>
        <v>1.81</v>
      </c>
      <c r="K121" s="439">
        <f t="shared" ca="1" si="102"/>
        <v>1.68</v>
      </c>
      <c r="L121" s="439">
        <f t="shared" ca="1" si="103"/>
        <v>0.89</v>
      </c>
      <c r="M121" s="439">
        <f t="shared" ca="1" si="104"/>
        <v>42.44</v>
      </c>
      <c r="N121" s="439">
        <f t="shared" ca="1" si="105"/>
        <v>46.59</v>
      </c>
      <c r="O121" s="439">
        <f t="shared" ca="1" si="106"/>
        <v>51.53</v>
      </c>
      <c r="P121" s="439">
        <f t="shared" ca="1" si="107"/>
        <v>46.09</v>
      </c>
      <c r="Q121" s="439">
        <f t="shared" ca="1" si="108"/>
        <v>21.34</v>
      </c>
      <c r="R121" s="439">
        <f t="shared" ca="1" si="109"/>
        <v>42.16</v>
      </c>
      <c r="S121" s="439">
        <f t="shared" ca="1" si="110"/>
        <v>45.25</v>
      </c>
      <c r="T121" s="439">
        <f t="shared" ca="1" si="111"/>
        <v>50.09</v>
      </c>
      <c r="U121" s="439">
        <f t="shared" ca="1" si="112"/>
        <v>45.84</v>
      </c>
      <c r="V121" s="439">
        <f t="shared" ca="1" si="113"/>
        <v>20.149999999999999</v>
      </c>
      <c r="W121" s="439">
        <f t="shared" ca="1" si="114"/>
        <v>42.41</v>
      </c>
      <c r="X121" s="439">
        <f t="shared" ca="1" si="115"/>
        <v>45.64</v>
      </c>
      <c r="Y121" s="439">
        <f t="shared" ca="1" si="116"/>
        <v>49.7</v>
      </c>
      <c r="Z121" s="439">
        <f t="shared" ca="1" si="117"/>
        <v>45.58</v>
      </c>
      <c r="AA121" s="439">
        <f t="shared" ca="1" si="118"/>
        <v>24.3</v>
      </c>
      <c r="AB121" s="439">
        <f t="shared" ca="1" si="119"/>
        <v>41.75</v>
      </c>
      <c r="AC121" s="439">
        <f t="shared" ca="1" si="120"/>
        <v>44.55</v>
      </c>
      <c r="AD121" s="439">
        <f t="shared" ca="1" si="121"/>
        <v>52.49</v>
      </c>
      <c r="AE121" s="439">
        <f t="shared" ca="1" si="122"/>
        <v>47</v>
      </c>
      <c r="AF121" s="439">
        <f t="shared" ca="1" si="123"/>
        <v>23.05</v>
      </c>
      <c r="AG121" s="439">
        <f t="shared" ca="1" si="124"/>
        <v>28.34</v>
      </c>
      <c r="AH121" s="439">
        <f t="shared" ca="1" si="125"/>
        <v>29.39</v>
      </c>
      <c r="AI121" s="439">
        <f t="shared" ca="1" si="126"/>
        <v>32.840000000000003</v>
      </c>
      <c r="AJ121" s="439">
        <f t="shared" ca="1" si="127"/>
        <v>26.84</v>
      </c>
      <c r="AK121" s="439">
        <f t="shared" ca="1" si="128"/>
        <v>11.65</v>
      </c>
      <c r="AL121" s="439">
        <f t="shared" ca="1" si="129"/>
        <v>1.234</v>
      </c>
      <c r="AM121" s="439">
        <f t="shared" ca="1" si="130"/>
        <v>1.2889999999999999</v>
      </c>
      <c r="AN121" s="439">
        <f t="shared" ca="1" si="131"/>
        <v>1.1839999999999999</v>
      </c>
      <c r="AO121" s="439">
        <f t="shared" ca="1" si="132"/>
        <v>0.56499999999999995</v>
      </c>
      <c r="AP121" s="439">
        <f t="shared" ca="1" si="133"/>
        <v>1.121</v>
      </c>
      <c r="AQ121" s="439">
        <f t="shared" ca="1" si="134"/>
        <v>1.19</v>
      </c>
      <c r="AR121" s="439">
        <f t="shared" ca="1" si="135"/>
        <v>1.0720000000000001</v>
      </c>
      <c r="AS121" s="439">
        <f t="shared" ca="1" si="136"/>
        <v>0.499</v>
      </c>
      <c r="AT121" s="439">
        <f t="shared" ca="1" si="137"/>
        <v>4.91</v>
      </c>
      <c r="AU121" s="439">
        <f t="shared" ca="1" si="138"/>
        <v>5.13</v>
      </c>
      <c r="AV121" s="439">
        <f t="shared" ca="1" si="139"/>
        <v>4.95</v>
      </c>
      <c r="AW121" s="439">
        <f t="shared" ca="1" si="140"/>
        <v>1.95</v>
      </c>
    </row>
    <row r="122" spans="1:49" ht="15.75" x14ac:dyDescent="0.25">
      <c r="A122" s="437" t="str">
        <f>INDEX(Оглавление, ROW())</f>
        <v>[Цены на приграничных АЗС 2017-2020 (7138827 v1).XLSM]Цены на 28.10.2019</v>
      </c>
      <c r="B122" s="438">
        <f t="shared" ca="1" si="90"/>
        <v>43766</v>
      </c>
      <c r="C122" s="439">
        <f t="shared" ca="1" si="94"/>
        <v>8.1630000000000003</v>
      </c>
      <c r="D122" s="439">
        <f t="shared" ca="1" si="95"/>
        <v>2.0470999999999999</v>
      </c>
      <c r="E122" s="439">
        <f t="shared" ca="1" si="96"/>
        <v>2.27</v>
      </c>
      <c r="F122" s="439">
        <f t="shared" ca="1" si="97"/>
        <v>5.3133999999999997</v>
      </c>
      <c r="G122" s="439">
        <f t="shared" ca="1" si="98"/>
        <v>3.2069999999999999</v>
      </c>
      <c r="H122" s="439">
        <f t="shared" ca="1" si="99"/>
        <v>1.58</v>
      </c>
      <c r="I122" s="439">
        <f t="shared" ca="1" si="100"/>
        <v>1.68</v>
      </c>
      <c r="J122" s="439">
        <f t="shared" ca="1" si="101"/>
        <v>1.81</v>
      </c>
      <c r="K122" s="439">
        <f t="shared" ca="1" si="102"/>
        <v>1.68</v>
      </c>
      <c r="L122" s="439">
        <f t="shared" ca="1" si="103"/>
        <v>0.89</v>
      </c>
      <c r="M122" s="439">
        <f t="shared" ca="1" si="104"/>
        <v>42.42</v>
      </c>
      <c r="N122" s="439">
        <f t="shared" ca="1" si="105"/>
        <v>46.56</v>
      </c>
      <c r="O122" s="439">
        <f t="shared" ca="1" si="106"/>
        <v>51.53</v>
      </c>
      <c r="P122" s="439">
        <f t="shared" ca="1" si="107"/>
        <v>46.09</v>
      </c>
      <c r="Q122" s="439">
        <f t="shared" ca="1" si="108"/>
        <v>21.19</v>
      </c>
      <c r="R122" s="439">
        <f t="shared" ca="1" si="109"/>
        <v>42.18</v>
      </c>
      <c r="S122" s="439">
        <f t="shared" ca="1" si="110"/>
        <v>45.23</v>
      </c>
      <c r="T122" s="439">
        <f t="shared" ca="1" si="111"/>
        <v>50.09</v>
      </c>
      <c r="U122" s="439">
        <f t="shared" ca="1" si="112"/>
        <v>45.88</v>
      </c>
      <c r="V122" s="439">
        <f t="shared" ca="1" si="113"/>
        <v>22.15</v>
      </c>
      <c r="W122" s="439">
        <f t="shared" ca="1" si="114"/>
        <v>42.47</v>
      </c>
      <c r="X122" s="439">
        <f t="shared" ca="1" si="115"/>
        <v>45.73</v>
      </c>
      <c r="Y122" s="439">
        <f t="shared" ca="1" si="116"/>
        <v>49.4</v>
      </c>
      <c r="Z122" s="439">
        <f t="shared" ca="1" si="117"/>
        <v>45.56</v>
      </c>
      <c r="AA122" s="439">
        <f t="shared" ca="1" si="118"/>
        <v>24.3</v>
      </c>
      <c r="AB122" s="439">
        <f t="shared" ca="1" si="119"/>
        <v>41.89</v>
      </c>
      <c r="AC122" s="439">
        <f t="shared" ca="1" si="120"/>
        <v>44.81</v>
      </c>
      <c r="AD122" s="439">
        <f t="shared" ca="1" si="121"/>
        <v>52.49</v>
      </c>
      <c r="AE122" s="439">
        <f t="shared" ca="1" si="122"/>
        <v>46.42</v>
      </c>
      <c r="AF122" s="439">
        <f t="shared" ca="1" si="123"/>
        <v>22.78</v>
      </c>
      <c r="AG122" s="439">
        <f t="shared" ca="1" si="124"/>
        <v>28.34</v>
      </c>
      <c r="AH122" s="439">
        <f t="shared" ca="1" si="125"/>
        <v>29.39</v>
      </c>
      <c r="AI122" s="439">
        <f t="shared" ca="1" si="126"/>
        <v>32.840000000000003</v>
      </c>
      <c r="AJ122" s="439">
        <f t="shared" ca="1" si="127"/>
        <v>26.84</v>
      </c>
      <c r="AK122" s="439">
        <f t="shared" ca="1" si="128"/>
        <v>11.5</v>
      </c>
      <c r="AL122" s="439">
        <f t="shared" ca="1" si="129"/>
        <v>1.234</v>
      </c>
      <c r="AM122" s="439">
        <f t="shared" ca="1" si="130"/>
        <v>1.2889999999999999</v>
      </c>
      <c r="AN122" s="439">
        <f t="shared" ca="1" si="131"/>
        <v>1.194</v>
      </c>
      <c r="AO122" s="439">
        <f t="shared" ca="1" si="132"/>
        <v>0.54500000000000004</v>
      </c>
      <c r="AP122" s="439">
        <f t="shared" ca="1" si="133"/>
        <v>1.131</v>
      </c>
      <c r="AQ122" s="439">
        <f t="shared" ca="1" si="134"/>
        <v>1.2</v>
      </c>
      <c r="AR122" s="439">
        <f t="shared" ca="1" si="135"/>
        <v>1.0820000000000001</v>
      </c>
      <c r="AS122" s="439">
        <f t="shared" ca="1" si="136"/>
        <v>0.499</v>
      </c>
      <c r="AT122" s="439">
        <f t="shared" ca="1" si="137"/>
        <v>4.9000000000000004</v>
      </c>
      <c r="AU122" s="439">
        <f t="shared" ca="1" si="138"/>
        <v>5.2</v>
      </c>
      <c r="AV122" s="439">
        <f t="shared" ca="1" si="139"/>
        <v>4.96</v>
      </c>
      <c r="AW122" s="439">
        <f t="shared" ca="1" si="140"/>
        <v>1.94</v>
      </c>
    </row>
    <row r="123" spans="1:49" ht="15.75" x14ac:dyDescent="0.25">
      <c r="A123" s="437" t="str">
        <f>INDEX(Оглавление, ROW())</f>
        <v>[Цены на приграничных АЗС 2017-2020 (7138827 v1).XLSM]Цены на 04.11.2019</v>
      </c>
      <c r="B123" s="438">
        <f t="shared" ca="1" si="90"/>
        <v>43773</v>
      </c>
      <c r="C123" s="439">
        <f t="shared" ca="1" si="94"/>
        <v>8.2876999999999992</v>
      </c>
      <c r="D123" s="439">
        <f t="shared" ca="1" si="95"/>
        <v>2.0539000000000001</v>
      </c>
      <c r="E123" s="439">
        <f t="shared" ca="1" si="96"/>
        <v>2.2915999999999999</v>
      </c>
      <c r="F123" s="439">
        <f t="shared" ca="1" si="97"/>
        <v>5.3815999999999997</v>
      </c>
      <c r="G123" s="439">
        <f t="shared" ca="1" si="98"/>
        <v>3.2094</v>
      </c>
      <c r="H123" s="439">
        <f t="shared" ca="1" si="99"/>
        <v>1.58</v>
      </c>
      <c r="I123" s="439">
        <f t="shared" ca="1" si="100"/>
        <v>1.68</v>
      </c>
      <c r="J123" s="439">
        <f t="shared" ca="1" si="101"/>
        <v>1.81</v>
      </c>
      <c r="K123" s="439">
        <f t="shared" ca="1" si="102"/>
        <v>1.68</v>
      </c>
      <c r="L123" s="439">
        <f t="shared" ca="1" si="103"/>
        <v>0.89</v>
      </c>
      <c r="M123" s="439">
        <f t="shared" ca="1" si="104"/>
        <v>42.4</v>
      </c>
      <c r="N123" s="439">
        <f t="shared" ca="1" si="105"/>
        <v>46.51</v>
      </c>
      <c r="O123" s="439">
        <f t="shared" ca="1" si="106"/>
        <v>51.53</v>
      </c>
      <c r="P123" s="439">
        <f t="shared" ca="1" si="107"/>
        <v>46.42</v>
      </c>
      <c r="Q123" s="439">
        <f t="shared" ca="1" si="108"/>
        <v>21.42</v>
      </c>
      <c r="R123" s="439">
        <f t="shared" ca="1" si="109"/>
        <v>42.08</v>
      </c>
      <c r="S123" s="439">
        <f t="shared" ca="1" si="110"/>
        <v>45.25</v>
      </c>
      <c r="T123" s="439">
        <f t="shared" ca="1" si="111"/>
        <v>50.09</v>
      </c>
      <c r="U123" s="439">
        <f t="shared" ca="1" si="112"/>
        <v>45.91</v>
      </c>
      <c r="V123" s="439">
        <f t="shared" ca="1" si="113"/>
        <v>22.65</v>
      </c>
      <c r="W123" s="439">
        <f t="shared" ca="1" si="114"/>
        <v>42.5</v>
      </c>
      <c r="X123" s="439">
        <f t="shared" ca="1" si="115"/>
        <v>46.5</v>
      </c>
      <c r="Y123" s="439">
        <f t="shared" ca="1" si="116"/>
        <v>49.4</v>
      </c>
      <c r="Z123" s="439">
        <f t="shared" ca="1" si="117"/>
        <v>45.62</v>
      </c>
      <c r="AA123" s="439">
        <f t="shared" ca="1" si="118"/>
        <v>24.3</v>
      </c>
      <c r="AB123" s="439">
        <f t="shared" ca="1" si="119"/>
        <v>41.96</v>
      </c>
      <c r="AC123" s="439">
        <f t="shared" ca="1" si="120"/>
        <v>44.83</v>
      </c>
      <c r="AD123" s="439">
        <f t="shared" ca="1" si="121"/>
        <v>52.49</v>
      </c>
      <c r="AE123" s="439">
        <f t="shared" ca="1" si="122"/>
        <v>46.8</v>
      </c>
      <c r="AF123" s="439">
        <f t="shared" ca="1" si="123"/>
        <v>22.78</v>
      </c>
      <c r="AG123" s="439">
        <f t="shared" ca="1" si="124"/>
        <v>28.34</v>
      </c>
      <c r="AH123" s="439">
        <f t="shared" ca="1" si="125"/>
        <v>29.39</v>
      </c>
      <c r="AI123" s="439">
        <f t="shared" ca="1" si="126"/>
        <v>32.840000000000003</v>
      </c>
      <c r="AJ123" s="439">
        <f t="shared" ca="1" si="127"/>
        <v>26.84</v>
      </c>
      <c r="AK123" s="439">
        <f t="shared" ca="1" si="128"/>
        <v>11.47</v>
      </c>
      <c r="AL123" s="439">
        <f t="shared" ca="1" si="129"/>
        <v>1.234</v>
      </c>
      <c r="AM123" s="439">
        <f t="shared" ca="1" si="130"/>
        <v>1.2889999999999999</v>
      </c>
      <c r="AN123" s="439">
        <f t="shared" ca="1" si="131"/>
        <v>1.1739999999999999</v>
      </c>
      <c r="AO123" s="439">
        <f t="shared" ca="1" si="132"/>
        <v>0.54500000000000004</v>
      </c>
      <c r="AP123" s="439">
        <f t="shared" ca="1" si="133"/>
        <v>1.119</v>
      </c>
      <c r="AQ123" s="439">
        <f t="shared" ca="1" si="134"/>
        <v>1.2150000000000001</v>
      </c>
      <c r="AR123" s="439">
        <f t="shared" ca="1" si="135"/>
        <v>1.089</v>
      </c>
      <c r="AS123" s="439">
        <f t="shared" ca="1" si="136"/>
        <v>0.50900000000000001</v>
      </c>
      <c r="AT123" s="439">
        <f t="shared" ca="1" si="137"/>
        <v>4.91</v>
      </c>
      <c r="AU123" s="439">
        <f t="shared" ca="1" si="138"/>
        <v>5.19</v>
      </c>
      <c r="AV123" s="439">
        <f t="shared" ca="1" si="139"/>
        <v>4.9400000000000004</v>
      </c>
      <c r="AW123" s="439">
        <f t="shared" ca="1" si="140"/>
        <v>1.95</v>
      </c>
    </row>
    <row r="124" spans="1:49" ht="15.75" x14ac:dyDescent="0.25">
      <c r="A124" s="437" t="str">
        <f>INDEX(Оглавление, ROW())</f>
        <v>[Цены на приграничных АЗС 2017-2020 (7138827 v1).XLSM]Цены на 11.11.2019</v>
      </c>
      <c r="B124" s="438">
        <f t="shared" ca="1" si="90"/>
        <v>43780</v>
      </c>
      <c r="C124" s="439">
        <f t="shared" ca="1" si="94"/>
        <v>8.2986000000000004</v>
      </c>
      <c r="D124" s="439">
        <f t="shared" ca="1" si="95"/>
        <v>2.0434000000000001</v>
      </c>
      <c r="E124" s="439">
        <f t="shared" ca="1" si="96"/>
        <v>2.2635999999999998</v>
      </c>
      <c r="F124" s="439">
        <f t="shared" ca="1" si="97"/>
        <v>5.3076999999999996</v>
      </c>
      <c r="G124" s="439">
        <f t="shared" ca="1" si="98"/>
        <v>3.2111999999999998</v>
      </c>
      <c r="H124" s="439">
        <f t="shared" ca="1" si="99"/>
        <v>1.58</v>
      </c>
      <c r="I124" s="439">
        <f t="shared" ca="1" si="100"/>
        <v>1.68</v>
      </c>
      <c r="J124" s="439">
        <f t="shared" ca="1" si="101"/>
        <v>1.81</v>
      </c>
      <c r="K124" s="439">
        <f t="shared" ca="1" si="102"/>
        <v>1.68</v>
      </c>
      <c r="L124" s="439">
        <f t="shared" ca="1" si="103"/>
        <v>0.89</v>
      </c>
      <c r="M124" s="439">
        <f t="shared" ca="1" si="104"/>
        <v>42.41</v>
      </c>
      <c r="N124" s="439">
        <f t="shared" ca="1" si="105"/>
        <v>46.54</v>
      </c>
      <c r="O124" s="439">
        <f t="shared" ca="1" si="106"/>
        <v>51.53</v>
      </c>
      <c r="P124" s="439">
        <f t="shared" ca="1" si="107"/>
        <v>46.68</v>
      </c>
      <c r="Q124" s="439">
        <f t="shared" ca="1" si="108"/>
        <v>21.38</v>
      </c>
      <c r="R124" s="439">
        <f t="shared" ca="1" si="109"/>
        <v>42.14</v>
      </c>
      <c r="S124" s="439">
        <f t="shared" ca="1" si="110"/>
        <v>45.28</v>
      </c>
      <c r="T124" s="439">
        <f t="shared" ca="1" si="111"/>
        <v>50.09</v>
      </c>
      <c r="U124" s="439">
        <f t="shared" ca="1" si="112"/>
        <v>45.88</v>
      </c>
      <c r="V124" s="439">
        <f t="shared" ca="1" si="113"/>
        <v>23.3</v>
      </c>
      <c r="W124" s="439">
        <f t="shared" ca="1" si="114"/>
        <v>42.4</v>
      </c>
      <c r="X124" s="439">
        <f t="shared" ca="1" si="115"/>
        <v>46.49</v>
      </c>
      <c r="Y124" s="439">
        <f t="shared" ca="1" si="116"/>
        <v>49.4</v>
      </c>
      <c r="Z124" s="439">
        <f t="shared" ca="1" si="117"/>
        <v>45.61</v>
      </c>
      <c r="AA124" s="439">
        <f t="shared" ca="1" si="118"/>
        <v>24.3</v>
      </c>
      <c r="AB124" s="439">
        <f t="shared" ca="1" si="119"/>
        <v>41.94</v>
      </c>
      <c r="AC124" s="439">
        <f t="shared" ca="1" si="120"/>
        <v>44.89</v>
      </c>
      <c r="AD124" s="439">
        <f t="shared" ca="1" si="121"/>
        <v>52.49</v>
      </c>
      <c r="AE124" s="439">
        <f t="shared" ca="1" si="122"/>
        <v>46.9</v>
      </c>
      <c r="AF124" s="439">
        <f t="shared" ca="1" si="123"/>
        <v>22.78</v>
      </c>
      <c r="AG124" s="439">
        <f t="shared" ca="1" si="124"/>
        <v>28.34</v>
      </c>
      <c r="AH124" s="439">
        <f t="shared" ca="1" si="125"/>
        <v>29.39</v>
      </c>
      <c r="AI124" s="439">
        <f t="shared" ca="1" si="126"/>
        <v>32.840000000000003</v>
      </c>
      <c r="AJ124" s="439">
        <f t="shared" ca="1" si="127"/>
        <v>26.84</v>
      </c>
      <c r="AK124" s="439">
        <f t="shared" ca="1" si="128"/>
        <v>11.47</v>
      </c>
      <c r="AL124" s="439">
        <f t="shared" ca="1" si="129"/>
        <v>1.244</v>
      </c>
      <c r="AM124" s="439">
        <f t="shared" ca="1" si="130"/>
        <v>1.2989999999999999</v>
      </c>
      <c r="AN124" s="439">
        <f t="shared" ca="1" si="131"/>
        <v>1.1539999999999999</v>
      </c>
      <c r="AO124" s="439">
        <f t="shared" ca="1" si="132"/>
        <v>0.52500000000000002</v>
      </c>
      <c r="AP124" s="439">
        <f t="shared" ca="1" si="133"/>
        <v>1.1459999999999999</v>
      </c>
      <c r="AQ124" s="439">
        <f t="shared" ca="1" si="134"/>
        <v>1.2150000000000001</v>
      </c>
      <c r="AR124" s="439">
        <f t="shared" ca="1" si="135"/>
        <v>1.085</v>
      </c>
      <c r="AS124" s="439">
        <f t="shared" ca="1" si="136"/>
        <v>0.51900000000000002</v>
      </c>
      <c r="AT124" s="439">
        <f t="shared" ca="1" si="137"/>
        <v>4.91</v>
      </c>
      <c r="AU124" s="439">
        <f t="shared" ca="1" si="138"/>
        <v>5.16</v>
      </c>
      <c r="AV124" s="439">
        <f t="shared" ca="1" si="139"/>
        <v>4.95</v>
      </c>
      <c r="AW124" s="439">
        <f t="shared" ca="1" si="140"/>
        <v>1.98</v>
      </c>
    </row>
    <row r="125" spans="1:49" ht="15.75" x14ac:dyDescent="0.25">
      <c r="A125" s="437" t="str">
        <f>INDEX(Оглавление, ROW())</f>
        <v>[Цены на приграничных АЗС 2017-2020 (7138827 v1).XLSM]Цены на 18.11.2019</v>
      </c>
      <c r="B125" s="438">
        <f t="shared" ca="1" si="90"/>
        <v>43787</v>
      </c>
      <c r="C125" s="439">
        <f t="shared" ca="1" si="94"/>
        <v>8.4724000000000004</v>
      </c>
      <c r="D125" s="439">
        <f t="shared" ca="1" si="95"/>
        <v>2.0457999999999998</v>
      </c>
      <c r="E125" s="439">
        <f t="shared" ca="1" si="96"/>
        <v>2.2612999999999999</v>
      </c>
      <c r="F125" s="439">
        <f t="shared" ca="1" si="97"/>
        <v>5.2884000000000002</v>
      </c>
      <c r="G125" s="439">
        <f t="shared" ca="1" si="98"/>
        <v>3.2082999999999999</v>
      </c>
      <c r="H125" s="439">
        <f t="shared" ca="1" si="99"/>
        <v>1.58</v>
      </c>
      <c r="I125" s="439">
        <f t="shared" ca="1" si="100"/>
        <v>1.68</v>
      </c>
      <c r="J125" s="439">
        <f t="shared" ca="1" si="101"/>
        <v>1.81</v>
      </c>
      <c r="K125" s="439">
        <f t="shared" ca="1" si="102"/>
        <v>1.68</v>
      </c>
      <c r="L125" s="439">
        <f t="shared" ca="1" si="103"/>
        <v>0.89</v>
      </c>
      <c r="M125" s="439">
        <f t="shared" ca="1" si="104"/>
        <v>42.4</v>
      </c>
      <c r="N125" s="439">
        <f t="shared" ca="1" si="105"/>
        <v>46.52</v>
      </c>
      <c r="O125" s="439">
        <f t="shared" ca="1" si="106"/>
        <v>51.53</v>
      </c>
      <c r="P125" s="439">
        <f t="shared" ca="1" si="107"/>
        <v>46.47</v>
      </c>
      <c r="Q125" s="439">
        <f t="shared" ca="1" si="108"/>
        <v>21.68</v>
      </c>
      <c r="R125" s="439">
        <f t="shared" ca="1" si="109"/>
        <v>42.16</v>
      </c>
      <c r="S125" s="439">
        <f t="shared" ca="1" si="110"/>
        <v>45.28</v>
      </c>
      <c r="T125" s="439">
        <f t="shared" ca="1" si="111"/>
        <v>51.4</v>
      </c>
      <c r="U125" s="439">
        <f t="shared" ca="1" si="112"/>
        <v>45.98</v>
      </c>
      <c r="V125" s="439">
        <f t="shared" ca="1" si="113"/>
        <v>23.3</v>
      </c>
      <c r="W125" s="439">
        <f t="shared" ca="1" si="114"/>
        <v>42.42</v>
      </c>
      <c r="X125" s="439">
        <f t="shared" ca="1" si="115"/>
        <v>46.52</v>
      </c>
      <c r="Y125" s="439">
        <f t="shared" ca="1" si="116"/>
        <v>50.3</v>
      </c>
      <c r="Z125" s="439">
        <f t="shared" ca="1" si="117"/>
        <v>45.72</v>
      </c>
      <c r="AA125" s="439">
        <f t="shared" ca="1" si="118"/>
        <v>24.3</v>
      </c>
      <c r="AB125" s="439">
        <f t="shared" ca="1" si="119"/>
        <v>42.04</v>
      </c>
      <c r="AC125" s="439">
        <f t="shared" ca="1" si="120"/>
        <v>45.07</v>
      </c>
      <c r="AD125" s="439">
        <f t="shared" ca="1" si="121"/>
        <v>51.9</v>
      </c>
      <c r="AE125" s="439">
        <f t="shared" ca="1" si="122"/>
        <v>46.96</v>
      </c>
      <c r="AF125" s="439">
        <f t="shared" ca="1" si="123"/>
        <v>22.5</v>
      </c>
      <c r="AG125" s="439">
        <f t="shared" ca="1" si="124"/>
        <v>28.34</v>
      </c>
      <c r="AH125" s="439">
        <f t="shared" ca="1" si="125"/>
        <v>29.39</v>
      </c>
      <c r="AI125" s="439">
        <f t="shared" ca="1" si="126"/>
        <v>32.840000000000003</v>
      </c>
      <c r="AJ125" s="439">
        <f t="shared" ca="1" si="127"/>
        <v>26.84</v>
      </c>
      <c r="AK125" s="439">
        <f t="shared" ca="1" si="128"/>
        <v>11.45</v>
      </c>
      <c r="AL125" s="439">
        <f t="shared" ca="1" si="129"/>
        <v>1.254</v>
      </c>
      <c r="AM125" s="439">
        <f t="shared" ca="1" si="130"/>
        <v>1.3089999999999999</v>
      </c>
      <c r="AN125" s="439">
        <f t="shared" ca="1" si="131"/>
        <v>1.1539999999999999</v>
      </c>
      <c r="AO125" s="439">
        <f t="shared" ca="1" si="132"/>
        <v>0.52500000000000002</v>
      </c>
      <c r="AP125" s="439">
        <f t="shared" ca="1" si="133"/>
        <v>1.1459999999999999</v>
      </c>
      <c r="AQ125" s="439">
        <f t="shared" ca="1" si="134"/>
        <v>1.2150000000000001</v>
      </c>
      <c r="AR125" s="439">
        <f t="shared" ca="1" si="135"/>
        <v>1.085</v>
      </c>
      <c r="AS125" s="439">
        <f t="shared" ca="1" si="136"/>
        <v>0.53</v>
      </c>
      <c r="AT125" s="439">
        <f t="shared" ca="1" si="137"/>
        <v>4.91</v>
      </c>
      <c r="AU125" s="439">
        <f t="shared" ca="1" si="138"/>
        <v>5.14</v>
      </c>
      <c r="AV125" s="439">
        <f t="shared" ca="1" si="139"/>
        <v>4.97</v>
      </c>
      <c r="AW125" s="439">
        <f t="shared" ca="1" si="140"/>
        <v>2.02</v>
      </c>
    </row>
    <row r="126" spans="1:49" ht="15.75" x14ac:dyDescent="0.25">
      <c r="A126" s="437" t="str">
        <f>INDEX(Оглавление, ROW())</f>
        <v>[Цены на приграничных АЗС 2017-2020 (7138827 v1).XLSM]Цены на 25.11.2019</v>
      </c>
      <c r="B126" s="438">
        <f t="shared" ca="1" si="90"/>
        <v>43794</v>
      </c>
      <c r="C126" s="439">
        <f t="shared" ca="1" si="94"/>
        <v>8.4871999999999996</v>
      </c>
      <c r="D126" s="439">
        <f t="shared" ca="1" si="95"/>
        <v>2.0501</v>
      </c>
      <c r="E126" s="439">
        <f t="shared" ca="1" si="96"/>
        <v>2.2685</v>
      </c>
      <c r="F126" s="439">
        <f t="shared" ca="1" si="97"/>
        <v>5.2763999999999998</v>
      </c>
      <c r="G126" s="439">
        <f t="shared" ca="1" si="98"/>
        <v>3.2216</v>
      </c>
      <c r="H126" s="439">
        <f t="shared" ca="1" si="99"/>
        <v>1.59</v>
      </c>
      <c r="I126" s="439">
        <f t="shared" ca="1" si="100"/>
        <v>1.69</v>
      </c>
      <c r="J126" s="439">
        <f t="shared" ca="1" si="101"/>
        <v>1.82</v>
      </c>
      <c r="K126" s="439">
        <f t="shared" ca="1" si="102"/>
        <v>1.69</v>
      </c>
      <c r="L126" s="439">
        <f t="shared" ca="1" si="103"/>
        <v>0.89</v>
      </c>
      <c r="M126" s="439">
        <f t="shared" ca="1" si="104"/>
        <v>42.42</v>
      </c>
      <c r="N126" s="439">
        <f t="shared" ca="1" si="105"/>
        <v>46.56</v>
      </c>
      <c r="O126" s="439">
        <f t="shared" ca="1" si="106"/>
        <v>51.53</v>
      </c>
      <c r="P126" s="439">
        <f t="shared" ca="1" si="107"/>
        <v>46.66</v>
      </c>
      <c r="Q126" s="439">
        <f t="shared" ca="1" si="108"/>
        <v>21.7</v>
      </c>
      <c r="R126" s="439">
        <f t="shared" ca="1" si="109"/>
        <v>42.07</v>
      </c>
      <c r="S126" s="439">
        <f t="shared" ca="1" si="110"/>
        <v>45.27</v>
      </c>
      <c r="T126" s="439">
        <f t="shared" ca="1" si="111"/>
        <v>51.4</v>
      </c>
      <c r="U126" s="439">
        <f t="shared" ca="1" si="112"/>
        <v>46.07</v>
      </c>
      <c r="V126" s="439">
        <f t="shared" ca="1" si="113"/>
        <v>21.99</v>
      </c>
      <c r="W126" s="439">
        <f t="shared" ca="1" si="114"/>
        <v>42.44</v>
      </c>
      <c r="X126" s="439">
        <f t="shared" ca="1" si="115"/>
        <v>46.71</v>
      </c>
      <c r="Y126" s="439">
        <f t="shared" ca="1" si="116"/>
        <v>50.29</v>
      </c>
      <c r="Z126" s="439">
        <f t="shared" ca="1" si="117"/>
        <v>45.87</v>
      </c>
      <c r="AA126" s="439">
        <f t="shared" ca="1" si="118"/>
        <v>24.3</v>
      </c>
      <c r="AB126" s="439">
        <f t="shared" ca="1" si="119"/>
        <v>41.99</v>
      </c>
      <c r="AC126" s="439">
        <f t="shared" ca="1" si="120"/>
        <v>44.89</v>
      </c>
      <c r="AD126" s="439">
        <f t="shared" ca="1" si="121"/>
        <v>51.9</v>
      </c>
      <c r="AE126" s="439">
        <f t="shared" ca="1" si="122"/>
        <v>47.07</v>
      </c>
      <c r="AF126" s="439">
        <f t="shared" ca="1" si="123"/>
        <v>23.05</v>
      </c>
      <c r="AG126" s="439">
        <f t="shared" ca="1" si="124"/>
        <v>28.34</v>
      </c>
      <c r="AH126" s="439">
        <f t="shared" ca="1" si="125"/>
        <v>29.34</v>
      </c>
      <c r="AI126" s="439">
        <f t="shared" ca="1" si="126"/>
        <v>32.840000000000003</v>
      </c>
      <c r="AJ126" s="439">
        <f t="shared" ca="1" si="127"/>
        <v>26.84</v>
      </c>
      <c r="AK126" s="439">
        <f t="shared" ca="1" si="128"/>
        <v>11.83</v>
      </c>
      <c r="AL126" s="439">
        <f t="shared" ca="1" si="129"/>
        <v>1.244</v>
      </c>
      <c r="AM126" s="439">
        <f t="shared" ca="1" si="130"/>
        <v>1.2989999999999999</v>
      </c>
      <c r="AN126" s="439">
        <f t="shared" ca="1" si="131"/>
        <v>1.1539999999999999</v>
      </c>
      <c r="AO126" s="439">
        <f t="shared" ca="1" si="132"/>
        <v>0.52500000000000002</v>
      </c>
      <c r="AP126" s="439">
        <f t="shared" ca="1" si="133"/>
        <v>1.169</v>
      </c>
      <c r="AQ126" s="439">
        <f t="shared" ca="1" si="134"/>
        <v>1.254</v>
      </c>
      <c r="AR126" s="439">
        <f t="shared" ca="1" si="135"/>
        <v>1.095</v>
      </c>
      <c r="AS126" s="439">
        <f t="shared" ca="1" si="136"/>
        <v>0.54900000000000004</v>
      </c>
      <c r="AT126" s="439">
        <f t="shared" ca="1" si="137"/>
        <v>4.91</v>
      </c>
      <c r="AU126" s="439">
        <f t="shared" ca="1" si="138"/>
        <v>5.13</v>
      </c>
      <c r="AV126" s="439">
        <f t="shared" ca="1" si="139"/>
        <v>5</v>
      </c>
      <c r="AW126" s="439">
        <f t="shared" ca="1" si="140"/>
        <v>2.13</v>
      </c>
    </row>
    <row r="127" spans="1:49" ht="15.75" x14ac:dyDescent="0.25">
      <c r="A127" s="437" t="str">
        <f>INDEX(Оглавление, ROW())</f>
        <v>[Цены на приграничных АЗС 2017-2020 (7138827 v1).XLSM]Цены на 02.12.2019</v>
      </c>
      <c r="B127" s="438">
        <f t="shared" ca="1" si="90"/>
        <v>43801</v>
      </c>
      <c r="C127" s="439">
        <f t="shared" ca="1" si="94"/>
        <v>8.8031000000000006</v>
      </c>
      <c r="D127" s="439">
        <f t="shared" ca="1" si="95"/>
        <v>2.1086</v>
      </c>
      <c r="E127" s="439">
        <f t="shared" ca="1" si="96"/>
        <v>2.3207</v>
      </c>
      <c r="F127" s="439">
        <f t="shared" ca="1" si="97"/>
        <v>5.3654000000000002</v>
      </c>
      <c r="G127" s="439">
        <f t="shared" ca="1" si="98"/>
        <v>3.2907000000000002</v>
      </c>
      <c r="H127" s="439">
        <f t="shared" ca="1" si="99"/>
        <v>1.6</v>
      </c>
      <c r="I127" s="439">
        <f t="shared" ca="1" si="100"/>
        <v>1.7</v>
      </c>
      <c r="J127" s="439">
        <f t="shared" ca="1" si="101"/>
        <v>1.83</v>
      </c>
      <c r="K127" s="439">
        <f t="shared" ca="1" si="102"/>
        <v>1.7</v>
      </c>
      <c r="L127" s="439">
        <f t="shared" ca="1" si="103"/>
        <v>0.9</v>
      </c>
      <c r="M127" s="439">
        <f t="shared" ca="1" si="104"/>
        <v>42.37</v>
      </c>
      <c r="N127" s="439">
        <f t="shared" ca="1" si="105"/>
        <v>46.49</v>
      </c>
      <c r="O127" s="439">
        <f t="shared" ca="1" si="106"/>
        <v>51.49</v>
      </c>
      <c r="P127" s="439">
        <f t="shared" ca="1" si="107"/>
        <v>47.06</v>
      </c>
      <c r="Q127" s="439">
        <f t="shared" ca="1" si="108"/>
        <v>22.54</v>
      </c>
      <c r="R127" s="439">
        <f t="shared" ca="1" si="109"/>
        <v>42.15</v>
      </c>
      <c r="S127" s="439">
        <f t="shared" ca="1" si="110"/>
        <v>45.3</v>
      </c>
      <c r="T127" s="439">
        <f t="shared" ca="1" si="111"/>
        <v>51.4</v>
      </c>
      <c r="U127" s="439">
        <f t="shared" ca="1" si="112"/>
        <v>46.39</v>
      </c>
      <c r="V127" s="439">
        <f t="shared" ca="1" si="113"/>
        <v>22.9</v>
      </c>
      <c r="W127" s="439">
        <f t="shared" ca="1" si="114"/>
        <v>42.42</v>
      </c>
      <c r="X127" s="439">
        <f t="shared" ca="1" si="115"/>
        <v>46.68</v>
      </c>
      <c r="Y127" s="439">
        <f t="shared" ca="1" si="116"/>
        <v>50.3</v>
      </c>
      <c r="Z127" s="439">
        <f t="shared" ca="1" si="117"/>
        <v>46.3</v>
      </c>
      <c r="AA127" s="439">
        <f t="shared" ca="1" si="118"/>
        <v>24.3</v>
      </c>
      <c r="AB127" s="439">
        <f t="shared" ca="1" si="119"/>
        <v>42.07</v>
      </c>
      <c r="AC127" s="439">
        <f t="shared" ca="1" si="120"/>
        <v>44.85</v>
      </c>
      <c r="AD127" s="439">
        <f t="shared" ca="1" si="121"/>
        <v>52.49</v>
      </c>
      <c r="AE127" s="439">
        <f t="shared" ca="1" si="122"/>
        <v>49.1</v>
      </c>
      <c r="AF127" s="439">
        <f t="shared" ca="1" si="123"/>
        <v>23.05</v>
      </c>
      <c r="AG127" s="439">
        <f t="shared" ca="1" si="124"/>
        <v>28.34</v>
      </c>
      <c r="AH127" s="439">
        <f t="shared" ca="1" si="125"/>
        <v>29.34</v>
      </c>
      <c r="AI127" s="439">
        <f t="shared" ca="1" si="126"/>
        <v>32.840000000000003</v>
      </c>
      <c r="AJ127" s="439">
        <f t="shared" ca="1" si="127"/>
        <v>26.84</v>
      </c>
      <c r="AK127" s="439">
        <f t="shared" ca="1" si="128"/>
        <v>12.17</v>
      </c>
      <c r="AL127" s="439">
        <f t="shared" ca="1" si="129"/>
        <v>1.244</v>
      </c>
      <c r="AM127" s="439">
        <f t="shared" ca="1" si="130"/>
        <v>1.2989999999999999</v>
      </c>
      <c r="AN127" s="439">
        <f t="shared" ca="1" si="131"/>
        <v>1.1539999999999999</v>
      </c>
      <c r="AO127" s="439">
        <f t="shared" ca="1" si="132"/>
        <v>0.53500000000000003</v>
      </c>
      <c r="AP127" s="439">
        <f t="shared" ca="1" si="133"/>
        <v>1.161</v>
      </c>
      <c r="AQ127" s="439">
        <f t="shared" ca="1" si="134"/>
        <v>1.254</v>
      </c>
      <c r="AR127" s="439">
        <f t="shared" ca="1" si="135"/>
        <v>1.095</v>
      </c>
      <c r="AS127" s="439">
        <f t="shared" ca="1" si="136"/>
        <v>0.54900000000000004</v>
      </c>
      <c r="AT127" s="439">
        <f t="shared" ca="1" si="137"/>
        <v>4.9400000000000004</v>
      </c>
      <c r="AU127" s="439">
        <f t="shared" ca="1" si="138"/>
        <v>5.16</v>
      </c>
      <c r="AV127" s="439">
        <f t="shared" ca="1" si="139"/>
        <v>5.04</v>
      </c>
      <c r="AW127" s="439">
        <f t="shared" ca="1" si="140"/>
        <v>2.2599999999999998</v>
      </c>
    </row>
    <row r="128" spans="1:49" ht="15.75" x14ac:dyDescent="0.25">
      <c r="A128" s="437" t="str">
        <f>INDEX(Оглавление, ROW())</f>
        <v>[Цены на приграничных АЗС 2017-2020 (7138827 v1).XLSM]Цены на 09.12.2019</v>
      </c>
      <c r="B128" s="438">
        <f t="shared" ca="1" si="90"/>
        <v>43807</v>
      </c>
      <c r="C128" s="439">
        <f t="shared" ca="1" si="94"/>
        <v>8.9172999999999991</v>
      </c>
      <c r="D128" s="439">
        <f t="shared" ca="1" si="95"/>
        <v>2.1154000000000002</v>
      </c>
      <c r="E128" s="439">
        <f t="shared" ca="1" si="96"/>
        <v>2.3479000000000001</v>
      </c>
      <c r="F128" s="439">
        <f t="shared" ca="1" si="97"/>
        <v>5.4945000000000004</v>
      </c>
      <c r="G128" s="439">
        <f t="shared" ca="1" si="98"/>
        <v>3.3195000000000001</v>
      </c>
      <c r="H128" s="439">
        <f t="shared" ca="1" si="99"/>
        <v>1.61</v>
      </c>
      <c r="I128" s="439">
        <f t="shared" ca="1" si="100"/>
        <v>1.71</v>
      </c>
      <c r="J128" s="439">
        <f t="shared" ca="1" si="101"/>
        <v>1.84</v>
      </c>
      <c r="K128" s="439">
        <f t="shared" ca="1" si="102"/>
        <v>1.71</v>
      </c>
      <c r="L128" s="439">
        <f t="shared" ca="1" si="103"/>
        <v>0.9</v>
      </c>
      <c r="M128" s="439">
        <f t="shared" ca="1" si="104"/>
        <v>42.4</v>
      </c>
      <c r="N128" s="439">
        <f t="shared" ca="1" si="105"/>
        <v>46.53</v>
      </c>
      <c r="O128" s="439">
        <f t="shared" ca="1" si="106"/>
        <v>51.49</v>
      </c>
      <c r="P128" s="439">
        <f t="shared" ca="1" si="107"/>
        <v>47.12</v>
      </c>
      <c r="Q128" s="439">
        <f t="shared" ca="1" si="108"/>
        <v>23.08</v>
      </c>
      <c r="R128" s="439">
        <f t="shared" ca="1" si="109"/>
        <v>42.14</v>
      </c>
      <c r="S128" s="439">
        <f t="shared" ca="1" si="110"/>
        <v>45.27</v>
      </c>
      <c r="T128" s="439">
        <f t="shared" ca="1" si="111"/>
        <v>51.4</v>
      </c>
      <c r="U128" s="439">
        <f t="shared" ca="1" si="112"/>
        <v>46.23</v>
      </c>
      <c r="V128" s="439">
        <f t="shared" ca="1" si="113"/>
        <v>23.3</v>
      </c>
      <c r="W128" s="439">
        <f t="shared" ca="1" si="114"/>
        <v>42.52</v>
      </c>
      <c r="X128" s="439">
        <f t="shared" ca="1" si="115"/>
        <v>46.5</v>
      </c>
      <c r="Y128" s="439">
        <f t="shared" ca="1" si="116"/>
        <v>50.3</v>
      </c>
      <c r="Z128" s="439">
        <f t="shared" ca="1" si="117"/>
        <v>46.72</v>
      </c>
      <c r="AA128" s="439">
        <f t="shared" ca="1" si="118"/>
        <v>24.3</v>
      </c>
      <c r="AB128" s="439">
        <f t="shared" ca="1" si="119"/>
        <v>42.18</v>
      </c>
      <c r="AC128" s="439">
        <f t="shared" ca="1" si="120"/>
        <v>45.27</v>
      </c>
      <c r="AD128" s="439">
        <f t="shared" ca="1" si="121"/>
        <v>52.49</v>
      </c>
      <c r="AE128" s="439">
        <f t="shared" ca="1" si="122"/>
        <v>47.18</v>
      </c>
      <c r="AF128" s="439">
        <f t="shared" ca="1" si="123"/>
        <v>22</v>
      </c>
      <c r="AG128" s="439">
        <f t="shared" ca="1" si="124"/>
        <v>28.34</v>
      </c>
      <c r="AH128" s="439">
        <f t="shared" ca="1" si="125"/>
        <v>29.34</v>
      </c>
      <c r="AI128" s="439">
        <f t="shared" ca="1" si="126"/>
        <v>32.49</v>
      </c>
      <c r="AJ128" s="439">
        <f t="shared" ca="1" si="127"/>
        <v>26.84</v>
      </c>
      <c r="AK128" s="439">
        <f t="shared" ca="1" si="128"/>
        <v>12.39</v>
      </c>
      <c r="AL128" s="439">
        <f t="shared" ca="1" si="129"/>
        <v>1.254</v>
      </c>
      <c r="AM128" s="439">
        <f t="shared" ca="1" si="130"/>
        <v>1.3089999999999999</v>
      </c>
      <c r="AN128" s="439">
        <f t="shared" ca="1" si="131"/>
        <v>1.1639999999999999</v>
      </c>
      <c r="AO128" s="439">
        <f t="shared" ca="1" si="132"/>
        <v>0.54500000000000004</v>
      </c>
      <c r="AP128" s="439">
        <f t="shared" ca="1" si="133"/>
        <v>1.145</v>
      </c>
      <c r="AQ128" s="439">
        <f t="shared" ca="1" si="134"/>
        <v>1.254</v>
      </c>
      <c r="AR128" s="439">
        <f t="shared" ca="1" si="135"/>
        <v>1.089</v>
      </c>
      <c r="AS128" s="439">
        <f t="shared" ca="1" si="136"/>
        <v>0.54900000000000004</v>
      </c>
      <c r="AT128" s="439">
        <f t="shared" ca="1" si="137"/>
        <v>4.9400000000000004</v>
      </c>
      <c r="AU128" s="439">
        <f t="shared" ca="1" si="138"/>
        <v>5.23</v>
      </c>
      <c r="AV128" s="439">
        <f t="shared" ca="1" si="139"/>
        <v>5.07</v>
      </c>
      <c r="AW128" s="439">
        <f t="shared" ca="1" si="140"/>
        <v>2.3199999999999998</v>
      </c>
    </row>
    <row r="129" spans="1:49" ht="15.75" x14ac:dyDescent="0.25">
      <c r="A129" s="437" t="str">
        <f>INDEX(Оглавление, ROW())</f>
        <v>[Цены на приграничных АЗС 2017-2020 (7138827 v1).XLSM]Цены на 16.12.2019</v>
      </c>
      <c r="B129" s="438">
        <f t="shared" ca="1" si="90"/>
        <v>43814</v>
      </c>
      <c r="C129" s="439">
        <f t="shared" ca="1" si="94"/>
        <v>8.9405999999999999</v>
      </c>
      <c r="D129" s="439">
        <f t="shared" ca="1" si="95"/>
        <v>2.1008</v>
      </c>
      <c r="E129" s="439">
        <f t="shared" ca="1" si="96"/>
        <v>2.347</v>
      </c>
      <c r="F129" s="439">
        <f t="shared" ca="1" si="97"/>
        <v>5.4946999999999999</v>
      </c>
      <c r="G129" s="439">
        <f t="shared" ca="1" si="98"/>
        <v>3.3592</v>
      </c>
      <c r="H129" s="439">
        <f t="shared" ca="1" si="99"/>
        <v>1.62</v>
      </c>
      <c r="I129" s="439">
        <f t="shared" ca="1" si="100"/>
        <v>1.72</v>
      </c>
      <c r="J129" s="439">
        <f t="shared" ca="1" si="101"/>
        <v>1.85</v>
      </c>
      <c r="K129" s="439">
        <f t="shared" ca="1" si="102"/>
        <v>1.72</v>
      </c>
      <c r="L129" s="439">
        <f t="shared" ca="1" si="103"/>
        <v>0.91</v>
      </c>
      <c r="M129" s="439">
        <f t="shared" ca="1" si="104"/>
        <v>42.38</v>
      </c>
      <c r="N129" s="439">
        <f t="shared" ca="1" si="105"/>
        <v>46.49</v>
      </c>
      <c r="O129" s="439">
        <f t="shared" ca="1" si="106"/>
        <v>51.49</v>
      </c>
      <c r="P129" s="439">
        <f t="shared" ca="1" si="107"/>
        <v>47.12</v>
      </c>
      <c r="Q129" s="439">
        <f t="shared" ca="1" si="108"/>
        <v>23.36</v>
      </c>
      <c r="R129" s="439">
        <f t="shared" ca="1" si="109"/>
        <v>42.13</v>
      </c>
      <c r="S129" s="439">
        <f t="shared" ca="1" si="110"/>
        <v>45.31</v>
      </c>
      <c r="T129" s="439">
        <f t="shared" ca="1" si="111"/>
        <v>51.25</v>
      </c>
      <c r="U129" s="439">
        <f t="shared" ca="1" si="112"/>
        <v>46.7</v>
      </c>
      <c r="V129" s="439">
        <f t="shared" ca="1" si="113"/>
        <v>23.3</v>
      </c>
      <c r="W129" s="439">
        <f t="shared" ca="1" si="114"/>
        <v>42.52</v>
      </c>
      <c r="X129" s="439">
        <f t="shared" ca="1" si="115"/>
        <v>46.5</v>
      </c>
      <c r="Y129" s="439">
        <f t="shared" ca="1" si="116"/>
        <v>50.59</v>
      </c>
      <c r="Z129" s="439">
        <f t="shared" ca="1" si="117"/>
        <v>46.73</v>
      </c>
      <c r="AA129" s="439">
        <f t="shared" ca="1" si="118"/>
        <v>24.3</v>
      </c>
      <c r="AB129" s="439">
        <f t="shared" ca="1" si="119"/>
        <v>42</v>
      </c>
      <c r="AC129" s="439">
        <f t="shared" ca="1" si="120"/>
        <v>45.02</v>
      </c>
      <c r="AD129" s="439">
        <f t="shared" ca="1" si="121"/>
        <v>52.49</v>
      </c>
      <c r="AE129" s="439">
        <f t="shared" ca="1" si="122"/>
        <v>47.1</v>
      </c>
      <c r="AF129" s="439">
        <f t="shared" ca="1" si="123"/>
        <v>22.78</v>
      </c>
      <c r="AG129" s="439">
        <f t="shared" ca="1" si="124"/>
        <v>27.74</v>
      </c>
      <c r="AH129" s="439">
        <f t="shared" ca="1" si="125"/>
        <v>29.04</v>
      </c>
      <c r="AI129" s="439">
        <f t="shared" ca="1" si="126"/>
        <v>32.14</v>
      </c>
      <c r="AJ129" s="439">
        <f t="shared" ca="1" si="127"/>
        <v>26.84</v>
      </c>
      <c r="AK129" s="439">
        <f t="shared" ca="1" si="128"/>
        <v>12.49</v>
      </c>
      <c r="AL129" s="439">
        <f t="shared" ca="1" si="129"/>
        <v>1.244</v>
      </c>
      <c r="AM129" s="439">
        <f t="shared" ca="1" si="130"/>
        <v>1.2989999999999999</v>
      </c>
      <c r="AN129" s="439">
        <f t="shared" ca="1" si="131"/>
        <v>1.1739999999999999</v>
      </c>
      <c r="AO129" s="439">
        <f t="shared" ca="1" si="132"/>
        <v>0.53900000000000003</v>
      </c>
      <c r="AP129" s="439">
        <f t="shared" ca="1" si="133"/>
        <v>1.145</v>
      </c>
      <c r="AQ129" s="439">
        <f t="shared" ca="1" si="134"/>
        <v>1.254</v>
      </c>
      <c r="AR129" s="439">
        <f t="shared" ca="1" si="135"/>
        <v>1.089</v>
      </c>
      <c r="AS129" s="439">
        <f t="shared" ca="1" si="136"/>
        <v>0.55300000000000005</v>
      </c>
      <c r="AT129" s="439">
        <f t="shared" ca="1" si="137"/>
        <v>4.9400000000000004</v>
      </c>
      <c r="AU129" s="439">
        <f t="shared" ca="1" si="138"/>
        <v>5.14</v>
      </c>
      <c r="AV129" s="439">
        <f t="shared" ca="1" si="139"/>
        <v>5.0599999999999996</v>
      </c>
      <c r="AW129" s="439">
        <f t="shared" ca="1" si="140"/>
        <v>2.37</v>
      </c>
    </row>
    <row r="130" spans="1:49" ht="15.75" x14ac:dyDescent="0.25">
      <c r="A130" s="437" t="str">
        <f>INDEX(Оглавление, ROW())</f>
        <v>[Цены на приграничных АЗС 2017-2020 (7138827 v1).XLSM]Цены на 23.12.2019</v>
      </c>
      <c r="B130" s="438">
        <f t="shared" ca="1" si="90"/>
        <v>43814</v>
      </c>
      <c r="C130" s="439">
        <f t="shared" ca="1" si="94"/>
        <v>9.0028000000000006</v>
      </c>
      <c r="D130" s="439">
        <f t="shared" ca="1" si="95"/>
        <v>2.0996999999999999</v>
      </c>
      <c r="E130" s="439">
        <f t="shared" ca="1" si="96"/>
        <v>2.3346</v>
      </c>
      <c r="F130" s="439">
        <f t="shared" ca="1" si="97"/>
        <v>5.4797000000000002</v>
      </c>
      <c r="G130" s="439">
        <f t="shared" ca="1" si="98"/>
        <v>3.3687999999999998</v>
      </c>
      <c r="H130" s="439">
        <f t="shared" ref="H130:H178" ca="1" si="141">INDIRECT("'"&amp;$A130&amp;"'"&amp;"!$b$20")</f>
        <v>1.63</v>
      </c>
      <c r="I130" s="439">
        <f t="shared" ref="I130:I178" ca="1" si="142">INDIRECT("'"&amp;$A130&amp;"'"&amp;"!$e$20")</f>
        <v>1.73</v>
      </c>
      <c r="J130" s="439">
        <f t="shared" ref="J130:J178" ca="1" si="143">INDIRECT("'"&amp;$A130&amp;"'"&amp;"!$h$20")</f>
        <v>1.86</v>
      </c>
      <c r="K130" s="439">
        <f t="shared" ref="K130:K178" ca="1" si="144">INDIRECT("'"&amp;$A130&amp;"'"&amp;"!$k$20")</f>
        <v>1.73</v>
      </c>
      <c r="L130" s="439">
        <f t="shared" ref="L130:L178" ca="1" si="145">INDIRECT("'"&amp;$A130&amp;"'"&amp;"!$n$20")</f>
        <v>0.92</v>
      </c>
      <c r="M130" s="439">
        <f t="shared" ref="M130:M178" ca="1" si="146">INDIRECT("'"&amp;$A130&amp;"'"&amp;"!$b$21")</f>
        <v>42.4</v>
      </c>
      <c r="N130" s="439">
        <f t="shared" ref="N130:N178" ca="1" si="147">INDIRECT("'"&amp;$A130&amp;"'"&amp;"!$e$21")</f>
        <v>46.52</v>
      </c>
      <c r="O130" s="439">
        <f t="shared" ref="O130:O178" ca="1" si="148">INDIRECT("'"&amp;$A130&amp;"'"&amp;"!$h$21")</f>
        <v>51.49</v>
      </c>
      <c r="P130" s="439">
        <f t="shared" ref="P130:P178" ca="1" si="149">INDIRECT("'"&amp;$A130&amp;"'"&amp;"!$k$21")</f>
        <v>47.02</v>
      </c>
      <c r="Q130" s="439">
        <f t="shared" ref="Q130:Q178" ca="1" si="150">INDIRECT("'"&amp;$A130&amp;"'"&amp;"!$n$21")</f>
        <v>23.79</v>
      </c>
      <c r="R130" s="439">
        <f t="shared" ref="R130:R178" ca="1" si="151">INDIRECT("'"&amp;$A130&amp;"'"&amp;"!$b$22")</f>
        <v>42.14</v>
      </c>
      <c r="S130" s="439">
        <f t="shared" ref="S130:S178" ca="1" si="152">INDIRECT("'"&amp;$A130&amp;"'"&amp;"!$e$22")</f>
        <v>45.24</v>
      </c>
      <c r="T130" s="439">
        <f t="shared" ref="T130:T178" ca="1" si="153">INDIRECT("'"&amp;$A130&amp;"'"&amp;"!$h$22")</f>
        <v>51.25</v>
      </c>
      <c r="U130" s="439">
        <f t="shared" ref="U130:U178" ca="1" si="154">INDIRECT("'"&amp;$A130&amp;"'"&amp;"!$k$22")</f>
        <v>46.62</v>
      </c>
      <c r="V130" s="439">
        <f t="shared" ref="V130:V178" ca="1" si="155">INDIRECT("'"&amp;$A130&amp;"'"&amp;"!$n$22")</f>
        <v>23.4</v>
      </c>
      <c r="W130" s="439">
        <f t="shared" ref="W130:W178" ca="1" si="156">INDIRECT("'"&amp;$A130&amp;"'"&amp;"!$b$23")</f>
        <v>42.52</v>
      </c>
      <c r="X130" s="439">
        <f t="shared" ref="X130:X178" ca="1" si="157">INDIRECT("'"&amp;$A130&amp;"'"&amp;"!$e$23")</f>
        <v>46.51</v>
      </c>
      <c r="Y130" s="439">
        <f t="shared" ref="Y130:Y178" ca="1" si="158">INDIRECT("'"&amp;$A130&amp;"'"&amp;"!$h$23")</f>
        <v>50.6</v>
      </c>
      <c r="Z130" s="439">
        <f t="shared" ref="Z130:Z178" ca="1" si="159">INDIRECT("'"&amp;$A130&amp;"'"&amp;"!$k$23")</f>
        <v>46.72</v>
      </c>
      <c r="AA130" s="439">
        <f t="shared" ref="AA130:AA178" ca="1" si="160">INDIRECT("'"&amp;$A130&amp;"'"&amp;"!$n$23")</f>
        <v>24.3</v>
      </c>
      <c r="AB130" s="439">
        <f t="shared" ref="AB130:AB178" ca="1" si="161">INDIRECT("'"&amp;$A130&amp;"'"&amp;"!$b$24")</f>
        <v>42</v>
      </c>
      <c r="AC130" s="439">
        <f t="shared" ref="AC130:AC178" ca="1" si="162">INDIRECT("'"&amp;$A130&amp;"'"&amp;"!$e$24")</f>
        <v>45.02</v>
      </c>
      <c r="AD130" s="439">
        <f t="shared" ref="AD130:AD178" ca="1" si="163">INDIRECT("'"&amp;$A130&amp;"'"&amp;"!$h$24")</f>
        <v>52.49</v>
      </c>
      <c r="AE130" s="439">
        <f t="shared" ref="AE130:AE178" ca="1" si="164">INDIRECT("'"&amp;$A130&amp;"'"&amp;"!$k$24")</f>
        <v>47.1</v>
      </c>
      <c r="AF130" s="439">
        <f t="shared" ref="AF130:AF178" ca="1" si="165">INDIRECT("'"&amp;$A130&amp;"'"&amp;"!$n$24")</f>
        <v>22.78</v>
      </c>
      <c r="AG130" s="439">
        <f t="shared" ref="AG130:AG178" ca="1" si="166">INDIRECT("'"&amp;$A130&amp;"'"&amp;"!$b$25")</f>
        <v>26.59</v>
      </c>
      <c r="AH130" s="439">
        <f t="shared" ref="AH130:AH178" ca="1" si="167">INDIRECT("'"&amp;$A130&amp;"'"&amp;"!$e$25")</f>
        <v>27.84</v>
      </c>
      <c r="AI130" s="439">
        <f t="shared" ref="AI130:AI178" ca="1" si="168">INDIRECT("'"&amp;$A130&amp;"'"&amp;"!$h$25")</f>
        <v>31.74</v>
      </c>
      <c r="AJ130" s="439">
        <f t="shared" ref="AJ130:AJ178" ca="1" si="169">INDIRECT("'"&amp;$A130&amp;"'"&amp;"!$k$25")</f>
        <v>25.74</v>
      </c>
      <c r="AK130" s="439">
        <f t="shared" ref="AK130:AK178" ca="1" si="170">INDIRECT("'"&amp;$A130&amp;"'"&amp;"!$n$25")</f>
        <v>12.59</v>
      </c>
      <c r="AL130" s="439">
        <f t="shared" ref="AL130:AL178" ca="1" si="171">INDIRECT("'"&amp;$A130&amp;"'"&amp;"!$e$26")</f>
        <v>1.254</v>
      </c>
      <c r="AM130" s="439">
        <f t="shared" ref="AM130:AM178" ca="1" si="172">INDIRECT("'"&amp;$A130&amp;"'"&amp;"!$h$26")</f>
        <v>1.3089999999999999</v>
      </c>
      <c r="AN130" s="439">
        <f t="shared" ref="AN130:AN178" ca="1" si="173">INDIRECT("'"&amp;$A130&amp;"'"&amp;"!$k$26")</f>
        <v>1.1839999999999999</v>
      </c>
      <c r="AO130" s="439">
        <f t="shared" ref="AO130:AO178" ca="1" si="174">INDIRECT("'"&amp;$A130&amp;"'"&amp;"!$n$26")</f>
        <v>0.53900000000000003</v>
      </c>
      <c r="AP130" s="439">
        <f t="shared" ref="AP130:AP178" ca="1" si="175">INDIRECT("'"&amp;$A130&amp;"'"&amp;"!$e$27")</f>
        <v>1.151</v>
      </c>
      <c r="AQ130" s="439">
        <f t="shared" ref="AQ130:AQ178" ca="1" si="176">INDIRECT("'"&amp;$A130&amp;"'"&amp;"!$h$27")</f>
        <v>1.254</v>
      </c>
      <c r="AR130" s="439">
        <f t="shared" ref="AR130:AR178" ca="1" si="177">INDIRECT("'"&amp;$A130&amp;"'"&amp;"!$k$27")</f>
        <v>1.089</v>
      </c>
      <c r="AS130" s="439">
        <f t="shared" ref="AS130:AS178" ca="1" si="178">INDIRECT("'"&amp;$A130&amp;"'"&amp;"!$n$27")</f>
        <v>0.58299999999999996</v>
      </c>
      <c r="AT130" s="439">
        <f t="shared" ref="AT130:AT178" ca="1" si="179">INDIRECT("'"&amp;$A130&amp;"'"&amp;"!$e$28")</f>
        <v>4.9400000000000004</v>
      </c>
      <c r="AU130" s="439">
        <f t="shared" ref="AU130:AU178" ca="1" si="180">INDIRECT("'"&amp;$A130&amp;"'"&amp;"!$h$28")</f>
        <v>5.24</v>
      </c>
      <c r="AV130" s="439">
        <f t="shared" ref="AV130:AV178" ca="1" si="181">INDIRECT("'"&amp;$A130&amp;"'"&amp;"!$k$28")</f>
        <v>5.0999999999999996</v>
      </c>
      <c r="AW130" s="439">
        <f t="shared" ref="AW130:AW178" ca="1" si="182">INDIRECT("'"&amp;$A130&amp;"'"&amp;"!$n$28")</f>
        <v>2.39</v>
      </c>
    </row>
    <row r="131" spans="1:49" ht="15.75" x14ac:dyDescent="0.25">
      <c r="A131" s="437" t="str">
        <f>INDEX(Оглавление, ROW())</f>
        <v>[Цены на приграничных АЗС 2017-2020 (7138827 v1).XLSM]Цены на 30.12.2019</v>
      </c>
      <c r="B131" s="438">
        <f t="shared" ref="B131:B178" ca="1" si="183">INDIRECT("'"&amp;A131&amp;"'"&amp;"!D2")</f>
        <v>43829</v>
      </c>
      <c r="C131" s="439">
        <f t="shared" ca="1" si="94"/>
        <v>8.8826000000000001</v>
      </c>
      <c r="D131" s="439">
        <f t="shared" ca="1" si="95"/>
        <v>2.1065</v>
      </c>
      <c r="E131" s="439">
        <f t="shared" ca="1" si="96"/>
        <v>2.3433000000000002</v>
      </c>
      <c r="F131" s="439">
        <f t="shared" ca="1" si="97"/>
        <v>5.5030000000000001</v>
      </c>
      <c r="G131" s="439">
        <f t="shared" ca="1" si="98"/>
        <v>3.3984999999999999</v>
      </c>
      <c r="H131" s="439">
        <f t="shared" ca="1" si="141"/>
        <v>1.64</v>
      </c>
      <c r="I131" s="439">
        <f t="shared" ca="1" si="142"/>
        <v>1.74</v>
      </c>
      <c r="J131" s="439">
        <f t="shared" ca="1" si="143"/>
        <v>1.87</v>
      </c>
      <c r="K131" s="439">
        <f t="shared" ca="1" si="144"/>
        <v>1.74</v>
      </c>
      <c r="L131" s="439">
        <f t="shared" ca="1" si="145"/>
        <v>0.92</v>
      </c>
      <c r="M131" s="439">
        <f t="shared" ca="1" si="146"/>
        <v>42.43</v>
      </c>
      <c r="N131" s="439">
        <f t="shared" ca="1" si="147"/>
        <v>46.58</v>
      </c>
      <c r="O131" s="439">
        <f t="shared" ca="1" si="148"/>
        <v>51.49</v>
      </c>
      <c r="P131" s="439">
        <f t="shared" ca="1" si="149"/>
        <v>47.12</v>
      </c>
      <c r="Q131" s="439">
        <f t="shared" ca="1" si="150"/>
        <v>23.93</v>
      </c>
      <c r="R131" s="439">
        <f t="shared" ca="1" si="151"/>
        <v>42.37</v>
      </c>
      <c r="S131" s="439">
        <f t="shared" ca="1" si="152"/>
        <v>45.48</v>
      </c>
      <c r="T131" s="439">
        <f t="shared" ca="1" si="153"/>
        <v>51.25</v>
      </c>
      <c r="U131" s="439">
        <f t="shared" ca="1" si="154"/>
        <v>46.87</v>
      </c>
      <c r="V131" s="439">
        <f t="shared" ca="1" si="155"/>
        <v>23.3</v>
      </c>
      <c r="W131" s="439">
        <f t="shared" ca="1" si="156"/>
        <v>42.77</v>
      </c>
      <c r="X131" s="439">
        <f t="shared" ca="1" si="157"/>
        <v>46.02</v>
      </c>
      <c r="Y131" s="439">
        <f t="shared" ca="1" si="158"/>
        <v>50.6</v>
      </c>
      <c r="Z131" s="439">
        <f t="shared" ca="1" si="159"/>
        <v>46.94</v>
      </c>
      <c r="AA131" s="439">
        <f t="shared" ca="1" si="160"/>
        <v>24.3</v>
      </c>
      <c r="AB131" s="439">
        <f t="shared" ca="1" si="161"/>
        <v>42.04</v>
      </c>
      <c r="AC131" s="439">
        <f t="shared" ca="1" si="162"/>
        <v>45.05</v>
      </c>
      <c r="AD131" s="439">
        <f t="shared" ca="1" si="163"/>
        <v>52.49</v>
      </c>
      <c r="AE131" s="439">
        <f t="shared" ca="1" si="164"/>
        <v>47.8</v>
      </c>
      <c r="AF131" s="439">
        <f t="shared" ca="1" si="165"/>
        <v>22.8</v>
      </c>
      <c r="AG131" s="439">
        <f t="shared" ca="1" si="166"/>
        <v>26.04</v>
      </c>
      <c r="AH131" s="439">
        <f t="shared" ca="1" si="167"/>
        <v>27.69</v>
      </c>
      <c r="AI131" s="439">
        <f t="shared" ca="1" si="168"/>
        <v>31.04</v>
      </c>
      <c r="AJ131" s="439">
        <f t="shared" ca="1" si="169"/>
        <v>25.74</v>
      </c>
      <c r="AK131" s="439">
        <f t="shared" ca="1" si="170"/>
        <v>12.59</v>
      </c>
      <c r="AL131" s="439">
        <f t="shared" ca="1" si="171"/>
        <v>1.2749999999999999</v>
      </c>
      <c r="AM131" s="439">
        <f t="shared" ca="1" si="172"/>
        <v>1.33</v>
      </c>
      <c r="AN131" s="439">
        <f t="shared" ca="1" si="173"/>
        <v>1.194</v>
      </c>
      <c r="AO131" s="439">
        <f t="shared" ca="1" si="174"/>
        <v>0.54900000000000004</v>
      </c>
      <c r="AP131" s="439">
        <f t="shared" ca="1" si="175"/>
        <v>1.129</v>
      </c>
      <c r="AQ131" s="439">
        <f t="shared" ca="1" si="176"/>
        <v>1.2350000000000001</v>
      </c>
      <c r="AR131" s="439">
        <f t="shared" ca="1" si="177"/>
        <v>1.079</v>
      </c>
      <c r="AS131" s="439">
        <f t="shared" ca="1" si="178"/>
        <v>0.58299999999999996</v>
      </c>
      <c r="AT131" s="439">
        <f t="shared" ca="1" si="179"/>
        <v>4.97</v>
      </c>
      <c r="AU131" s="439">
        <f t="shared" ca="1" si="180"/>
        <v>5.17</v>
      </c>
      <c r="AV131" s="439">
        <f t="shared" ca="1" si="181"/>
        <v>5.12</v>
      </c>
      <c r="AW131" s="439">
        <f t="shared" ca="1" si="182"/>
        <v>2.37</v>
      </c>
    </row>
    <row r="132" spans="1:49" ht="15.75" x14ac:dyDescent="0.25">
      <c r="A132" s="437" t="str">
        <f>INDEX(Оглавление, ROW())</f>
        <v>[Цены на приграничных АЗС 2017-2020 (7138827 v1).XLSM]Цены на 08.01.2020</v>
      </c>
      <c r="B132" s="438">
        <f t="shared" ca="1" si="183"/>
        <v>43838</v>
      </c>
      <c r="C132" s="439">
        <f t="shared" ca="1" si="94"/>
        <v>8.8909000000000002</v>
      </c>
      <c r="D132" s="439">
        <f t="shared" ca="1" si="95"/>
        <v>2.1097999999999999</v>
      </c>
      <c r="E132" s="439">
        <f t="shared" ca="1" si="96"/>
        <v>2.3567999999999998</v>
      </c>
      <c r="F132" s="439">
        <f t="shared" ca="1" si="97"/>
        <v>5.5484999999999998</v>
      </c>
      <c r="G132" s="439">
        <f t="shared" ca="1" si="98"/>
        <v>3.3995000000000002</v>
      </c>
      <c r="H132" s="439">
        <f t="shared" ca="1" si="141"/>
        <v>1.65</v>
      </c>
      <c r="I132" s="439">
        <f t="shared" ca="1" si="142"/>
        <v>1.75</v>
      </c>
      <c r="J132" s="439">
        <f t="shared" ca="1" si="143"/>
        <v>1.88</v>
      </c>
      <c r="K132" s="439">
        <f t="shared" ca="1" si="144"/>
        <v>1.75</v>
      </c>
      <c r="L132" s="439">
        <f t="shared" ca="1" si="145"/>
        <v>0.92</v>
      </c>
      <c r="M132" s="439">
        <f t="shared" ca="1" si="146"/>
        <v>42.49</v>
      </c>
      <c r="N132" s="439">
        <f t="shared" ca="1" si="147"/>
        <v>46.7</v>
      </c>
      <c r="O132" s="439">
        <f t="shared" ca="1" si="148"/>
        <v>51.49</v>
      </c>
      <c r="P132" s="439">
        <f t="shared" ca="1" si="149"/>
        <v>47.1</v>
      </c>
      <c r="Q132" s="439">
        <f t="shared" ca="1" si="150"/>
        <v>23.96</v>
      </c>
      <c r="R132" s="439">
        <f t="shared" ca="1" si="151"/>
        <v>42.25</v>
      </c>
      <c r="S132" s="439">
        <f t="shared" ca="1" si="152"/>
        <v>45.44</v>
      </c>
      <c r="T132" s="439">
        <f t="shared" ca="1" si="153"/>
        <v>51.25</v>
      </c>
      <c r="U132" s="439">
        <f t="shared" ca="1" si="154"/>
        <v>46.87</v>
      </c>
      <c r="V132" s="439">
        <f t="shared" ca="1" si="155"/>
        <v>23.4</v>
      </c>
      <c r="W132" s="439">
        <f t="shared" ca="1" si="156"/>
        <v>42.75</v>
      </c>
      <c r="X132" s="439">
        <f t="shared" ca="1" si="157"/>
        <v>46</v>
      </c>
      <c r="Y132" s="439">
        <f t="shared" ca="1" si="158"/>
        <v>50.6</v>
      </c>
      <c r="Z132" s="439">
        <f t="shared" ca="1" si="159"/>
        <v>46.91</v>
      </c>
      <c r="AA132" s="439">
        <f t="shared" ca="1" si="160"/>
        <v>23.75</v>
      </c>
      <c r="AB132" s="439">
        <f t="shared" ca="1" si="161"/>
        <v>42.06</v>
      </c>
      <c r="AC132" s="439">
        <f t="shared" ca="1" si="162"/>
        <v>45.11</v>
      </c>
      <c r="AD132" s="439">
        <f t="shared" ca="1" si="163"/>
        <v>52.49</v>
      </c>
      <c r="AE132" s="439">
        <f t="shared" ca="1" si="164"/>
        <v>48.17</v>
      </c>
      <c r="AF132" s="439">
        <f t="shared" ca="1" si="165"/>
        <v>23</v>
      </c>
      <c r="AG132" s="439">
        <f t="shared" ca="1" si="166"/>
        <v>26.04</v>
      </c>
      <c r="AH132" s="439">
        <f t="shared" ca="1" si="167"/>
        <v>27.44</v>
      </c>
      <c r="AI132" s="439">
        <f t="shared" ca="1" si="168"/>
        <v>30.79</v>
      </c>
      <c r="AJ132" s="439">
        <f t="shared" ca="1" si="169"/>
        <v>25.74</v>
      </c>
      <c r="AK132" s="439">
        <f t="shared" ca="1" si="170"/>
        <v>12.59</v>
      </c>
      <c r="AL132" s="439">
        <f t="shared" ca="1" si="171"/>
        <v>1.304</v>
      </c>
      <c r="AM132" s="439">
        <f t="shared" ca="1" si="172"/>
        <v>1.3420000000000001</v>
      </c>
      <c r="AN132" s="439">
        <f t="shared" ca="1" si="173"/>
        <v>1.234</v>
      </c>
      <c r="AO132" s="439">
        <f t="shared" ca="1" si="174"/>
        <v>0.57699999999999996</v>
      </c>
      <c r="AP132" s="439">
        <f t="shared" ca="1" si="175"/>
        <v>1.2250000000000001</v>
      </c>
      <c r="AQ132" s="439">
        <f t="shared" ca="1" si="176"/>
        <v>1.294</v>
      </c>
      <c r="AR132" s="439">
        <f t="shared" ca="1" si="177"/>
        <v>1.155</v>
      </c>
      <c r="AS132" s="439">
        <f t="shared" ca="1" si="178"/>
        <v>0.59</v>
      </c>
      <c r="AT132" s="439">
        <f t="shared" ca="1" si="179"/>
        <v>4.96</v>
      </c>
      <c r="AU132" s="439">
        <f t="shared" ca="1" si="180"/>
        <v>5.21</v>
      </c>
      <c r="AV132" s="439">
        <f t="shared" ca="1" si="181"/>
        <v>5.2</v>
      </c>
      <c r="AW132" s="439">
        <f t="shared" ca="1" si="182"/>
        <v>2.38</v>
      </c>
    </row>
    <row r="133" spans="1:49" ht="15.75" x14ac:dyDescent="0.25">
      <c r="A133" s="437" t="str">
        <f>INDEX(Оглавление, ROW())</f>
        <v>[Цены на приграничных АЗС 2017-2020 (7138827 v1).XLSM]Цены на 13.01.2020</v>
      </c>
      <c r="B133" s="438">
        <f t="shared" ca="1" si="183"/>
        <v>43843</v>
      </c>
      <c r="C133" s="439">
        <f t="shared" ca="1" si="94"/>
        <v>8.8558000000000003</v>
      </c>
      <c r="D133" s="439">
        <f t="shared" ca="1" si="95"/>
        <v>2.1193</v>
      </c>
      <c r="E133" s="439">
        <f t="shared" ca="1" si="96"/>
        <v>2.3532000000000002</v>
      </c>
      <c r="F133" s="439">
        <f t="shared" ca="1" si="97"/>
        <v>5.5374999999999996</v>
      </c>
      <c r="G133" s="439">
        <f t="shared" ca="1" si="98"/>
        <v>3.4603000000000002</v>
      </c>
      <c r="H133" s="439">
        <f t="shared" ca="1" si="141"/>
        <v>1.66</v>
      </c>
      <c r="I133" s="439">
        <f t="shared" ca="1" si="142"/>
        <v>1.76</v>
      </c>
      <c r="J133" s="439">
        <f t="shared" ca="1" si="143"/>
        <v>1.89</v>
      </c>
      <c r="K133" s="439">
        <f t="shared" ca="1" si="144"/>
        <v>1.76</v>
      </c>
      <c r="L133" s="439">
        <f t="shared" ca="1" si="145"/>
        <v>0.93</v>
      </c>
      <c r="M133" s="439">
        <f t="shared" ca="1" si="146"/>
        <v>42.42</v>
      </c>
      <c r="N133" s="439">
        <f t="shared" ca="1" si="147"/>
        <v>46.64</v>
      </c>
      <c r="O133" s="439">
        <f t="shared" ca="1" si="148"/>
        <v>51.49</v>
      </c>
      <c r="P133" s="439">
        <f t="shared" ca="1" si="149"/>
        <v>47.06</v>
      </c>
      <c r="Q133" s="439">
        <f t="shared" ca="1" si="150"/>
        <v>23.96</v>
      </c>
      <c r="R133" s="439">
        <f t="shared" ca="1" si="151"/>
        <v>41.89</v>
      </c>
      <c r="S133" s="439">
        <f t="shared" ca="1" si="152"/>
        <v>45.09</v>
      </c>
      <c r="T133" s="439">
        <f t="shared" ca="1" si="153"/>
        <v>51.25</v>
      </c>
      <c r="U133" s="439">
        <f t="shared" ca="1" si="154"/>
        <v>47.81</v>
      </c>
      <c r="V133" s="439">
        <f t="shared" ca="1" si="155"/>
        <v>23.4</v>
      </c>
      <c r="W133" s="439">
        <f t="shared" ca="1" si="156"/>
        <v>42.35</v>
      </c>
      <c r="X133" s="439">
        <f t="shared" ca="1" si="157"/>
        <v>45.57</v>
      </c>
      <c r="Y133" s="439">
        <f t="shared" ca="1" si="158"/>
        <v>50.6</v>
      </c>
      <c r="Z133" s="439">
        <f t="shared" ca="1" si="159"/>
        <v>47.73</v>
      </c>
      <c r="AA133" s="439">
        <f t="shared" ca="1" si="160"/>
        <v>23.75</v>
      </c>
      <c r="AB133" s="439">
        <f t="shared" ca="1" si="161"/>
        <v>42.06</v>
      </c>
      <c r="AC133" s="439">
        <f t="shared" ca="1" si="162"/>
        <v>45.11</v>
      </c>
      <c r="AD133" s="439">
        <f t="shared" ca="1" si="163"/>
        <v>52.49</v>
      </c>
      <c r="AE133" s="439">
        <f t="shared" ca="1" si="164"/>
        <v>48.17</v>
      </c>
      <c r="AF133" s="439">
        <f t="shared" ca="1" si="165"/>
        <v>23</v>
      </c>
      <c r="AG133" s="439">
        <f t="shared" ca="1" si="166"/>
        <v>25.95</v>
      </c>
      <c r="AH133" s="439">
        <f t="shared" ca="1" si="167"/>
        <v>26.95</v>
      </c>
      <c r="AI133" s="439">
        <f t="shared" ca="1" si="168"/>
        <v>30.7</v>
      </c>
      <c r="AJ133" s="439">
        <f t="shared" ca="1" si="169"/>
        <v>26.63</v>
      </c>
      <c r="AK133" s="439">
        <f t="shared" ca="1" si="170"/>
        <v>12.39</v>
      </c>
      <c r="AL133" s="439">
        <f t="shared" ca="1" si="171"/>
        <v>1.3029999999999999</v>
      </c>
      <c r="AM133" s="439">
        <f t="shared" ca="1" si="172"/>
        <v>1.3580000000000001</v>
      </c>
      <c r="AN133" s="439">
        <f t="shared" ca="1" si="173"/>
        <v>1.2330000000000001</v>
      </c>
      <c r="AO133" s="439">
        <f t="shared" ca="1" si="174"/>
        <v>0.59699999999999998</v>
      </c>
      <c r="AP133" s="439">
        <f t="shared" ca="1" si="175"/>
        <v>1.2150000000000001</v>
      </c>
      <c r="AQ133" s="439">
        <f t="shared" ca="1" si="176"/>
        <v>1.294</v>
      </c>
      <c r="AR133" s="439">
        <f t="shared" ca="1" si="177"/>
        <v>1.155</v>
      </c>
      <c r="AS133" s="439">
        <f t="shared" ca="1" si="178"/>
        <v>0.59</v>
      </c>
      <c r="AT133" s="439">
        <f t="shared" ca="1" si="179"/>
        <v>4.97</v>
      </c>
      <c r="AU133" s="439">
        <f t="shared" ca="1" si="180"/>
        <v>5.26</v>
      </c>
      <c r="AV133" s="439">
        <f t="shared" ca="1" si="181"/>
        <v>5.22</v>
      </c>
      <c r="AW133" s="439">
        <f t="shared" ca="1" si="182"/>
        <v>2.39</v>
      </c>
    </row>
    <row r="134" spans="1:49" ht="15.75" x14ac:dyDescent="0.25">
      <c r="A134" s="437" t="str">
        <f>INDEX(Оглавление, ROW())</f>
        <v>[Цены на приграничных АЗС 2017-2020 (7138827 v1).XLSM]Цены на 20.01.2020</v>
      </c>
      <c r="B134" s="438">
        <f t="shared" ca="1" si="183"/>
        <v>43850</v>
      </c>
      <c r="C134" s="439">
        <f t="shared" ca="1" si="94"/>
        <v>8.7193000000000005</v>
      </c>
      <c r="D134" s="439">
        <f t="shared" ca="1" si="95"/>
        <v>2.1204999999999998</v>
      </c>
      <c r="E134" s="439">
        <f t="shared" ca="1" si="96"/>
        <v>2.3517999999999999</v>
      </c>
      <c r="F134" s="439">
        <f t="shared" ca="1" si="97"/>
        <v>5.5400999999999998</v>
      </c>
      <c r="G134" s="439">
        <f t="shared" ca="1" si="98"/>
        <v>3.4489000000000001</v>
      </c>
      <c r="H134" s="439">
        <f t="shared" ca="1" si="141"/>
        <v>1.67</v>
      </c>
      <c r="I134" s="439">
        <f t="shared" ca="1" si="142"/>
        <v>1.77</v>
      </c>
      <c r="J134" s="439">
        <f t="shared" ca="1" si="143"/>
        <v>1.9</v>
      </c>
      <c r="K134" s="439">
        <f t="shared" ca="1" si="144"/>
        <v>1.77</v>
      </c>
      <c r="L134" s="439">
        <f t="shared" ca="1" si="145"/>
        <v>0.93</v>
      </c>
      <c r="M134" s="439">
        <f t="shared" ca="1" si="146"/>
        <v>42.43</v>
      </c>
      <c r="N134" s="439">
        <f t="shared" ca="1" si="147"/>
        <v>46.62</v>
      </c>
      <c r="O134" s="439">
        <f t="shared" ca="1" si="148"/>
        <v>51.49</v>
      </c>
      <c r="P134" s="439">
        <f t="shared" ca="1" si="149"/>
        <v>47.12</v>
      </c>
      <c r="Q134" s="439">
        <f t="shared" ca="1" si="150"/>
        <v>23.97</v>
      </c>
      <c r="R134" s="439">
        <f t="shared" ca="1" si="151"/>
        <v>42.29</v>
      </c>
      <c r="S134" s="439">
        <f t="shared" ca="1" si="152"/>
        <v>45.43</v>
      </c>
      <c r="T134" s="439">
        <f t="shared" ca="1" si="153"/>
        <v>51.25</v>
      </c>
      <c r="U134" s="439">
        <f t="shared" ca="1" si="154"/>
        <v>46.89</v>
      </c>
      <c r="V134" s="439">
        <f t="shared" ca="1" si="155"/>
        <v>23.3</v>
      </c>
      <c r="W134" s="439">
        <f t="shared" ca="1" si="156"/>
        <v>42.75</v>
      </c>
      <c r="X134" s="439">
        <f t="shared" ca="1" si="157"/>
        <v>45.99</v>
      </c>
      <c r="Y134" s="439">
        <f t="shared" ca="1" si="158"/>
        <v>50.6</v>
      </c>
      <c r="Z134" s="439">
        <f t="shared" ca="1" si="159"/>
        <v>47.18</v>
      </c>
      <c r="AA134" s="439">
        <f t="shared" ca="1" si="160"/>
        <v>23.75</v>
      </c>
      <c r="AB134" s="439">
        <f t="shared" ca="1" si="161"/>
        <v>42.01</v>
      </c>
      <c r="AC134" s="439">
        <f t="shared" ca="1" si="162"/>
        <v>45.04</v>
      </c>
      <c r="AD134" s="439">
        <f t="shared" ca="1" si="163"/>
        <v>52.49</v>
      </c>
      <c r="AE134" s="439">
        <f t="shared" ca="1" si="164"/>
        <v>47.76</v>
      </c>
      <c r="AF134" s="439">
        <f t="shared" ca="1" si="165"/>
        <v>23</v>
      </c>
      <c r="AG134" s="439">
        <f t="shared" ca="1" si="166"/>
        <v>25.95</v>
      </c>
      <c r="AH134" s="439">
        <f t="shared" ca="1" si="167"/>
        <v>26.95</v>
      </c>
      <c r="AI134" s="439">
        <f t="shared" ca="1" si="168"/>
        <v>30.7</v>
      </c>
      <c r="AJ134" s="439">
        <f t="shared" ca="1" si="169"/>
        <v>26.6</v>
      </c>
      <c r="AK134" s="439">
        <f t="shared" ca="1" si="170"/>
        <v>12.39</v>
      </c>
      <c r="AL134" s="439">
        <f t="shared" ca="1" si="171"/>
        <v>1.296</v>
      </c>
      <c r="AM134" s="439">
        <f t="shared" ca="1" si="172"/>
        <v>1.3240000000000001</v>
      </c>
      <c r="AN134" s="439">
        <f t="shared" ca="1" si="173"/>
        <v>1.1990000000000001</v>
      </c>
      <c r="AO134" s="439">
        <f t="shared" ca="1" si="174"/>
        <v>0.59699999999999998</v>
      </c>
      <c r="AP134" s="439">
        <f t="shared" ca="1" si="175"/>
        <v>1.2150000000000001</v>
      </c>
      <c r="AQ134" s="439">
        <f t="shared" ca="1" si="176"/>
        <v>1.284</v>
      </c>
      <c r="AR134" s="439">
        <f t="shared" ca="1" si="177"/>
        <v>1.125</v>
      </c>
      <c r="AS134" s="439">
        <f t="shared" ca="1" si="178"/>
        <v>0.57299999999999995</v>
      </c>
      <c r="AT134" s="439">
        <f t="shared" ca="1" si="179"/>
        <v>4.96</v>
      </c>
      <c r="AU134" s="439">
        <f t="shared" ca="1" si="180"/>
        <v>5.17</v>
      </c>
      <c r="AV134" s="439">
        <f t="shared" ca="1" si="181"/>
        <v>5.2</v>
      </c>
      <c r="AW134" s="439">
        <f t="shared" ca="1" si="182"/>
        <v>2.36</v>
      </c>
    </row>
    <row r="135" spans="1:49" ht="15.75" x14ac:dyDescent="0.25">
      <c r="A135" s="437" t="str">
        <f>INDEX(Оглавление, ROW())</f>
        <v>[Цены на приграничных АЗС 2017-2020 (7138827 v1).XLSM]Цены на 27.01.2020</v>
      </c>
      <c r="B135" s="438">
        <f t="shared" ca="1" si="183"/>
        <v>43850</v>
      </c>
      <c r="C135" s="439">
        <f t="shared" ca="1" si="94"/>
        <v>8.6218000000000004</v>
      </c>
      <c r="D135" s="439">
        <f t="shared" ca="1" si="95"/>
        <v>2.1200999999999999</v>
      </c>
      <c r="E135" s="439">
        <f t="shared" ca="1" si="96"/>
        <v>2.339</v>
      </c>
      <c r="F135" s="439">
        <f t="shared" ca="1" si="97"/>
        <v>5.4751000000000003</v>
      </c>
      <c r="G135" s="439">
        <f t="shared" ca="1" si="98"/>
        <v>3.3982000000000001</v>
      </c>
      <c r="H135" s="439">
        <f t="shared" ca="1" si="141"/>
        <v>1.68</v>
      </c>
      <c r="I135" s="439">
        <f t="shared" ca="1" si="142"/>
        <v>1.78</v>
      </c>
      <c r="J135" s="439">
        <f t="shared" ca="1" si="143"/>
        <v>1.91</v>
      </c>
      <c r="K135" s="439">
        <f t="shared" ca="1" si="144"/>
        <v>1.78</v>
      </c>
      <c r="L135" s="439">
        <f t="shared" ca="1" si="145"/>
        <v>0.94</v>
      </c>
      <c r="M135" s="439">
        <f t="shared" ca="1" si="146"/>
        <v>42.42</v>
      </c>
      <c r="N135" s="439">
        <f t="shared" ca="1" si="147"/>
        <v>46.63</v>
      </c>
      <c r="O135" s="439">
        <f t="shared" ca="1" si="148"/>
        <v>51.49</v>
      </c>
      <c r="P135" s="439">
        <f t="shared" ca="1" si="149"/>
        <v>47.1</v>
      </c>
      <c r="Q135" s="439">
        <f t="shared" ca="1" si="150"/>
        <v>23.64</v>
      </c>
      <c r="R135" s="439">
        <f t="shared" ca="1" si="151"/>
        <v>42.28</v>
      </c>
      <c r="S135" s="439">
        <f t="shared" ca="1" si="152"/>
        <v>45.41</v>
      </c>
      <c r="T135" s="439">
        <f t="shared" ca="1" si="153"/>
        <v>51.25</v>
      </c>
      <c r="U135" s="439">
        <f t="shared" ca="1" si="154"/>
        <v>47.01</v>
      </c>
      <c r="V135" s="439">
        <f t="shared" ca="1" si="155"/>
        <v>23.3</v>
      </c>
      <c r="W135" s="439">
        <f t="shared" ca="1" si="156"/>
        <v>42.75</v>
      </c>
      <c r="X135" s="439">
        <f t="shared" ca="1" si="157"/>
        <v>45.99</v>
      </c>
      <c r="Y135" s="439">
        <f t="shared" ca="1" si="158"/>
        <v>50.8</v>
      </c>
      <c r="Z135" s="439">
        <f t="shared" ca="1" si="159"/>
        <v>47.37</v>
      </c>
      <c r="AA135" s="439">
        <f t="shared" ca="1" si="160"/>
        <v>23.75</v>
      </c>
      <c r="AB135" s="439">
        <f t="shared" ca="1" si="161"/>
        <v>42.02</v>
      </c>
      <c r="AC135" s="439">
        <f t="shared" ca="1" si="162"/>
        <v>44.94</v>
      </c>
      <c r="AD135" s="439">
        <f t="shared" ca="1" si="163"/>
        <v>52.49</v>
      </c>
      <c r="AE135" s="439">
        <f t="shared" ca="1" si="164"/>
        <v>47.72</v>
      </c>
      <c r="AF135" s="439">
        <f t="shared" ca="1" si="165"/>
        <v>22.25</v>
      </c>
      <c r="AG135" s="439">
        <f t="shared" ca="1" si="166"/>
        <v>25.95</v>
      </c>
      <c r="AH135" s="439">
        <f t="shared" ca="1" si="167"/>
        <v>26.95</v>
      </c>
      <c r="AI135" s="439">
        <f t="shared" ca="1" si="168"/>
        <v>30.64</v>
      </c>
      <c r="AJ135" s="439">
        <f t="shared" ca="1" si="169"/>
        <v>26.38</v>
      </c>
      <c r="AK135" s="439">
        <f t="shared" ca="1" si="170"/>
        <v>12.39</v>
      </c>
      <c r="AL135" s="439">
        <f t="shared" ca="1" si="171"/>
        <v>1.3120000000000001</v>
      </c>
      <c r="AM135" s="439">
        <f t="shared" ca="1" si="172"/>
        <v>1.367</v>
      </c>
      <c r="AN135" s="439">
        <f t="shared" ca="1" si="173"/>
        <v>1.242</v>
      </c>
      <c r="AO135" s="439">
        <f t="shared" ca="1" si="174"/>
        <v>0.59099999999999997</v>
      </c>
      <c r="AP135" s="439">
        <f t="shared" ca="1" si="175"/>
        <v>1.1990000000000001</v>
      </c>
      <c r="AQ135" s="439">
        <f t="shared" ca="1" si="176"/>
        <v>1.274</v>
      </c>
      <c r="AR135" s="439">
        <f t="shared" ca="1" si="177"/>
        <v>1.105</v>
      </c>
      <c r="AS135" s="439">
        <f t="shared" ca="1" si="178"/>
        <v>0.57299999999999995</v>
      </c>
      <c r="AT135" s="439">
        <f t="shared" ca="1" si="179"/>
        <v>4.93</v>
      </c>
      <c r="AU135" s="439">
        <f t="shared" ca="1" si="180"/>
        <v>5.18</v>
      </c>
      <c r="AV135" s="439">
        <f t="shared" ca="1" si="181"/>
        <v>5.14</v>
      </c>
      <c r="AW135" s="439">
        <f t="shared" ca="1" si="182"/>
        <v>2.33</v>
      </c>
    </row>
    <row r="136" spans="1:49" ht="15.75" x14ac:dyDescent="0.25">
      <c r="A136" s="437" t="str">
        <f>INDEX(Оглавление, ROW())</f>
        <v>[Цены на приграничных АЗС 2017-2020 (7138827 v1).XLSM]Цены на 03.02.2020</v>
      </c>
      <c r="B136" s="438">
        <f t="shared" ca="1" si="183"/>
        <v>43864</v>
      </c>
      <c r="C136" s="439">
        <f t="shared" ca="1" si="94"/>
        <v>8.5391999999999992</v>
      </c>
      <c r="D136" s="439">
        <f t="shared" ca="1" si="95"/>
        <v>2.1379999999999999</v>
      </c>
      <c r="E136" s="439">
        <f t="shared" ca="1" si="96"/>
        <v>2.3569</v>
      </c>
      <c r="F136" s="439">
        <f t="shared" ca="1" si="97"/>
        <v>5.4820000000000002</v>
      </c>
      <c r="G136" s="439">
        <f t="shared" ca="1" si="98"/>
        <v>3.3856999999999999</v>
      </c>
      <c r="H136" s="439">
        <f t="shared" ca="1" si="141"/>
        <v>1.69</v>
      </c>
      <c r="I136" s="439">
        <f t="shared" ca="1" si="142"/>
        <v>1.79</v>
      </c>
      <c r="J136" s="439">
        <f t="shared" ca="1" si="143"/>
        <v>1.92</v>
      </c>
      <c r="K136" s="439">
        <f t="shared" ca="1" si="144"/>
        <v>1.79</v>
      </c>
      <c r="L136" s="439">
        <f t="shared" ca="1" si="145"/>
        <v>0.94</v>
      </c>
      <c r="M136" s="439">
        <f t="shared" ca="1" si="146"/>
        <v>42.41</v>
      </c>
      <c r="N136" s="439">
        <f t="shared" ca="1" si="147"/>
        <v>46.65</v>
      </c>
      <c r="O136" s="439">
        <f t="shared" ca="1" si="148"/>
        <v>51.49</v>
      </c>
      <c r="P136" s="439">
        <f t="shared" ca="1" si="149"/>
        <v>47.06</v>
      </c>
      <c r="Q136" s="439">
        <f t="shared" ca="1" si="150"/>
        <v>23.44</v>
      </c>
      <c r="R136" s="439">
        <f t="shared" ca="1" si="151"/>
        <v>42.17</v>
      </c>
      <c r="S136" s="439">
        <f t="shared" ca="1" si="152"/>
        <v>45.43</v>
      </c>
      <c r="T136" s="439">
        <f t="shared" ca="1" si="153"/>
        <v>51.25</v>
      </c>
      <c r="U136" s="439">
        <f t="shared" ca="1" si="154"/>
        <v>47.23</v>
      </c>
      <c r="V136" s="439">
        <f t="shared" ca="1" si="155"/>
        <v>23.4</v>
      </c>
      <c r="W136" s="439">
        <f t="shared" ca="1" si="156"/>
        <v>42.92</v>
      </c>
      <c r="X136" s="439">
        <f t="shared" ca="1" si="157"/>
        <v>46.1</v>
      </c>
      <c r="Y136" s="439">
        <f t="shared" ca="1" si="158"/>
        <v>50.8</v>
      </c>
      <c r="Z136" s="439">
        <f t="shared" ca="1" si="159"/>
        <v>47.5</v>
      </c>
      <c r="AA136" s="439">
        <f t="shared" ca="1" si="160"/>
        <v>23.75</v>
      </c>
      <c r="AB136" s="439">
        <f t="shared" ca="1" si="161"/>
        <v>42.2</v>
      </c>
      <c r="AC136" s="439">
        <f t="shared" ca="1" si="162"/>
        <v>45.23</v>
      </c>
      <c r="AD136" s="439">
        <f t="shared" ca="1" si="163"/>
        <v>52.49</v>
      </c>
      <c r="AE136" s="439">
        <f t="shared" ca="1" si="164"/>
        <v>48.42</v>
      </c>
      <c r="AF136" s="439">
        <f t="shared" ca="1" si="165"/>
        <v>22.05</v>
      </c>
      <c r="AG136" s="439">
        <f t="shared" ca="1" si="166"/>
        <v>25.95</v>
      </c>
      <c r="AH136" s="439">
        <f t="shared" ca="1" si="167"/>
        <v>26.95</v>
      </c>
      <c r="AI136" s="439">
        <f t="shared" ca="1" si="168"/>
        <v>30.64</v>
      </c>
      <c r="AJ136" s="439">
        <f t="shared" ca="1" si="169"/>
        <v>26.38</v>
      </c>
      <c r="AK136" s="439">
        <f t="shared" ca="1" si="170"/>
        <v>12.29</v>
      </c>
      <c r="AL136" s="439">
        <f t="shared" ca="1" si="171"/>
        <v>1.2569999999999999</v>
      </c>
      <c r="AM136" s="439">
        <f t="shared" ca="1" si="172"/>
        <v>1.3120000000000001</v>
      </c>
      <c r="AN136" s="439">
        <f t="shared" ca="1" si="173"/>
        <v>1.1970000000000001</v>
      </c>
      <c r="AO136" s="439">
        <f t="shared" ca="1" si="174"/>
        <v>0.59099999999999997</v>
      </c>
      <c r="AP136" s="439">
        <f t="shared" ca="1" si="175"/>
        <v>1.2050000000000001</v>
      </c>
      <c r="AQ136" s="439">
        <f t="shared" ca="1" si="176"/>
        <v>1.274</v>
      </c>
      <c r="AR136" s="439">
        <f t="shared" ca="1" si="177"/>
        <v>1.105</v>
      </c>
      <c r="AS136" s="439">
        <f t="shared" ca="1" si="178"/>
        <v>0.53300000000000003</v>
      </c>
      <c r="AT136" s="439">
        <f t="shared" ca="1" si="179"/>
        <v>4.91</v>
      </c>
      <c r="AU136" s="439">
        <f t="shared" ca="1" si="180"/>
        <v>5.1100000000000003</v>
      </c>
      <c r="AV136" s="439">
        <f t="shared" ca="1" si="181"/>
        <v>5.13</v>
      </c>
      <c r="AW136" s="439">
        <f t="shared" ca="1" si="182"/>
        <v>2.3199999999999998</v>
      </c>
    </row>
    <row r="137" spans="1:49" ht="15.75" x14ac:dyDescent="0.25">
      <c r="A137" s="437" t="str">
        <f>INDEX(Оглавление, ROW())</f>
        <v>[Цены на приграничных АЗС 2017-2020 (7138827 v1).XLSM]Цены на 10.02.2020</v>
      </c>
      <c r="B137" s="438">
        <f t="shared" ca="1" si="183"/>
        <v>43871</v>
      </c>
      <c r="C137" s="439">
        <f t="shared" ca="1" si="94"/>
        <v>8.8689</v>
      </c>
      <c r="D137" s="439">
        <f t="shared" ca="1" si="95"/>
        <v>2.1762000000000001</v>
      </c>
      <c r="E137" s="439">
        <f t="shared" ca="1" si="96"/>
        <v>2.3856999999999999</v>
      </c>
      <c r="F137" s="439">
        <f t="shared" ca="1" si="97"/>
        <v>5.5861000000000001</v>
      </c>
      <c r="G137" s="439">
        <f t="shared" ca="1" si="98"/>
        <v>3.4268999999999998</v>
      </c>
      <c r="H137" s="439">
        <f t="shared" ca="1" si="141"/>
        <v>1.7</v>
      </c>
      <c r="I137" s="439">
        <f t="shared" ca="1" si="142"/>
        <v>1.8</v>
      </c>
      <c r="J137" s="439">
        <f t="shared" ca="1" si="143"/>
        <v>1.93</v>
      </c>
      <c r="K137" s="439">
        <f t="shared" ca="1" si="144"/>
        <v>1.8</v>
      </c>
      <c r="L137" s="439">
        <f t="shared" ca="1" si="145"/>
        <v>0.94</v>
      </c>
      <c r="M137" s="439">
        <f t="shared" ca="1" si="146"/>
        <v>42.42</v>
      </c>
      <c r="N137" s="439">
        <f t="shared" ca="1" si="147"/>
        <v>46.65</v>
      </c>
      <c r="O137" s="439">
        <f t="shared" ca="1" si="148"/>
        <v>51.49</v>
      </c>
      <c r="P137" s="439">
        <f t="shared" ca="1" si="149"/>
        <v>47.08</v>
      </c>
      <c r="Q137" s="439">
        <f t="shared" ca="1" si="150"/>
        <v>23.53</v>
      </c>
      <c r="R137" s="439">
        <f t="shared" ca="1" si="151"/>
        <v>42.1</v>
      </c>
      <c r="S137" s="439">
        <f t="shared" ca="1" si="152"/>
        <v>45.26</v>
      </c>
      <c r="T137" s="439">
        <f t="shared" ca="1" si="153"/>
        <v>51.25</v>
      </c>
      <c r="U137" s="439">
        <f t="shared" ca="1" si="154"/>
        <v>47.53</v>
      </c>
      <c r="V137" s="439">
        <f t="shared" ca="1" si="155"/>
        <v>23.3</v>
      </c>
      <c r="W137" s="439">
        <f t="shared" ca="1" si="156"/>
        <v>42.86</v>
      </c>
      <c r="X137" s="439">
        <f t="shared" ca="1" si="157"/>
        <v>46.03</v>
      </c>
      <c r="Y137" s="439">
        <f t="shared" ca="1" si="158"/>
        <v>50.8</v>
      </c>
      <c r="Z137" s="439">
        <f t="shared" ca="1" si="159"/>
        <v>47.51</v>
      </c>
      <c r="AA137" s="439">
        <f t="shared" ca="1" si="160"/>
        <v>23.75</v>
      </c>
      <c r="AB137" s="439">
        <f t="shared" ca="1" si="161"/>
        <v>42.03</v>
      </c>
      <c r="AC137" s="439">
        <f t="shared" ca="1" si="162"/>
        <v>45.01</v>
      </c>
      <c r="AD137" s="439">
        <f t="shared" ca="1" si="163"/>
        <v>52.49</v>
      </c>
      <c r="AE137" s="439">
        <f t="shared" ca="1" si="164"/>
        <v>47.91</v>
      </c>
      <c r="AF137" s="439">
        <f t="shared" ca="1" si="165"/>
        <v>22.25</v>
      </c>
      <c r="AG137" s="439">
        <f t="shared" ca="1" si="166"/>
        <v>25.79</v>
      </c>
      <c r="AH137" s="439">
        <f t="shared" ca="1" si="167"/>
        <v>27.44</v>
      </c>
      <c r="AI137" s="439">
        <f t="shared" ca="1" si="168"/>
        <v>30.64</v>
      </c>
      <c r="AJ137" s="439">
        <f t="shared" ca="1" si="169"/>
        <v>26.14</v>
      </c>
      <c r="AK137" s="439">
        <f t="shared" ca="1" si="170"/>
        <v>11.77</v>
      </c>
      <c r="AL137" s="439">
        <f t="shared" ca="1" si="171"/>
        <v>1.2170000000000001</v>
      </c>
      <c r="AM137" s="439">
        <f t="shared" ca="1" si="172"/>
        <v>1.272</v>
      </c>
      <c r="AN137" s="439">
        <f t="shared" ca="1" si="173"/>
        <v>1.157</v>
      </c>
      <c r="AO137" s="439">
        <f t="shared" ca="1" si="174"/>
        <v>0.59099999999999997</v>
      </c>
      <c r="AP137" s="439">
        <f t="shared" ca="1" si="175"/>
        <v>1.1890000000000001</v>
      </c>
      <c r="AQ137" s="439">
        <f t="shared" ca="1" si="176"/>
        <v>1.284</v>
      </c>
      <c r="AR137" s="439">
        <f t="shared" ca="1" si="177"/>
        <v>1.075</v>
      </c>
      <c r="AS137" s="439">
        <f t="shared" ca="1" si="178"/>
        <v>0.53300000000000003</v>
      </c>
      <c r="AT137" s="439">
        <f t="shared" ca="1" si="179"/>
        <v>4.9000000000000004</v>
      </c>
      <c r="AU137" s="439">
        <f t="shared" ca="1" si="180"/>
        <v>5.1100000000000003</v>
      </c>
      <c r="AV137" s="439">
        <f t="shared" ca="1" si="181"/>
        <v>5.0999999999999996</v>
      </c>
      <c r="AW137" s="439">
        <f t="shared" ca="1" si="182"/>
        <v>2.27</v>
      </c>
    </row>
    <row r="138" spans="1:49" ht="15.75" x14ac:dyDescent="0.25">
      <c r="A138" s="437" t="str">
        <f>INDEX(Оглавление, ROW())</f>
        <v>[Цены на приграничных АЗС 2017-2020 (7138827 v1).XLSM]Цены на 17.02.2020</v>
      </c>
      <c r="B138" s="438">
        <f t="shared" ca="1" si="183"/>
        <v>43878</v>
      </c>
      <c r="C138" s="439">
        <f t="shared" ca="1" si="94"/>
        <v>8.9922000000000004</v>
      </c>
      <c r="D138" s="439">
        <f t="shared" ca="1" si="95"/>
        <v>2.1985999999999999</v>
      </c>
      <c r="E138" s="439">
        <f t="shared" ca="1" si="96"/>
        <v>2.383</v>
      </c>
      <c r="F138" s="439">
        <f t="shared" ca="1" si="97"/>
        <v>5.6228999999999996</v>
      </c>
      <c r="G138" s="439">
        <f t="shared" ca="1" si="98"/>
        <v>3.4651000000000001</v>
      </c>
      <c r="H138" s="439">
        <f t="shared" ca="1" si="141"/>
        <v>1.71</v>
      </c>
      <c r="I138" s="439">
        <f t="shared" ca="1" si="142"/>
        <v>1.81</v>
      </c>
      <c r="J138" s="439">
        <f t="shared" ca="1" si="143"/>
        <v>1.94</v>
      </c>
      <c r="K138" s="439">
        <f t="shared" ca="1" si="144"/>
        <v>1.81</v>
      </c>
      <c r="L138" s="439">
        <f t="shared" ca="1" si="145"/>
        <v>0.95</v>
      </c>
      <c r="M138" s="439">
        <f t="shared" ca="1" si="146"/>
        <v>42.43</v>
      </c>
      <c r="N138" s="439">
        <f t="shared" ca="1" si="147"/>
        <v>46.65</v>
      </c>
      <c r="O138" s="439">
        <f t="shared" ca="1" si="148"/>
        <v>51.49</v>
      </c>
      <c r="P138" s="439">
        <f t="shared" ca="1" si="149"/>
        <v>47.13</v>
      </c>
      <c r="Q138" s="439">
        <f t="shared" ca="1" si="150"/>
        <v>22.99</v>
      </c>
      <c r="R138" s="439">
        <f t="shared" ca="1" si="151"/>
        <v>42.28</v>
      </c>
      <c r="S138" s="439">
        <f t="shared" ca="1" si="152"/>
        <v>45.41</v>
      </c>
      <c r="T138" s="439">
        <f t="shared" ca="1" si="153"/>
        <v>51.25</v>
      </c>
      <c r="U138" s="439">
        <f t="shared" ca="1" si="154"/>
        <v>47.03</v>
      </c>
      <c r="V138" s="439">
        <f t="shared" ca="1" si="155"/>
        <v>23.3</v>
      </c>
      <c r="W138" s="439">
        <f t="shared" ca="1" si="156"/>
        <v>42.87</v>
      </c>
      <c r="X138" s="439">
        <f t="shared" ca="1" si="157"/>
        <v>46.05</v>
      </c>
      <c r="Y138" s="439">
        <f t="shared" ca="1" si="158"/>
        <v>50.8</v>
      </c>
      <c r="Z138" s="439">
        <f t="shared" ca="1" si="159"/>
        <v>47.54</v>
      </c>
      <c r="AA138" s="439">
        <f t="shared" ca="1" si="160"/>
        <v>23.75</v>
      </c>
      <c r="AB138" s="439">
        <f t="shared" ca="1" si="161"/>
        <v>42.03</v>
      </c>
      <c r="AC138" s="439">
        <f t="shared" ca="1" si="162"/>
        <v>45.08</v>
      </c>
      <c r="AD138" s="439">
        <f t="shared" ca="1" si="163"/>
        <v>52.49</v>
      </c>
      <c r="AE138" s="439">
        <f t="shared" ca="1" si="164"/>
        <v>47.96</v>
      </c>
      <c r="AF138" s="439">
        <f t="shared" ca="1" si="165"/>
        <v>22.38</v>
      </c>
      <c r="AG138" s="439">
        <f t="shared" ca="1" si="166"/>
        <v>25.69</v>
      </c>
      <c r="AH138" s="439">
        <f t="shared" ca="1" si="167"/>
        <v>27.44</v>
      </c>
      <c r="AI138" s="439">
        <f t="shared" ca="1" si="168"/>
        <v>30.54</v>
      </c>
      <c r="AJ138" s="439">
        <f t="shared" ca="1" si="169"/>
        <v>26.14</v>
      </c>
      <c r="AK138" s="439">
        <f t="shared" ca="1" si="170"/>
        <v>11.37</v>
      </c>
      <c r="AL138" s="439">
        <f t="shared" ca="1" si="171"/>
        <v>1.117</v>
      </c>
      <c r="AM138" s="439">
        <f t="shared" ca="1" si="172"/>
        <v>1.232</v>
      </c>
      <c r="AN138" s="439">
        <f t="shared" ca="1" si="173"/>
        <v>1.117</v>
      </c>
      <c r="AO138" s="439">
        <f t="shared" ca="1" si="174"/>
        <v>0.59099999999999997</v>
      </c>
      <c r="AP138" s="439">
        <f t="shared" ca="1" si="175"/>
        <v>1.1890000000000001</v>
      </c>
      <c r="AQ138" s="439">
        <f t="shared" ca="1" si="176"/>
        <v>1.274</v>
      </c>
      <c r="AR138" s="439">
        <f t="shared" ca="1" si="177"/>
        <v>1.075</v>
      </c>
      <c r="AS138" s="439">
        <f t="shared" ca="1" si="178"/>
        <v>0.52300000000000002</v>
      </c>
      <c r="AT138" s="439">
        <f t="shared" ca="1" si="179"/>
        <v>4.8899999999999997</v>
      </c>
      <c r="AU138" s="439">
        <f t="shared" ca="1" si="180"/>
        <v>5.13</v>
      </c>
      <c r="AV138" s="439">
        <f t="shared" ca="1" si="181"/>
        <v>5.0599999999999996</v>
      </c>
      <c r="AW138" s="439">
        <f t="shared" ca="1" si="182"/>
        <v>2.2200000000000002</v>
      </c>
    </row>
    <row r="139" spans="1:49" ht="15.75" x14ac:dyDescent="0.25">
      <c r="A139" s="437" t="str">
        <f>INDEX(Оглавление, ROW())</f>
        <v>[Цены на приграничных АЗС 2017-2020 (7138827 v1).XLSM]Цены на 24.02.2020</v>
      </c>
      <c r="B139" s="438">
        <f t="shared" ca="1" si="183"/>
        <v>43885</v>
      </c>
      <c r="C139" s="439">
        <f t="shared" ca="1" si="94"/>
        <v>9.0379000000000005</v>
      </c>
      <c r="D139" s="439">
        <f t="shared" ca="1" si="95"/>
        <v>2.2120000000000002</v>
      </c>
      <c r="E139" s="439">
        <f t="shared" ca="1" si="96"/>
        <v>2.3885000000000001</v>
      </c>
      <c r="F139" s="439">
        <f t="shared" ca="1" si="97"/>
        <v>5.5830000000000002</v>
      </c>
      <c r="G139" s="439">
        <f t="shared" ca="1" si="98"/>
        <v>3.4401000000000002</v>
      </c>
      <c r="H139" s="439">
        <f t="shared" ca="1" si="141"/>
        <v>1.72</v>
      </c>
      <c r="I139" s="439">
        <f t="shared" ca="1" si="142"/>
        <v>1.82</v>
      </c>
      <c r="J139" s="439">
        <f t="shared" ca="1" si="143"/>
        <v>1.95</v>
      </c>
      <c r="K139" s="439">
        <f t="shared" ca="1" si="144"/>
        <v>1.82</v>
      </c>
      <c r="L139" s="439">
        <f t="shared" ca="1" si="145"/>
        <v>0.95</v>
      </c>
      <c r="M139" s="439">
        <f t="shared" ca="1" si="146"/>
        <v>42.44</v>
      </c>
      <c r="N139" s="439">
        <f t="shared" ca="1" si="147"/>
        <v>46.63</v>
      </c>
      <c r="O139" s="439">
        <f t="shared" ca="1" si="148"/>
        <v>51.49</v>
      </c>
      <c r="P139" s="439">
        <f t="shared" ca="1" si="149"/>
        <v>47.13</v>
      </c>
      <c r="Q139" s="439">
        <f t="shared" ca="1" si="150"/>
        <v>22.85</v>
      </c>
      <c r="R139" s="439">
        <f t="shared" ca="1" si="151"/>
        <v>42.27</v>
      </c>
      <c r="S139" s="439">
        <f t="shared" ca="1" si="152"/>
        <v>45.64</v>
      </c>
      <c r="T139" s="439">
        <f t="shared" ca="1" si="153"/>
        <v>51.25</v>
      </c>
      <c r="U139" s="439">
        <f t="shared" ca="1" si="154"/>
        <v>47.06</v>
      </c>
      <c r="V139" s="439">
        <f t="shared" ca="1" si="155"/>
        <v>22.9</v>
      </c>
      <c r="W139" s="439">
        <f t="shared" ca="1" si="156"/>
        <v>42.91</v>
      </c>
      <c r="X139" s="439">
        <f t="shared" ca="1" si="157"/>
        <v>46.06</v>
      </c>
      <c r="Y139" s="439">
        <f t="shared" ca="1" si="158"/>
        <v>51</v>
      </c>
      <c r="Z139" s="439">
        <f t="shared" ca="1" si="159"/>
        <v>47.38</v>
      </c>
      <c r="AA139" s="439">
        <f t="shared" ca="1" si="160"/>
        <v>23.75</v>
      </c>
      <c r="AB139" s="439">
        <f t="shared" ca="1" si="161"/>
        <v>42.01</v>
      </c>
      <c r="AC139" s="439">
        <f t="shared" ca="1" si="162"/>
        <v>45.01</v>
      </c>
      <c r="AD139" s="439">
        <f t="shared" ca="1" si="163"/>
        <v>52.49</v>
      </c>
      <c r="AE139" s="439">
        <f t="shared" ca="1" si="164"/>
        <v>47.91</v>
      </c>
      <c r="AF139" s="439">
        <f t="shared" ca="1" si="165"/>
        <v>22.25</v>
      </c>
      <c r="AG139" s="439">
        <f t="shared" ca="1" si="166"/>
        <v>25.69</v>
      </c>
      <c r="AH139" s="439">
        <f t="shared" ca="1" si="167"/>
        <v>27.44</v>
      </c>
      <c r="AI139" s="439">
        <f t="shared" ca="1" si="168"/>
        <v>30.54</v>
      </c>
      <c r="AJ139" s="439">
        <f t="shared" ca="1" si="169"/>
        <v>26.14</v>
      </c>
      <c r="AK139" s="439">
        <f t="shared" ca="1" si="170"/>
        <v>10.87</v>
      </c>
      <c r="AL139" s="439">
        <f t="shared" ca="1" si="171"/>
        <v>1.204</v>
      </c>
      <c r="AM139" s="439">
        <f t="shared" ca="1" si="172"/>
        <v>1.2589999999999999</v>
      </c>
      <c r="AN139" s="439">
        <f t="shared" ca="1" si="173"/>
        <v>1.1339999999999999</v>
      </c>
      <c r="AO139" s="439">
        <f t="shared" ca="1" si="174"/>
        <v>0.55300000000000005</v>
      </c>
      <c r="AP139" s="439">
        <f t="shared" ca="1" si="175"/>
        <v>1.1890000000000001</v>
      </c>
      <c r="AQ139" s="439">
        <f t="shared" ca="1" si="176"/>
        <v>1.274</v>
      </c>
      <c r="AR139" s="439">
        <f t="shared" ca="1" si="177"/>
        <v>1.075</v>
      </c>
      <c r="AS139" s="439">
        <f t="shared" ca="1" si="178"/>
        <v>0.52300000000000002</v>
      </c>
      <c r="AT139" s="439">
        <f t="shared" ca="1" si="179"/>
        <v>4.8499999999999996</v>
      </c>
      <c r="AU139" s="439">
        <f t="shared" ca="1" si="180"/>
        <v>5.16</v>
      </c>
      <c r="AV139" s="439">
        <f t="shared" ca="1" si="181"/>
        <v>5.04</v>
      </c>
      <c r="AW139" s="439">
        <f t="shared" ca="1" si="182"/>
        <v>2.17</v>
      </c>
    </row>
    <row r="140" spans="1:49" ht="15.75" x14ac:dyDescent="0.25">
      <c r="A140" s="437" t="str">
        <f>INDEX(Оглавление, ROW())</f>
        <v>[Цены на приграничных АЗС 2017-2020 (7138827 v1).XLSM]Цены на 02.03.2020</v>
      </c>
      <c r="B140" s="438">
        <f t="shared" ca="1" si="183"/>
        <v>43892</v>
      </c>
      <c r="C140" s="439">
        <f t="shared" ca="1" si="94"/>
        <v>9.109</v>
      </c>
      <c r="D140" s="439">
        <f t="shared" ca="1" si="95"/>
        <v>2.2391000000000001</v>
      </c>
      <c r="E140" s="439">
        <f t="shared" ca="1" si="96"/>
        <v>2.4674999999999998</v>
      </c>
      <c r="F140" s="439">
        <f t="shared" ca="1" si="97"/>
        <v>5.7046000000000001</v>
      </c>
      <c r="G140" s="439">
        <f t="shared" ca="1" si="98"/>
        <v>3.3405999999999998</v>
      </c>
      <c r="H140" s="439">
        <f t="shared" ca="1" si="141"/>
        <v>1.73</v>
      </c>
      <c r="I140" s="439">
        <f t="shared" ca="1" si="142"/>
        <v>1.83</v>
      </c>
      <c r="J140" s="439">
        <f t="shared" ca="1" si="143"/>
        <v>1.96</v>
      </c>
      <c r="K140" s="439">
        <f t="shared" ca="1" si="144"/>
        <v>1.83</v>
      </c>
      <c r="L140" s="439">
        <f t="shared" ca="1" si="145"/>
        <v>0.96</v>
      </c>
      <c r="M140" s="439">
        <f t="shared" ca="1" si="146"/>
        <v>42.44</v>
      </c>
      <c r="N140" s="439">
        <f t="shared" ca="1" si="147"/>
        <v>46.66</v>
      </c>
      <c r="O140" s="439">
        <f t="shared" ca="1" si="148"/>
        <v>51.49</v>
      </c>
      <c r="P140" s="439">
        <f t="shared" ca="1" si="149"/>
        <v>47.12</v>
      </c>
      <c r="Q140" s="439">
        <f t="shared" ca="1" si="150"/>
        <v>22.3</v>
      </c>
      <c r="R140" s="439">
        <f t="shared" ca="1" si="151"/>
        <v>42.29</v>
      </c>
      <c r="S140" s="439">
        <f t="shared" ca="1" si="152"/>
        <v>45.57</v>
      </c>
      <c r="T140" s="439">
        <f t="shared" ca="1" si="153"/>
        <v>51.25</v>
      </c>
      <c r="U140" s="439">
        <f t="shared" ca="1" si="154"/>
        <v>47.05</v>
      </c>
      <c r="V140" s="439">
        <f t="shared" ca="1" si="155"/>
        <v>23.3</v>
      </c>
      <c r="W140" s="439">
        <f t="shared" ca="1" si="156"/>
        <v>42.91</v>
      </c>
      <c r="X140" s="439">
        <f t="shared" ca="1" si="157"/>
        <v>46.06</v>
      </c>
      <c r="Y140" s="439">
        <f t="shared" ca="1" si="158"/>
        <v>51</v>
      </c>
      <c r="Z140" s="439">
        <f t="shared" ca="1" si="159"/>
        <v>47.42</v>
      </c>
      <c r="AA140" s="439">
        <f t="shared" ca="1" si="160"/>
        <v>23.75</v>
      </c>
      <c r="AB140" s="439">
        <f t="shared" ca="1" si="161"/>
        <v>42.01</v>
      </c>
      <c r="AC140" s="439">
        <f t="shared" ca="1" si="162"/>
        <v>45.02</v>
      </c>
      <c r="AD140" s="439">
        <f t="shared" ca="1" si="163"/>
        <v>52.49</v>
      </c>
      <c r="AE140" s="439">
        <f t="shared" ca="1" si="164"/>
        <v>47.93</v>
      </c>
      <c r="AF140" s="439">
        <f t="shared" ca="1" si="165"/>
        <v>21.75</v>
      </c>
      <c r="AG140" s="439">
        <f t="shared" ca="1" si="166"/>
        <v>25.65</v>
      </c>
      <c r="AH140" s="439">
        <f t="shared" ca="1" si="167"/>
        <v>26.74</v>
      </c>
      <c r="AI140" s="439">
        <f t="shared" ca="1" si="168"/>
        <v>30.54</v>
      </c>
      <c r="AJ140" s="439">
        <f t="shared" ca="1" si="169"/>
        <v>24.99</v>
      </c>
      <c r="AK140" s="439">
        <f t="shared" ca="1" si="170"/>
        <v>10.79</v>
      </c>
      <c r="AL140" s="439">
        <f t="shared" ca="1" si="171"/>
        <v>1.204</v>
      </c>
      <c r="AM140" s="439">
        <f t="shared" ca="1" si="172"/>
        <v>1.2589999999999999</v>
      </c>
      <c r="AN140" s="439">
        <f t="shared" ca="1" si="173"/>
        <v>1.1339999999999999</v>
      </c>
      <c r="AO140" s="439">
        <f t="shared" ca="1" si="174"/>
        <v>0.55300000000000005</v>
      </c>
      <c r="AP140" s="439">
        <f t="shared" ca="1" si="175"/>
        <v>1.1659999999999999</v>
      </c>
      <c r="AQ140" s="439">
        <f t="shared" ca="1" si="176"/>
        <v>1.264</v>
      </c>
      <c r="AR140" s="439">
        <f t="shared" ca="1" si="177"/>
        <v>1.069</v>
      </c>
      <c r="AS140" s="439">
        <f t="shared" ca="1" si="178"/>
        <v>0.51300000000000001</v>
      </c>
      <c r="AT140" s="439">
        <f t="shared" ca="1" si="179"/>
        <v>4.83</v>
      </c>
      <c r="AU140" s="439">
        <f t="shared" ca="1" si="180"/>
        <v>5.0999999999999996</v>
      </c>
      <c r="AV140" s="439">
        <f t="shared" ca="1" si="181"/>
        <v>4.97</v>
      </c>
      <c r="AW140" s="439">
        <f t="shared" ca="1" si="182"/>
        <v>2.13</v>
      </c>
    </row>
    <row r="141" spans="1:49" ht="15.75" x14ac:dyDescent="0.25">
      <c r="A141" s="437" t="str">
        <f>INDEX(Оглавление, ROW())</f>
        <v>[Цены на приграничных АЗС 2017-2020 (7138827 v1).XLSM]Цены на 09.03.2020</v>
      </c>
      <c r="B141" s="438">
        <f t="shared" ca="1" si="183"/>
        <v>43899</v>
      </c>
      <c r="C141" s="439">
        <f t="shared" ca="1" si="94"/>
        <v>8.9789999999999992</v>
      </c>
      <c r="D141" s="439">
        <f t="shared" ca="1" si="95"/>
        <v>2.2395999999999998</v>
      </c>
      <c r="E141" s="439">
        <f t="shared" ca="1" si="96"/>
        <v>2.5177999999999998</v>
      </c>
      <c r="F141" s="439">
        <f t="shared" ca="1" si="97"/>
        <v>5.8574000000000002</v>
      </c>
      <c r="G141" s="439">
        <f t="shared" ca="1" si="98"/>
        <v>3.3214999999999999</v>
      </c>
      <c r="H141" s="439">
        <f t="shared" ca="1" si="141"/>
        <v>1.73</v>
      </c>
      <c r="I141" s="439">
        <f t="shared" ca="1" si="142"/>
        <v>1.83</v>
      </c>
      <c r="J141" s="439">
        <f t="shared" ca="1" si="143"/>
        <v>1.96</v>
      </c>
      <c r="K141" s="439">
        <f t="shared" ca="1" si="144"/>
        <v>1.83</v>
      </c>
      <c r="L141" s="439">
        <f t="shared" ca="1" si="145"/>
        <v>0.96</v>
      </c>
      <c r="M141" s="439">
        <f t="shared" ca="1" si="146"/>
        <v>42.4</v>
      </c>
      <c r="N141" s="439">
        <f t="shared" ca="1" si="147"/>
        <v>46.59</v>
      </c>
      <c r="O141" s="439">
        <f t="shared" ca="1" si="148"/>
        <v>51.49</v>
      </c>
      <c r="P141" s="439">
        <f t="shared" ca="1" si="149"/>
        <v>47.04</v>
      </c>
      <c r="Q141" s="439">
        <f t="shared" ca="1" si="150"/>
        <v>22.11</v>
      </c>
      <c r="R141" s="439">
        <f t="shared" ca="1" si="151"/>
        <v>42.28</v>
      </c>
      <c r="S141" s="439">
        <f t="shared" ca="1" si="152"/>
        <v>45.55</v>
      </c>
      <c r="T141" s="439">
        <f t="shared" ca="1" si="153"/>
        <v>51.25</v>
      </c>
      <c r="U141" s="439">
        <f t="shared" ca="1" si="154"/>
        <v>47.04</v>
      </c>
      <c r="V141" s="439">
        <f t="shared" ca="1" si="155"/>
        <v>23.3</v>
      </c>
      <c r="W141" s="439">
        <f t="shared" ca="1" si="156"/>
        <v>42.91</v>
      </c>
      <c r="X141" s="439">
        <f t="shared" ca="1" si="157"/>
        <v>46.06</v>
      </c>
      <c r="Y141" s="439">
        <f t="shared" ca="1" si="158"/>
        <v>51</v>
      </c>
      <c r="Z141" s="439">
        <f t="shared" ca="1" si="159"/>
        <v>47.25</v>
      </c>
      <c r="AA141" s="439">
        <f t="shared" ca="1" si="160"/>
        <v>23.75</v>
      </c>
      <c r="AB141" s="439">
        <f t="shared" ca="1" si="161"/>
        <v>42.03</v>
      </c>
      <c r="AC141" s="439">
        <f t="shared" ca="1" si="162"/>
        <v>45.04</v>
      </c>
      <c r="AD141" s="439">
        <f t="shared" ca="1" si="163"/>
        <v>52.49</v>
      </c>
      <c r="AE141" s="439">
        <f t="shared" ca="1" si="164"/>
        <v>47.9</v>
      </c>
      <c r="AF141" s="439">
        <f t="shared" ca="1" si="165"/>
        <v>23</v>
      </c>
      <c r="AG141" s="439">
        <f t="shared" ca="1" si="166"/>
        <v>25.25</v>
      </c>
      <c r="AH141" s="439">
        <f t="shared" ca="1" si="167"/>
        <v>26.74</v>
      </c>
      <c r="AI141" s="439">
        <f t="shared" ca="1" si="168"/>
        <v>30.54</v>
      </c>
      <c r="AJ141" s="439">
        <f t="shared" ca="1" si="169"/>
        <v>24.49</v>
      </c>
      <c r="AK141" s="439">
        <f t="shared" ca="1" si="170"/>
        <v>10.79</v>
      </c>
      <c r="AL141" s="439">
        <f t="shared" ca="1" si="171"/>
        <v>1.194</v>
      </c>
      <c r="AM141" s="439">
        <f t="shared" ca="1" si="172"/>
        <v>1.2589999999999999</v>
      </c>
      <c r="AN141" s="439">
        <f t="shared" ca="1" si="173"/>
        <v>1.1140000000000001</v>
      </c>
      <c r="AO141" s="439">
        <f t="shared" ca="1" si="174"/>
        <v>0.52500000000000002</v>
      </c>
      <c r="AP141" s="439">
        <f t="shared" ca="1" si="175"/>
        <v>1.175</v>
      </c>
      <c r="AQ141" s="439">
        <f t="shared" ca="1" si="176"/>
        <v>1.264</v>
      </c>
      <c r="AR141" s="439">
        <f t="shared" ca="1" si="177"/>
        <v>1.0549999999999999</v>
      </c>
      <c r="AS141" s="439">
        <f t="shared" ca="1" si="178"/>
        <v>0.503</v>
      </c>
      <c r="AT141" s="439">
        <f t="shared" ca="1" si="179"/>
        <v>4.76</v>
      </c>
      <c r="AU141" s="439">
        <f t="shared" ca="1" si="180"/>
        <v>4.9800000000000004</v>
      </c>
      <c r="AV141" s="439">
        <f t="shared" ca="1" si="181"/>
        <v>4.8899999999999997</v>
      </c>
      <c r="AW141" s="439">
        <f t="shared" ca="1" si="182"/>
        <v>2.0699999999999998</v>
      </c>
    </row>
    <row r="142" spans="1:49" ht="15.75" x14ac:dyDescent="0.25">
      <c r="A142" s="437" t="str">
        <f>INDEX(Оглавление, ROW())</f>
        <v>[Цены на приграничных АЗС 2017-2020 (7138827 v1).XLSM]Цены на 10.03.2020</v>
      </c>
      <c r="B142" s="438">
        <f t="shared" ca="1" si="183"/>
        <v>43900</v>
      </c>
      <c r="C142" s="439">
        <f t="shared" ca="1" si="94"/>
        <v>9.4010999999999996</v>
      </c>
      <c r="D142" s="439">
        <f t="shared" ca="1" si="95"/>
        <v>2.3517999999999999</v>
      </c>
      <c r="E142" s="439">
        <f t="shared" ca="1" si="96"/>
        <v>2.6749999999999998</v>
      </c>
      <c r="F142" s="439">
        <f t="shared" ca="1" si="97"/>
        <v>6.2077</v>
      </c>
      <c r="G142" s="439">
        <f t="shared" ca="1" si="98"/>
        <v>3.1627999999999998</v>
      </c>
      <c r="H142" s="439">
        <f t="shared" ca="1" si="141"/>
        <v>1.73</v>
      </c>
      <c r="I142" s="439">
        <f t="shared" ca="1" si="142"/>
        <v>1.83</v>
      </c>
      <c r="J142" s="439">
        <f t="shared" ca="1" si="143"/>
        <v>1.96</v>
      </c>
      <c r="K142" s="439">
        <f t="shared" ca="1" si="144"/>
        <v>1.83</v>
      </c>
      <c r="L142" s="439">
        <f t="shared" ca="1" si="145"/>
        <v>0.96</v>
      </c>
      <c r="M142" s="439">
        <f t="shared" ca="1" si="146"/>
        <v>42.4</v>
      </c>
      <c r="N142" s="439">
        <f t="shared" ca="1" si="147"/>
        <v>46.59</v>
      </c>
      <c r="O142" s="439">
        <f t="shared" ca="1" si="148"/>
        <v>51.49</v>
      </c>
      <c r="P142" s="439">
        <f t="shared" ca="1" si="149"/>
        <v>47.04</v>
      </c>
      <c r="Q142" s="439">
        <f t="shared" ca="1" si="150"/>
        <v>22.11</v>
      </c>
      <c r="R142" s="439">
        <f t="shared" ca="1" si="151"/>
        <v>42.28</v>
      </c>
      <c r="S142" s="439">
        <f t="shared" ca="1" si="152"/>
        <v>45.55</v>
      </c>
      <c r="T142" s="439">
        <f t="shared" ca="1" si="153"/>
        <v>51.25</v>
      </c>
      <c r="U142" s="439">
        <f t="shared" ca="1" si="154"/>
        <v>47.04</v>
      </c>
      <c r="V142" s="439">
        <f t="shared" ca="1" si="155"/>
        <v>23.3</v>
      </c>
      <c r="W142" s="439">
        <f t="shared" ca="1" si="156"/>
        <v>42.91</v>
      </c>
      <c r="X142" s="439">
        <f t="shared" ca="1" si="157"/>
        <v>46.06</v>
      </c>
      <c r="Y142" s="439">
        <f t="shared" ca="1" si="158"/>
        <v>51</v>
      </c>
      <c r="Z142" s="439">
        <f t="shared" ca="1" si="159"/>
        <v>47.25</v>
      </c>
      <c r="AA142" s="439">
        <f t="shared" ca="1" si="160"/>
        <v>23.75</v>
      </c>
      <c r="AB142" s="439">
        <f t="shared" ca="1" si="161"/>
        <v>42.03</v>
      </c>
      <c r="AC142" s="439">
        <f t="shared" ca="1" si="162"/>
        <v>45.04</v>
      </c>
      <c r="AD142" s="439">
        <f t="shared" ca="1" si="163"/>
        <v>52.49</v>
      </c>
      <c r="AE142" s="439">
        <f t="shared" ca="1" si="164"/>
        <v>47.9</v>
      </c>
      <c r="AF142" s="439">
        <f t="shared" ca="1" si="165"/>
        <v>23</v>
      </c>
      <c r="AG142" s="439">
        <f t="shared" ca="1" si="166"/>
        <v>25.25</v>
      </c>
      <c r="AH142" s="439">
        <f t="shared" ca="1" si="167"/>
        <v>26.74</v>
      </c>
      <c r="AI142" s="439">
        <f t="shared" ca="1" si="168"/>
        <v>30.54</v>
      </c>
      <c r="AJ142" s="439">
        <f t="shared" ca="1" si="169"/>
        <v>24.49</v>
      </c>
      <c r="AK142" s="439">
        <f t="shared" ca="1" si="170"/>
        <v>10.79</v>
      </c>
      <c r="AL142" s="439">
        <f t="shared" ca="1" si="171"/>
        <v>1.194</v>
      </c>
      <c r="AM142" s="439">
        <f t="shared" ca="1" si="172"/>
        <v>1.2589999999999999</v>
      </c>
      <c r="AN142" s="439">
        <f t="shared" ca="1" si="173"/>
        <v>1.1140000000000001</v>
      </c>
      <c r="AO142" s="439">
        <f t="shared" ca="1" si="174"/>
        <v>0.52500000000000002</v>
      </c>
      <c r="AP142" s="439">
        <f t="shared" ca="1" si="175"/>
        <v>1.175</v>
      </c>
      <c r="AQ142" s="439">
        <f t="shared" ca="1" si="176"/>
        <v>1.264</v>
      </c>
      <c r="AR142" s="439">
        <f t="shared" ca="1" si="177"/>
        <v>1.0549999999999999</v>
      </c>
      <c r="AS142" s="439">
        <f t="shared" ca="1" si="178"/>
        <v>0.503</v>
      </c>
      <c r="AT142" s="439">
        <f t="shared" ca="1" si="179"/>
        <v>4.76</v>
      </c>
      <c r="AU142" s="439">
        <f t="shared" ca="1" si="180"/>
        <v>4.9800000000000004</v>
      </c>
      <c r="AV142" s="439">
        <f t="shared" ca="1" si="181"/>
        <v>4.8899999999999997</v>
      </c>
      <c r="AW142" s="439">
        <f t="shared" ca="1" si="182"/>
        <v>2.0699999999999998</v>
      </c>
    </row>
    <row r="143" spans="1:49" ht="15.75" x14ac:dyDescent="0.25">
      <c r="A143" s="437" t="str">
        <f>INDEX(Оглавление, ROW())</f>
        <v>[Цены на приграничных АЗС 2017-2020 (7138827 v1).XLSM]Цены на 16.03.2020</v>
      </c>
      <c r="B143" s="438">
        <f t="shared" ca="1" si="183"/>
        <v>43906</v>
      </c>
      <c r="C143" s="439">
        <f t="shared" ca="1" si="94"/>
        <v>8.9852000000000007</v>
      </c>
      <c r="D143" s="439">
        <f t="shared" ca="1" si="95"/>
        <v>2.3401999999999998</v>
      </c>
      <c r="E143" s="439">
        <f t="shared" ca="1" si="96"/>
        <v>2.6147999999999998</v>
      </c>
      <c r="F143" s="439">
        <f t="shared" ca="1" si="97"/>
        <v>5.9855</v>
      </c>
      <c r="G143" s="439">
        <f t="shared" ca="1" si="98"/>
        <v>3.1958000000000002</v>
      </c>
      <c r="H143" s="439">
        <f t="shared" ca="1" si="141"/>
        <v>1.73</v>
      </c>
      <c r="I143" s="439">
        <f t="shared" ca="1" si="142"/>
        <v>1.83</v>
      </c>
      <c r="J143" s="439">
        <f t="shared" ca="1" si="143"/>
        <v>1.96</v>
      </c>
      <c r="K143" s="439">
        <f t="shared" ca="1" si="144"/>
        <v>1.83</v>
      </c>
      <c r="L143" s="439">
        <f t="shared" ca="1" si="145"/>
        <v>0.96</v>
      </c>
      <c r="M143" s="439">
        <f t="shared" ca="1" si="146"/>
        <v>42.44</v>
      </c>
      <c r="N143" s="439">
        <f t="shared" ca="1" si="147"/>
        <v>46.64</v>
      </c>
      <c r="O143" s="439">
        <f t="shared" ca="1" si="148"/>
        <v>51.49</v>
      </c>
      <c r="P143" s="439">
        <f t="shared" ca="1" si="149"/>
        <v>47.1</v>
      </c>
      <c r="Q143" s="439">
        <f t="shared" ca="1" si="150"/>
        <v>22.08</v>
      </c>
      <c r="R143" s="439">
        <f t="shared" ca="1" si="151"/>
        <v>42.31</v>
      </c>
      <c r="S143" s="439">
        <f t="shared" ca="1" si="152"/>
        <v>45.6</v>
      </c>
      <c r="T143" s="439">
        <f t="shared" ca="1" si="153"/>
        <v>51.8</v>
      </c>
      <c r="U143" s="439">
        <f t="shared" ca="1" si="154"/>
        <v>46.99</v>
      </c>
      <c r="V143" s="439">
        <f t="shared" ca="1" si="155"/>
        <v>22.9</v>
      </c>
      <c r="W143" s="439">
        <f t="shared" ca="1" si="156"/>
        <v>42.9</v>
      </c>
      <c r="X143" s="439">
        <f t="shared" ca="1" si="157"/>
        <v>46.06</v>
      </c>
      <c r="Y143" s="439">
        <f t="shared" ca="1" si="158"/>
        <v>51</v>
      </c>
      <c r="Z143" s="439">
        <f t="shared" ca="1" si="159"/>
        <v>46.98</v>
      </c>
      <c r="AA143" s="439">
        <f t="shared" ca="1" si="160"/>
        <v>23.75</v>
      </c>
      <c r="AB143" s="439">
        <f t="shared" ca="1" si="161"/>
        <v>42.03</v>
      </c>
      <c r="AC143" s="439">
        <f t="shared" ca="1" si="162"/>
        <v>45.04</v>
      </c>
      <c r="AD143" s="439">
        <f t="shared" ca="1" si="163"/>
        <v>52.49</v>
      </c>
      <c r="AE143" s="439">
        <f t="shared" ca="1" si="164"/>
        <v>47.9</v>
      </c>
      <c r="AF143" s="439">
        <f t="shared" ca="1" si="165"/>
        <v>22.13</v>
      </c>
      <c r="AG143" s="439">
        <f t="shared" ca="1" si="166"/>
        <v>25.25</v>
      </c>
      <c r="AH143" s="439">
        <f t="shared" ca="1" si="167"/>
        <v>26.49</v>
      </c>
      <c r="AI143" s="439">
        <f t="shared" ca="1" si="168"/>
        <v>30.54</v>
      </c>
      <c r="AJ143" s="439">
        <f t="shared" ca="1" si="169"/>
        <v>24.49</v>
      </c>
      <c r="AK143" s="439">
        <f t="shared" ca="1" si="170"/>
        <v>10.79</v>
      </c>
      <c r="AL143" s="439">
        <f t="shared" ca="1" si="171"/>
        <v>1.1739999999999999</v>
      </c>
      <c r="AM143" s="439">
        <f t="shared" ca="1" si="172"/>
        <v>1.2390000000000001</v>
      </c>
      <c r="AN143" s="439">
        <f t="shared" ca="1" si="173"/>
        <v>1.077</v>
      </c>
      <c r="AO143" s="439">
        <f t="shared" ca="1" si="174"/>
        <v>0.53500000000000003</v>
      </c>
      <c r="AP143" s="439">
        <f t="shared" ca="1" si="175"/>
        <v>1.085</v>
      </c>
      <c r="AQ143" s="439">
        <f t="shared" ca="1" si="176"/>
        <v>1.1639999999999999</v>
      </c>
      <c r="AR143" s="439">
        <f t="shared" ca="1" si="177"/>
        <v>0.98499999999999999</v>
      </c>
      <c r="AS143" s="439">
        <f t="shared" ca="1" si="178"/>
        <v>0.503</v>
      </c>
      <c r="AT143" s="439">
        <f t="shared" ca="1" si="179"/>
        <v>4.6900000000000004</v>
      </c>
      <c r="AU143" s="439">
        <f t="shared" ca="1" si="180"/>
        <v>4.96</v>
      </c>
      <c r="AV143" s="439">
        <f t="shared" ca="1" si="181"/>
        <v>4.79</v>
      </c>
      <c r="AW143" s="439">
        <f t="shared" ca="1" si="182"/>
        <v>2.02</v>
      </c>
    </row>
    <row r="144" spans="1:49" ht="15.75" x14ac:dyDescent="0.25">
      <c r="A144" s="437" t="str">
        <f>INDEX(Оглавление, ROW())</f>
        <v>[Цены на приграничных АЗС 2017-2020 (7138827 v1).XLSM]Цены на 23.03.2020</v>
      </c>
      <c r="B144" s="438">
        <f t="shared" ca="1" si="183"/>
        <v>43913</v>
      </c>
      <c r="C144" s="439">
        <f t="shared" ref="C144:C178" ca="1" si="184">INDIRECT("'"&amp;$A144&amp;"'"&amp;"!$b$32")</f>
        <v>9.1989000000000001</v>
      </c>
      <c r="D144" s="439">
        <f t="shared" ref="D144:D178" ca="1" si="185">INDIRECT("'"&amp;$A144&amp;"'"&amp;"!$b$33")</f>
        <v>2.5590999999999999</v>
      </c>
      <c r="E144" s="439">
        <f t="shared" ref="E144:E178" ca="1" si="186">INDIRECT("'"&amp;$A144&amp;"'"&amp;"!$b$34")</f>
        <v>2.7621000000000002</v>
      </c>
      <c r="F144" s="439">
        <f t="shared" ref="F144:F178" ca="1" si="187">INDIRECT("'"&amp;$A144&amp;"'"&amp;"!$b$35")</f>
        <v>5.9855</v>
      </c>
      <c r="G144" s="439">
        <f t="shared" ref="G144:G178" ca="1" si="188">INDIRECT("'"&amp;$A144&amp;"'"&amp;"!$b$36")</f>
        <v>3.2759999999999998</v>
      </c>
      <c r="H144" s="439">
        <f t="shared" ca="1" si="141"/>
        <v>1.73</v>
      </c>
      <c r="I144" s="439">
        <f t="shared" ca="1" si="142"/>
        <v>1.83</v>
      </c>
      <c r="J144" s="439">
        <f t="shared" ca="1" si="143"/>
        <v>1.96</v>
      </c>
      <c r="K144" s="439">
        <f t="shared" ca="1" si="144"/>
        <v>1.83</v>
      </c>
      <c r="L144" s="439">
        <f t="shared" ca="1" si="145"/>
        <v>0.96</v>
      </c>
      <c r="M144" s="439">
        <f t="shared" ca="1" si="146"/>
        <v>42.41</v>
      </c>
      <c r="N144" s="439">
        <f t="shared" ca="1" si="147"/>
        <v>46.59</v>
      </c>
      <c r="O144" s="439">
        <f t="shared" ca="1" si="148"/>
        <v>51.49</v>
      </c>
      <c r="P144" s="439">
        <f t="shared" ca="1" si="149"/>
        <v>47.03</v>
      </c>
      <c r="Q144" s="439">
        <f t="shared" ca="1" si="150"/>
        <v>22.17</v>
      </c>
      <c r="R144" s="439">
        <f t="shared" ca="1" si="151"/>
        <v>42.26</v>
      </c>
      <c r="S144" s="439">
        <f t="shared" ca="1" si="152"/>
        <v>45.54</v>
      </c>
      <c r="T144" s="439">
        <f t="shared" ca="1" si="153"/>
        <v>51.8</v>
      </c>
      <c r="U144" s="439">
        <f t="shared" ca="1" si="154"/>
        <v>47</v>
      </c>
      <c r="V144" s="439">
        <f t="shared" ca="1" si="155"/>
        <v>23.3</v>
      </c>
      <c r="W144" s="439">
        <f t="shared" ca="1" si="156"/>
        <v>42.91</v>
      </c>
      <c r="X144" s="439">
        <f t="shared" ca="1" si="157"/>
        <v>46.06</v>
      </c>
      <c r="Y144" s="439">
        <f t="shared" ca="1" si="158"/>
        <v>51</v>
      </c>
      <c r="Z144" s="439">
        <f t="shared" ca="1" si="159"/>
        <v>46.67</v>
      </c>
      <c r="AA144" s="439">
        <f t="shared" ca="1" si="160"/>
        <v>23.75</v>
      </c>
      <c r="AB144" s="439">
        <f t="shared" ca="1" si="161"/>
        <v>42</v>
      </c>
      <c r="AC144" s="439">
        <f t="shared" ca="1" si="162"/>
        <v>45.01</v>
      </c>
      <c r="AD144" s="439">
        <f t="shared" ca="1" si="163"/>
        <v>52.49</v>
      </c>
      <c r="AE144" s="439">
        <f t="shared" ca="1" si="164"/>
        <v>47.91</v>
      </c>
      <c r="AF144" s="439">
        <f t="shared" ca="1" si="165"/>
        <v>21.75</v>
      </c>
      <c r="AG144" s="439">
        <f t="shared" ca="1" si="166"/>
        <v>25.25</v>
      </c>
      <c r="AH144" s="439">
        <f t="shared" ca="1" si="167"/>
        <v>26.49</v>
      </c>
      <c r="AI144" s="439">
        <f t="shared" ca="1" si="168"/>
        <v>30.54</v>
      </c>
      <c r="AJ144" s="439">
        <f t="shared" ca="1" si="169"/>
        <v>24.49</v>
      </c>
      <c r="AK144" s="439">
        <f t="shared" ca="1" si="170"/>
        <v>10.79</v>
      </c>
      <c r="AL144" s="439">
        <f t="shared" ca="1" si="171"/>
        <v>1.1639999999999999</v>
      </c>
      <c r="AM144" s="439">
        <f t="shared" ca="1" si="172"/>
        <v>1.2290000000000001</v>
      </c>
      <c r="AN144" s="439">
        <f t="shared" ca="1" si="173"/>
        <v>1.0640000000000001</v>
      </c>
      <c r="AO144" s="439">
        <f t="shared" ca="1" si="174"/>
        <v>0.52500000000000002</v>
      </c>
      <c r="AP144" s="439">
        <f t="shared" ca="1" si="175"/>
        <v>1.0549999999999999</v>
      </c>
      <c r="AQ144" s="439">
        <f t="shared" ca="1" si="176"/>
        <v>1.1339999999999999</v>
      </c>
      <c r="AR144" s="439">
        <f t="shared" ca="1" si="177"/>
        <v>0.95499999999999996</v>
      </c>
      <c r="AS144" s="439">
        <f t="shared" ca="1" si="178"/>
        <v>0.49299999999999999</v>
      </c>
      <c r="AT144" s="439">
        <f t="shared" ca="1" si="179"/>
        <v>4.42</v>
      </c>
      <c r="AU144" s="439">
        <f t="shared" ca="1" si="180"/>
        <v>4.63</v>
      </c>
      <c r="AV144" s="439">
        <f t="shared" ca="1" si="181"/>
        <v>4.55</v>
      </c>
      <c r="AW144" s="439">
        <f t="shared" ca="1" si="182"/>
        <v>1.95</v>
      </c>
    </row>
    <row r="145" spans="1:49" ht="15.75" x14ac:dyDescent="0.25">
      <c r="A145" s="437" t="str">
        <f>INDEX(Оглавление, ROW())</f>
        <v>[Цены на приграничных АЗС 2017-2020 (7138827 v1).XLSM]Цены на 30.03.2020</v>
      </c>
      <c r="B145" s="438">
        <f t="shared" ca="1" si="183"/>
        <v>43920</v>
      </c>
      <c r="C145" s="439">
        <f t="shared" ca="1" si="184"/>
        <v>9.1716999999999995</v>
      </c>
      <c r="D145" s="439">
        <f t="shared" ca="1" si="185"/>
        <v>2.5754000000000001</v>
      </c>
      <c r="E145" s="439">
        <f t="shared" ca="1" si="186"/>
        <v>2.8371</v>
      </c>
      <c r="F145" s="439">
        <f t="shared" ca="1" si="187"/>
        <v>6.2602000000000002</v>
      </c>
      <c r="G145" s="439">
        <f t="shared" ca="1" si="188"/>
        <v>3.3121</v>
      </c>
      <c r="H145" s="439">
        <f t="shared" ca="1" si="141"/>
        <v>1.73</v>
      </c>
      <c r="I145" s="439">
        <f t="shared" ca="1" si="142"/>
        <v>1.83</v>
      </c>
      <c r="J145" s="439">
        <f t="shared" ca="1" si="143"/>
        <v>1.96</v>
      </c>
      <c r="K145" s="439">
        <f t="shared" ca="1" si="144"/>
        <v>1.83</v>
      </c>
      <c r="L145" s="439">
        <f t="shared" ca="1" si="145"/>
        <v>0.96</v>
      </c>
      <c r="M145" s="439">
        <f t="shared" ca="1" si="146"/>
        <v>42.42</v>
      </c>
      <c r="N145" s="439">
        <f t="shared" ca="1" si="147"/>
        <v>46.62</v>
      </c>
      <c r="O145" s="439">
        <f t="shared" ca="1" si="148"/>
        <v>51.49</v>
      </c>
      <c r="P145" s="439">
        <f t="shared" ca="1" si="149"/>
        <v>47.06</v>
      </c>
      <c r="Q145" s="439">
        <f t="shared" ca="1" si="150"/>
        <v>21.65</v>
      </c>
      <c r="R145" s="439">
        <f t="shared" ca="1" si="151"/>
        <v>42.27</v>
      </c>
      <c r="S145" s="439">
        <f t="shared" ca="1" si="152"/>
        <v>45.53</v>
      </c>
      <c r="T145" s="439">
        <f t="shared" ca="1" si="153"/>
        <v>51.8</v>
      </c>
      <c r="U145" s="439">
        <f t="shared" ca="1" si="154"/>
        <v>46.85</v>
      </c>
      <c r="V145" s="439">
        <f t="shared" ca="1" si="155"/>
        <v>23.3</v>
      </c>
      <c r="W145" s="439">
        <f t="shared" ca="1" si="156"/>
        <v>42.91</v>
      </c>
      <c r="X145" s="439">
        <f t="shared" ca="1" si="157"/>
        <v>46.06</v>
      </c>
      <c r="Y145" s="439">
        <f t="shared" ca="1" si="158"/>
        <v>51</v>
      </c>
      <c r="Z145" s="439">
        <f t="shared" ca="1" si="159"/>
        <v>46.52</v>
      </c>
      <c r="AA145" s="439">
        <f t="shared" ca="1" si="160"/>
        <v>23.75</v>
      </c>
      <c r="AB145" s="439">
        <f t="shared" ca="1" si="161"/>
        <v>42</v>
      </c>
      <c r="AC145" s="439">
        <f t="shared" ca="1" si="162"/>
        <v>45.01</v>
      </c>
      <c r="AD145" s="439">
        <f t="shared" ca="1" si="163"/>
        <v>52.49</v>
      </c>
      <c r="AE145" s="439">
        <f t="shared" ca="1" si="164"/>
        <v>47.91</v>
      </c>
      <c r="AF145" s="439">
        <f t="shared" ca="1" si="165"/>
        <v>21.75</v>
      </c>
      <c r="AG145" s="439">
        <f t="shared" ca="1" si="166"/>
        <v>25</v>
      </c>
      <c r="AH145" s="439">
        <f t="shared" ca="1" si="167"/>
        <v>25.7</v>
      </c>
      <c r="AI145" s="439">
        <f t="shared" ca="1" si="168"/>
        <v>29.89</v>
      </c>
      <c r="AJ145" s="439">
        <f t="shared" ca="1" si="169"/>
        <v>24.05</v>
      </c>
      <c r="AK145" s="439">
        <f t="shared" ca="1" si="170"/>
        <v>10.79</v>
      </c>
      <c r="AL145" s="439">
        <f t="shared" ca="1" si="171"/>
        <v>1.1140000000000001</v>
      </c>
      <c r="AM145" s="439">
        <f t="shared" ca="1" si="172"/>
        <v>1.179</v>
      </c>
      <c r="AN145" s="439">
        <f t="shared" ca="1" si="173"/>
        <v>0.98399999999999999</v>
      </c>
      <c r="AO145" s="439">
        <f t="shared" ca="1" si="174"/>
        <v>0.505</v>
      </c>
      <c r="AP145" s="439">
        <f t="shared" ca="1" si="175"/>
        <v>1.0449999999999999</v>
      </c>
      <c r="AQ145" s="439">
        <f t="shared" ca="1" si="176"/>
        <v>1.1240000000000001</v>
      </c>
      <c r="AR145" s="439">
        <f t="shared" ca="1" si="177"/>
        <v>0.94299999999999995</v>
      </c>
      <c r="AS145" s="439">
        <f t="shared" ca="1" si="178"/>
        <v>0.46300000000000002</v>
      </c>
      <c r="AT145" s="439">
        <f t="shared" ca="1" si="179"/>
        <v>4.16</v>
      </c>
      <c r="AU145" s="439">
        <f t="shared" ca="1" si="180"/>
        <v>4.42</v>
      </c>
      <c r="AV145" s="439">
        <f t="shared" ca="1" si="181"/>
        <v>4.29</v>
      </c>
      <c r="AW145" s="439">
        <f t="shared" ca="1" si="182"/>
        <v>1.88</v>
      </c>
    </row>
    <row r="146" spans="1:49" ht="15.75" x14ac:dyDescent="0.25">
      <c r="A146" s="437" t="str">
        <f>INDEX(Оглавление, ROW())</f>
        <v>[Цены на приграничных АЗС 2017-2020 (7138827 v1).XLSM]Цены на 06.04.2020</v>
      </c>
      <c r="B146" s="438">
        <f t="shared" ca="1" si="183"/>
        <v>43927</v>
      </c>
      <c r="C146" s="439">
        <f t="shared" ca="1" si="184"/>
        <v>9.3636999999999997</v>
      </c>
      <c r="D146" s="439">
        <f t="shared" ca="1" si="185"/>
        <v>2.5722</v>
      </c>
      <c r="E146" s="439">
        <f t="shared" ca="1" si="186"/>
        <v>2.7797000000000001</v>
      </c>
      <c r="F146" s="439">
        <f t="shared" ca="1" si="187"/>
        <v>6.0644</v>
      </c>
      <c r="G146" s="439">
        <f t="shared" ca="1" si="188"/>
        <v>3.3586</v>
      </c>
      <c r="H146" s="439">
        <f t="shared" ca="1" si="141"/>
        <v>1.73</v>
      </c>
      <c r="I146" s="439">
        <f t="shared" ca="1" si="142"/>
        <v>1.83</v>
      </c>
      <c r="J146" s="439">
        <f t="shared" ca="1" si="143"/>
        <v>1.96</v>
      </c>
      <c r="K146" s="439">
        <f t="shared" ca="1" si="144"/>
        <v>1.83</v>
      </c>
      <c r="L146" s="439">
        <f t="shared" ca="1" si="145"/>
        <v>0.96</v>
      </c>
      <c r="M146" s="439">
        <f t="shared" ca="1" si="146"/>
        <v>42.42</v>
      </c>
      <c r="N146" s="439">
        <f t="shared" ca="1" si="147"/>
        <v>46.6</v>
      </c>
      <c r="O146" s="439">
        <f t="shared" ca="1" si="148"/>
        <v>51.49</v>
      </c>
      <c r="P146" s="439">
        <f t="shared" ca="1" si="149"/>
        <v>47.12</v>
      </c>
      <c r="Q146" s="439">
        <f t="shared" ca="1" si="150"/>
        <v>21.67</v>
      </c>
      <c r="R146" s="439">
        <f t="shared" ca="1" si="151"/>
        <v>42.28</v>
      </c>
      <c r="S146" s="439">
        <f t="shared" ca="1" si="152"/>
        <v>45.56</v>
      </c>
      <c r="T146" s="439">
        <f t="shared" ca="1" si="153"/>
        <v>51.8</v>
      </c>
      <c r="U146" s="439">
        <f t="shared" ca="1" si="154"/>
        <v>46.31</v>
      </c>
      <c r="V146" s="439">
        <f t="shared" ca="1" si="155"/>
        <v>23.4</v>
      </c>
      <c r="W146" s="439">
        <f t="shared" ca="1" si="156"/>
        <v>42.88</v>
      </c>
      <c r="X146" s="439">
        <f t="shared" ca="1" si="157"/>
        <v>46.06</v>
      </c>
      <c r="Y146" s="439">
        <f t="shared" ca="1" si="158"/>
        <v>51</v>
      </c>
      <c r="Z146" s="439">
        <f t="shared" ca="1" si="159"/>
        <v>46.17</v>
      </c>
      <c r="AA146" s="439">
        <f t="shared" ca="1" si="160"/>
        <v>23.75</v>
      </c>
      <c r="AB146" s="439">
        <f t="shared" ca="1" si="161"/>
        <v>42</v>
      </c>
      <c r="AC146" s="439">
        <f t="shared" ca="1" si="162"/>
        <v>45.01</v>
      </c>
      <c r="AD146" s="439">
        <f t="shared" ca="1" si="163"/>
        <v>52.49</v>
      </c>
      <c r="AE146" s="439">
        <f t="shared" ca="1" si="164"/>
        <v>47.91</v>
      </c>
      <c r="AF146" s="439">
        <f t="shared" ca="1" si="165"/>
        <v>21.75</v>
      </c>
      <c r="AG146" s="439">
        <f t="shared" ca="1" si="166"/>
        <v>24.25</v>
      </c>
      <c r="AH146" s="439">
        <f t="shared" ca="1" si="167"/>
        <v>25.45</v>
      </c>
      <c r="AI146" s="439">
        <f t="shared" ca="1" si="168"/>
        <v>29.54</v>
      </c>
      <c r="AJ146" s="439">
        <f t="shared" ca="1" si="169"/>
        <v>23.5</v>
      </c>
      <c r="AK146" s="439">
        <f t="shared" ca="1" si="170"/>
        <v>10.74</v>
      </c>
      <c r="AL146" s="439">
        <f t="shared" ca="1" si="171"/>
        <v>0.97399999999999998</v>
      </c>
      <c r="AM146" s="439">
        <f t="shared" ca="1" si="172"/>
        <v>1.0389999999999999</v>
      </c>
      <c r="AN146" s="439">
        <f t="shared" ca="1" si="173"/>
        <v>0.874</v>
      </c>
      <c r="AO146" s="439">
        <f t="shared" ca="1" si="174"/>
        <v>0.49</v>
      </c>
      <c r="AP146" s="439">
        <f t="shared" ca="1" si="175"/>
        <v>0.95499999999999996</v>
      </c>
      <c r="AQ146" s="439">
        <f t="shared" ca="1" si="176"/>
        <v>1.034</v>
      </c>
      <c r="AR146" s="439">
        <f t="shared" ca="1" si="177"/>
        <v>0.91900000000000004</v>
      </c>
      <c r="AS146" s="439">
        <f t="shared" ca="1" si="178"/>
        <v>0.40899999999999997</v>
      </c>
      <c r="AT146" s="439">
        <f t="shared" ca="1" si="179"/>
        <v>4.01</v>
      </c>
      <c r="AU146" s="439">
        <f t="shared" ca="1" si="180"/>
        <v>4.28</v>
      </c>
      <c r="AV146" s="439">
        <f t="shared" ca="1" si="181"/>
        <v>4.16</v>
      </c>
      <c r="AW146" s="439">
        <f t="shared" ca="1" si="182"/>
        <v>1.82</v>
      </c>
    </row>
    <row r="147" spans="1:49" ht="15.75" x14ac:dyDescent="0.25">
      <c r="A147" s="437" t="str">
        <f>INDEX(Оглавление, ROW())</f>
        <v>[Цены на приграничных АЗС 2017-2020 (7138827 v1).XLSM]Цены на 13.04.2020</v>
      </c>
      <c r="B147" s="438">
        <f t="shared" ca="1" si="183"/>
        <v>43934</v>
      </c>
      <c r="C147" s="439">
        <f t="shared" ca="1" si="184"/>
        <v>9.1067</v>
      </c>
      <c r="D147" s="439">
        <f t="shared" ca="1" si="185"/>
        <v>2.4752000000000001</v>
      </c>
      <c r="E147" s="439">
        <f t="shared" ca="1" si="186"/>
        <v>2.706</v>
      </c>
      <c r="F147" s="439">
        <f t="shared" ca="1" si="187"/>
        <v>5.9595000000000002</v>
      </c>
      <c r="G147" s="439">
        <f t="shared" ca="1" si="188"/>
        <v>3.3571</v>
      </c>
      <c r="H147" s="439">
        <f t="shared" ca="1" si="141"/>
        <v>1.72</v>
      </c>
      <c r="I147" s="439">
        <f t="shared" ca="1" si="142"/>
        <v>1.82</v>
      </c>
      <c r="J147" s="439">
        <f t="shared" ca="1" si="143"/>
        <v>1.95</v>
      </c>
      <c r="K147" s="439">
        <f t="shared" ca="1" si="144"/>
        <v>1.82</v>
      </c>
      <c r="L147" s="439">
        <f t="shared" ca="1" si="145"/>
        <v>0.96</v>
      </c>
      <c r="M147" s="439">
        <f t="shared" ca="1" si="146"/>
        <v>42.35</v>
      </c>
      <c r="N147" s="439">
        <f t="shared" ca="1" si="147"/>
        <v>46.56</v>
      </c>
      <c r="O147" s="439">
        <f t="shared" ca="1" si="148"/>
        <v>51.49</v>
      </c>
      <c r="P147" s="439">
        <f t="shared" ca="1" si="149"/>
        <v>46.93</v>
      </c>
      <c r="Q147" s="439">
        <f t="shared" ca="1" si="150"/>
        <v>20.98</v>
      </c>
      <c r="R147" s="439">
        <f t="shared" ca="1" si="151"/>
        <v>41.74</v>
      </c>
      <c r="S147" s="439">
        <f t="shared" ca="1" si="152"/>
        <v>44.9</v>
      </c>
      <c r="T147" s="439">
        <f t="shared" ca="1" si="153"/>
        <v>51.8</v>
      </c>
      <c r="U147" s="439">
        <f t="shared" ca="1" si="154"/>
        <v>46.12</v>
      </c>
      <c r="V147" s="439">
        <f t="shared" ca="1" si="155"/>
        <v>23.4</v>
      </c>
      <c r="W147" s="439">
        <f t="shared" ca="1" si="156"/>
        <v>42.44</v>
      </c>
      <c r="X147" s="439">
        <f t="shared" ca="1" si="157"/>
        <v>45.67</v>
      </c>
      <c r="Y147" s="439">
        <f t="shared" ca="1" si="158"/>
        <v>51</v>
      </c>
      <c r="Z147" s="439">
        <f t="shared" ca="1" si="159"/>
        <v>46.03</v>
      </c>
      <c r="AA147" s="439">
        <f t="shared" ca="1" si="160"/>
        <v>23.75</v>
      </c>
      <c r="AB147" s="439">
        <f t="shared" ca="1" si="161"/>
        <v>42</v>
      </c>
      <c r="AC147" s="439">
        <f t="shared" ca="1" si="162"/>
        <v>45.01</v>
      </c>
      <c r="AD147" s="439">
        <f t="shared" ca="1" si="163"/>
        <v>52.49</v>
      </c>
      <c r="AE147" s="439">
        <f t="shared" ca="1" si="164"/>
        <v>47.89</v>
      </c>
      <c r="AF147" s="439">
        <f t="shared" ca="1" si="165"/>
        <v>21.75</v>
      </c>
      <c r="AG147" s="439">
        <f t="shared" ca="1" si="166"/>
        <v>24.25</v>
      </c>
      <c r="AH147" s="439">
        <f t="shared" ca="1" si="167"/>
        <v>25.45</v>
      </c>
      <c r="AI147" s="439">
        <f t="shared" ca="1" si="168"/>
        <v>29.54</v>
      </c>
      <c r="AJ147" s="439">
        <f t="shared" ca="1" si="169"/>
        <v>23.5</v>
      </c>
      <c r="AK147" s="439">
        <f t="shared" ca="1" si="170"/>
        <v>10.24</v>
      </c>
      <c r="AL147" s="439">
        <f t="shared" ca="1" si="171"/>
        <v>0.91700000000000004</v>
      </c>
      <c r="AM147" s="439">
        <f t="shared" ca="1" si="172"/>
        <v>0.98199999999999998</v>
      </c>
      <c r="AN147" s="439">
        <f t="shared" ca="1" si="173"/>
        <v>0.86699999999999999</v>
      </c>
      <c r="AO147" s="439">
        <f t="shared" ca="1" si="174"/>
        <v>0.48</v>
      </c>
      <c r="AP147" s="439">
        <f t="shared" ca="1" si="175"/>
        <v>0.94499999999999995</v>
      </c>
      <c r="AQ147" s="439">
        <f t="shared" ca="1" si="176"/>
        <v>1.024</v>
      </c>
      <c r="AR147" s="439">
        <f t="shared" ca="1" si="177"/>
        <v>0.90500000000000003</v>
      </c>
      <c r="AS147" s="439">
        <f t="shared" ca="1" si="178"/>
        <v>0.42299999999999999</v>
      </c>
      <c r="AT147" s="439">
        <f t="shared" ca="1" si="179"/>
        <v>3.99</v>
      </c>
      <c r="AU147" s="439">
        <f t="shared" ca="1" si="180"/>
        <v>4.29</v>
      </c>
      <c r="AV147" s="439">
        <f t="shared" ca="1" si="181"/>
        <v>4.1399999999999997</v>
      </c>
      <c r="AW147" s="439">
        <f t="shared" ca="1" si="182"/>
        <v>1.76</v>
      </c>
    </row>
    <row r="148" spans="1:49" ht="15.75" x14ac:dyDescent="0.25">
      <c r="A148" s="437" t="str">
        <f>INDEX(Оглавление, ROW())</f>
        <v>[Цены на приграничных АЗС 2017-2020 (7138827 v1).XLSM]Цены на 20.04.2020</v>
      </c>
      <c r="B148" s="438">
        <f t="shared" ca="1" si="183"/>
        <v>43941</v>
      </c>
      <c r="C148" s="439">
        <f t="shared" ca="1" si="184"/>
        <v>9.0328999999999997</v>
      </c>
      <c r="D148" s="439">
        <f t="shared" ca="1" si="185"/>
        <v>2.4449999999999998</v>
      </c>
      <c r="E148" s="439">
        <f t="shared" ca="1" si="186"/>
        <v>2.6488999999999998</v>
      </c>
      <c r="F148" s="439">
        <f t="shared" ca="1" si="187"/>
        <v>5.8343999999999996</v>
      </c>
      <c r="G148" s="439">
        <f t="shared" ca="1" si="188"/>
        <v>3.3048999999999999</v>
      </c>
      <c r="H148" s="439">
        <f t="shared" ca="1" si="141"/>
        <v>1.71</v>
      </c>
      <c r="I148" s="439">
        <f t="shared" ca="1" si="142"/>
        <v>1.81</v>
      </c>
      <c r="J148" s="439">
        <f t="shared" ca="1" si="143"/>
        <v>1.94</v>
      </c>
      <c r="K148" s="439">
        <f t="shared" ca="1" si="144"/>
        <v>1.81</v>
      </c>
      <c r="L148" s="439">
        <f t="shared" ca="1" si="145"/>
        <v>0.95</v>
      </c>
      <c r="M148" s="439">
        <f t="shared" ca="1" si="146"/>
        <v>42.31</v>
      </c>
      <c r="N148" s="439">
        <f t="shared" ca="1" si="147"/>
        <v>46.51</v>
      </c>
      <c r="O148" s="439">
        <f t="shared" ca="1" si="148"/>
        <v>51.49</v>
      </c>
      <c r="P148" s="439">
        <f t="shared" ca="1" si="149"/>
        <v>46.83</v>
      </c>
      <c r="Q148" s="439">
        <f t="shared" ca="1" si="150"/>
        <v>20.69</v>
      </c>
      <c r="R148" s="439">
        <f t="shared" ca="1" si="151"/>
        <v>41.84</v>
      </c>
      <c r="S148" s="439">
        <f t="shared" ca="1" si="152"/>
        <v>45.05</v>
      </c>
      <c r="T148" s="439">
        <f t="shared" ca="1" si="153"/>
        <v>51.8</v>
      </c>
      <c r="U148" s="439">
        <f t="shared" ca="1" si="154"/>
        <v>46.16</v>
      </c>
      <c r="V148" s="439">
        <f t="shared" ca="1" si="155"/>
        <v>23.4</v>
      </c>
      <c r="W148" s="439">
        <f t="shared" ca="1" si="156"/>
        <v>42.84</v>
      </c>
      <c r="X148" s="439">
        <f t="shared" ca="1" si="157"/>
        <v>46.02</v>
      </c>
      <c r="Y148" s="439">
        <f t="shared" ca="1" si="158"/>
        <v>51</v>
      </c>
      <c r="Z148" s="439">
        <f t="shared" ca="1" si="159"/>
        <v>46.08</v>
      </c>
      <c r="AA148" s="439">
        <f t="shared" ca="1" si="160"/>
        <v>23.75</v>
      </c>
      <c r="AB148" s="439">
        <f t="shared" ca="1" si="161"/>
        <v>42</v>
      </c>
      <c r="AC148" s="439">
        <f t="shared" ca="1" si="162"/>
        <v>45.01</v>
      </c>
      <c r="AD148" s="439">
        <f t="shared" ca="1" si="163"/>
        <v>52.49</v>
      </c>
      <c r="AE148" s="439">
        <f t="shared" ca="1" si="164"/>
        <v>47.91</v>
      </c>
      <c r="AF148" s="439">
        <f t="shared" ca="1" si="165"/>
        <v>21.75</v>
      </c>
      <c r="AG148" s="439">
        <f t="shared" ca="1" si="166"/>
        <v>23.5</v>
      </c>
      <c r="AH148" s="439">
        <f t="shared" ca="1" si="167"/>
        <v>25.2</v>
      </c>
      <c r="AI148" s="439">
        <f t="shared" ca="1" si="168"/>
        <v>29.54</v>
      </c>
      <c r="AJ148" s="439">
        <f t="shared" ca="1" si="169"/>
        <v>23.25</v>
      </c>
      <c r="AK148" s="439">
        <f t="shared" ca="1" si="170"/>
        <v>10.09</v>
      </c>
      <c r="AL148" s="439">
        <f t="shared" ca="1" si="171"/>
        <v>0.92400000000000004</v>
      </c>
      <c r="AM148" s="439">
        <f t="shared" ca="1" si="172"/>
        <v>0.97899999999999998</v>
      </c>
      <c r="AN148" s="439">
        <f t="shared" ca="1" si="173"/>
        <v>0.89700000000000002</v>
      </c>
      <c r="AO148" s="439">
        <f t="shared" ca="1" si="174"/>
        <v>0.48</v>
      </c>
      <c r="AP148" s="439">
        <f t="shared" ca="1" si="175"/>
        <v>0.94499999999999995</v>
      </c>
      <c r="AQ148" s="439">
        <f t="shared" ca="1" si="176"/>
        <v>1.024</v>
      </c>
      <c r="AR148" s="439">
        <f t="shared" ca="1" si="177"/>
        <v>0.89500000000000002</v>
      </c>
      <c r="AS148" s="439">
        <f t="shared" ca="1" si="178"/>
        <v>0.39900000000000002</v>
      </c>
      <c r="AT148" s="439">
        <f t="shared" ca="1" si="179"/>
        <v>3.93</v>
      </c>
      <c r="AU148" s="439">
        <f t="shared" ca="1" si="180"/>
        <v>4.2300000000000004</v>
      </c>
      <c r="AV148" s="439">
        <f t="shared" ca="1" si="181"/>
        <v>4.0999999999999996</v>
      </c>
      <c r="AW148" s="439">
        <f t="shared" ca="1" si="182"/>
        <v>1.72</v>
      </c>
    </row>
    <row r="149" spans="1:49" ht="15.75" x14ac:dyDescent="0.25">
      <c r="A149" s="437" t="str">
        <f>INDEX(Оглавление, ROW())</f>
        <v>[Цены на приграничных АЗС 2017-2020 (7138827 v1).XLSM]Цены на 29.04.2020</v>
      </c>
      <c r="B149" s="438">
        <f t="shared" ca="1" si="183"/>
        <v>43950</v>
      </c>
      <c r="C149" s="439">
        <f t="shared" ca="1" si="184"/>
        <v>9.0753000000000004</v>
      </c>
      <c r="D149" s="439">
        <f t="shared" ca="1" si="185"/>
        <v>2.4630000000000001</v>
      </c>
      <c r="E149" s="439">
        <f t="shared" ca="1" si="186"/>
        <v>2.6469999999999998</v>
      </c>
      <c r="F149" s="439">
        <f t="shared" ca="1" si="187"/>
        <v>5.8540999999999999</v>
      </c>
      <c r="G149" s="439">
        <f t="shared" ca="1" si="188"/>
        <v>3.2972999999999999</v>
      </c>
      <c r="H149" s="439">
        <f t="shared" ca="1" si="141"/>
        <v>1.7</v>
      </c>
      <c r="I149" s="439">
        <f t="shared" ca="1" si="142"/>
        <v>1.8</v>
      </c>
      <c r="J149" s="439">
        <f t="shared" ca="1" si="143"/>
        <v>1.93</v>
      </c>
      <c r="K149" s="439">
        <f t="shared" ca="1" si="144"/>
        <v>1.8</v>
      </c>
      <c r="L149" s="439">
        <f t="shared" ca="1" si="145"/>
        <v>0.95</v>
      </c>
      <c r="M149" s="439">
        <f t="shared" ca="1" si="146"/>
        <v>42.4</v>
      </c>
      <c r="N149" s="439">
        <f t="shared" ca="1" si="147"/>
        <v>46.6</v>
      </c>
      <c r="O149" s="439">
        <f t="shared" ca="1" si="148"/>
        <v>51.49</v>
      </c>
      <c r="P149" s="439">
        <f t="shared" ca="1" si="149"/>
        <v>47.08</v>
      </c>
      <c r="Q149" s="439">
        <f t="shared" ca="1" si="150"/>
        <v>20.49</v>
      </c>
      <c r="R149" s="439">
        <f t="shared" ca="1" si="151"/>
        <v>42.25</v>
      </c>
      <c r="S149" s="439">
        <f t="shared" ca="1" si="152"/>
        <v>45.55</v>
      </c>
      <c r="T149" s="439">
        <f t="shared" ca="1" si="153"/>
        <v>51.8</v>
      </c>
      <c r="U149" s="439">
        <f t="shared" ca="1" si="154"/>
        <v>46.28</v>
      </c>
      <c r="V149" s="439">
        <f t="shared" ca="1" si="155"/>
        <v>23.4</v>
      </c>
      <c r="W149" s="439">
        <f t="shared" ca="1" si="156"/>
        <v>42.9</v>
      </c>
      <c r="X149" s="439">
        <f t="shared" ca="1" si="157"/>
        <v>46.07</v>
      </c>
      <c r="Y149" s="439">
        <f t="shared" ca="1" si="158"/>
        <v>51</v>
      </c>
      <c r="Z149" s="439">
        <f t="shared" ca="1" si="159"/>
        <v>45.95</v>
      </c>
      <c r="AA149" s="439">
        <f t="shared" ca="1" si="160"/>
        <v>23.75</v>
      </c>
      <c r="AB149" s="439">
        <f t="shared" ca="1" si="161"/>
        <v>42</v>
      </c>
      <c r="AC149" s="439">
        <f t="shared" ca="1" si="162"/>
        <v>45.01</v>
      </c>
      <c r="AD149" s="439">
        <f t="shared" ca="1" si="163"/>
        <v>52.49</v>
      </c>
      <c r="AE149" s="439">
        <f t="shared" ca="1" si="164"/>
        <v>47.91</v>
      </c>
      <c r="AF149" s="439">
        <f t="shared" ca="1" si="165"/>
        <v>21.75</v>
      </c>
      <c r="AG149" s="439">
        <f t="shared" ca="1" si="166"/>
        <v>23.5</v>
      </c>
      <c r="AH149" s="439">
        <f t="shared" ca="1" si="167"/>
        <v>24.2</v>
      </c>
      <c r="AI149" s="439">
        <f t="shared" ca="1" si="168"/>
        <v>29.54</v>
      </c>
      <c r="AJ149" s="439">
        <f t="shared" ca="1" si="169"/>
        <v>23</v>
      </c>
      <c r="AK149" s="439">
        <f t="shared" ca="1" si="170"/>
        <v>14.5</v>
      </c>
      <c r="AL149" s="439">
        <f t="shared" ca="1" si="171"/>
        <v>0.97399999999999998</v>
      </c>
      <c r="AM149" s="439">
        <f t="shared" ca="1" si="172"/>
        <v>1.034</v>
      </c>
      <c r="AN149" s="439">
        <f t="shared" ca="1" si="173"/>
        <v>0.91400000000000003</v>
      </c>
      <c r="AO149" s="439">
        <f t="shared" ca="1" si="174"/>
        <v>0.45</v>
      </c>
      <c r="AP149" s="439">
        <f t="shared" ca="1" si="175"/>
        <v>0.90500000000000003</v>
      </c>
      <c r="AQ149" s="439">
        <f t="shared" ca="1" si="176"/>
        <v>0.98399999999999999</v>
      </c>
      <c r="AR149" s="439">
        <f t="shared" ca="1" si="177"/>
        <v>0.84499999999999997</v>
      </c>
      <c r="AS149" s="439">
        <f t="shared" ca="1" si="178"/>
        <v>0.38900000000000001</v>
      </c>
      <c r="AT149" s="439">
        <f t="shared" ca="1" si="179"/>
        <v>3.85</v>
      </c>
      <c r="AU149" s="439">
        <f t="shared" ca="1" si="180"/>
        <v>4.26</v>
      </c>
      <c r="AV149" s="439">
        <f t="shared" ca="1" si="181"/>
        <v>4</v>
      </c>
      <c r="AW149" s="439">
        <f t="shared" ca="1" si="182"/>
        <v>1.62</v>
      </c>
    </row>
    <row r="150" spans="1:49" ht="15.75" x14ac:dyDescent="0.25">
      <c r="A150" s="437" t="str">
        <f>INDEX(Оглавление, ROW())</f>
        <v>[Цены на приграничных АЗС 2017-2020 (7138827 v1).XLSM]Цены на 04.05.2020</v>
      </c>
      <c r="B150" s="438">
        <f t="shared" ca="1" si="183"/>
        <v>43955</v>
      </c>
      <c r="C150" s="439">
        <f t="shared" ca="1" si="184"/>
        <v>8.9601000000000006</v>
      </c>
      <c r="D150" s="439">
        <f t="shared" ca="1" si="185"/>
        <v>2.4142999999999999</v>
      </c>
      <c r="E150" s="439">
        <f t="shared" ca="1" si="186"/>
        <v>2.6261000000000001</v>
      </c>
      <c r="F150" s="439">
        <f t="shared" ca="1" si="187"/>
        <v>5.7773000000000003</v>
      </c>
      <c r="G150" s="439">
        <f t="shared" ca="1" si="188"/>
        <v>3.3188</v>
      </c>
      <c r="H150" s="439">
        <f t="shared" ca="1" si="141"/>
        <v>1.69</v>
      </c>
      <c r="I150" s="439">
        <f t="shared" ca="1" si="142"/>
        <v>1.79</v>
      </c>
      <c r="J150" s="439">
        <f t="shared" ca="1" si="143"/>
        <v>1.92</v>
      </c>
      <c r="K150" s="439">
        <f t="shared" ca="1" si="144"/>
        <v>1.79</v>
      </c>
      <c r="L150" s="439">
        <f t="shared" ca="1" si="145"/>
        <v>0.94</v>
      </c>
      <c r="M150" s="439">
        <f t="shared" ca="1" si="146"/>
        <v>42.4</v>
      </c>
      <c r="N150" s="439">
        <f t="shared" ca="1" si="147"/>
        <v>46.6</v>
      </c>
      <c r="O150" s="439">
        <f t="shared" ca="1" si="148"/>
        <v>51.49</v>
      </c>
      <c r="P150" s="439">
        <f t="shared" ca="1" si="149"/>
        <v>47.08</v>
      </c>
      <c r="Q150" s="439">
        <f t="shared" ca="1" si="150"/>
        <v>20.49</v>
      </c>
      <c r="R150" s="439">
        <f t="shared" ca="1" si="151"/>
        <v>42.25</v>
      </c>
      <c r="S150" s="439">
        <f t="shared" ca="1" si="152"/>
        <v>45.55</v>
      </c>
      <c r="T150" s="439">
        <f t="shared" ca="1" si="153"/>
        <v>51.8</v>
      </c>
      <c r="U150" s="439">
        <f t="shared" ca="1" si="154"/>
        <v>46.28</v>
      </c>
      <c r="V150" s="439">
        <f t="shared" ca="1" si="155"/>
        <v>23.4</v>
      </c>
      <c r="W150" s="439">
        <f t="shared" ca="1" si="156"/>
        <v>42.9</v>
      </c>
      <c r="X150" s="439">
        <f t="shared" ca="1" si="157"/>
        <v>46.07</v>
      </c>
      <c r="Y150" s="439">
        <f t="shared" ca="1" si="158"/>
        <v>51</v>
      </c>
      <c r="Z150" s="439">
        <f t="shared" ca="1" si="159"/>
        <v>45.95</v>
      </c>
      <c r="AA150" s="439">
        <f t="shared" ca="1" si="160"/>
        <v>23.75</v>
      </c>
      <c r="AB150" s="439">
        <f t="shared" ca="1" si="161"/>
        <v>42</v>
      </c>
      <c r="AC150" s="439">
        <f t="shared" ca="1" si="162"/>
        <v>45.01</v>
      </c>
      <c r="AD150" s="439">
        <f t="shared" ca="1" si="163"/>
        <v>52.49</v>
      </c>
      <c r="AE150" s="439">
        <f t="shared" ca="1" si="164"/>
        <v>47.91</v>
      </c>
      <c r="AF150" s="439">
        <f t="shared" ca="1" si="165"/>
        <v>21.75</v>
      </c>
      <c r="AG150" s="439">
        <f t="shared" ca="1" si="166"/>
        <v>22.75</v>
      </c>
      <c r="AH150" s="439">
        <f t="shared" ca="1" si="167"/>
        <v>23.45</v>
      </c>
      <c r="AI150" s="439">
        <f t="shared" ca="1" si="168"/>
        <v>29.54</v>
      </c>
      <c r="AJ150" s="439">
        <f t="shared" ca="1" si="169"/>
        <v>22.25</v>
      </c>
      <c r="AK150" s="439">
        <f t="shared" ca="1" si="170"/>
        <v>14.25</v>
      </c>
      <c r="AL150" s="439">
        <f t="shared" ca="1" si="171"/>
        <v>0.97399999999999998</v>
      </c>
      <c r="AM150" s="439">
        <f t="shared" ca="1" si="172"/>
        <v>1.034</v>
      </c>
      <c r="AN150" s="439">
        <f t="shared" ca="1" si="173"/>
        <v>0.91400000000000003</v>
      </c>
      <c r="AO150" s="439">
        <f t="shared" ca="1" si="174"/>
        <v>0.45</v>
      </c>
      <c r="AP150" s="439">
        <f t="shared" ca="1" si="175"/>
        <v>0.90500000000000003</v>
      </c>
      <c r="AQ150" s="439">
        <f t="shared" ca="1" si="176"/>
        <v>0.98399999999999999</v>
      </c>
      <c r="AR150" s="439">
        <f t="shared" ca="1" si="177"/>
        <v>0.84499999999999997</v>
      </c>
      <c r="AS150" s="439">
        <f t="shared" ca="1" si="178"/>
        <v>0.38900000000000001</v>
      </c>
      <c r="AT150" s="439">
        <f t="shared" ca="1" si="179"/>
        <v>3.85</v>
      </c>
      <c r="AU150" s="439">
        <f t="shared" ca="1" si="180"/>
        <v>4.26</v>
      </c>
      <c r="AV150" s="439">
        <f t="shared" ca="1" si="181"/>
        <v>4</v>
      </c>
      <c r="AW150" s="439">
        <f t="shared" ca="1" si="182"/>
        <v>1.62</v>
      </c>
    </row>
    <row r="151" spans="1:49" ht="15.75" x14ac:dyDescent="0.25">
      <c r="A151" s="437" t="str">
        <f>INDEX(Оглавление, ROW())</f>
        <v>[Цены на приграничных АЗС 2017-2020 (7138827 v1).XLSM]Цены на 11.05.2020</v>
      </c>
      <c r="B151" s="438">
        <f t="shared" ca="1" si="183"/>
        <v>43962</v>
      </c>
      <c r="C151" s="439">
        <f t="shared" ca="1" si="184"/>
        <v>9.0984999999999996</v>
      </c>
      <c r="D151" s="439">
        <f t="shared" ca="1" si="185"/>
        <v>2.4415</v>
      </c>
      <c r="E151" s="439">
        <f t="shared" ca="1" si="186"/>
        <v>2.6427</v>
      </c>
      <c r="F151" s="439">
        <f t="shared" ca="1" si="187"/>
        <v>5.8070000000000004</v>
      </c>
      <c r="G151" s="439">
        <f t="shared" ca="1" si="188"/>
        <v>3.3048999999999999</v>
      </c>
      <c r="H151" s="439">
        <f t="shared" ca="1" si="141"/>
        <v>1.68</v>
      </c>
      <c r="I151" s="439">
        <f t="shared" ca="1" si="142"/>
        <v>1.78</v>
      </c>
      <c r="J151" s="439">
        <f t="shared" ca="1" si="143"/>
        <v>1.92</v>
      </c>
      <c r="K151" s="439">
        <f t="shared" ca="1" si="144"/>
        <v>1.78</v>
      </c>
      <c r="L151" s="439">
        <f t="shared" ca="1" si="145"/>
        <v>0.94</v>
      </c>
      <c r="M151" s="439">
        <f t="shared" ca="1" si="146"/>
        <v>42.43</v>
      </c>
      <c r="N151" s="439">
        <f t="shared" ca="1" si="147"/>
        <v>46.62</v>
      </c>
      <c r="O151" s="439">
        <f t="shared" ca="1" si="148"/>
        <v>51.49</v>
      </c>
      <c r="P151" s="439">
        <f t="shared" ca="1" si="149"/>
        <v>47.09</v>
      </c>
      <c r="Q151" s="439">
        <f t="shared" ca="1" si="150"/>
        <v>20.49</v>
      </c>
      <c r="R151" s="439">
        <f t="shared" ca="1" si="151"/>
        <v>42.26</v>
      </c>
      <c r="S151" s="439">
        <f t="shared" ca="1" si="152"/>
        <v>45.52</v>
      </c>
      <c r="T151" s="439">
        <f t="shared" ca="1" si="153"/>
        <v>51.8</v>
      </c>
      <c r="U151" s="439">
        <f t="shared" ca="1" si="154"/>
        <v>46.26</v>
      </c>
      <c r="V151" s="439">
        <f t="shared" ca="1" si="155"/>
        <v>23.4</v>
      </c>
      <c r="W151" s="439">
        <f t="shared" ca="1" si="156"/>
        <v>42.91</v>
      </c>
      <c r="X151" s="439">
        <f t="shared" ca="1" si="157"/>
        <v>46.03</v>
      </c>
      <c r="Y151" s="439">
        <f t="shared" ca="1" si="158"/>
        <v>51</v>
      </c>
      <c r="Z151" s="439">
        <f t="shared" ca="1" si="159"/>
        <v>45.94</v>
      </c>
      <c r="AA151" s="439">
        <f t="shared" ca="1" si="160"/>
        <v>23.75</v>
      </c>
      <c r="AB151" s="439">
        <f t="shared" ca="1" si="161"/>
        <v>42</v>
      </c>
      <c r="AC151" s="439">
        <f t="shared" ca="1" si="162"/>
        <v>45.01</v>
      </c>
      <c r="AD151" s="439">
        <f t="shared" ca="1" si="163"/>
        <v>52.49</v>
      </c>
      <c r="AE151" s="439">
        <f t="shared" ca="1" si="164"/>
        <v>47.91</v>
      </c>
      <c r="AF151" s="439">
        <f t="shared" ca="1" si="165"/>
        <v>21.75</v>
      </c>
      <c r="AG151" s="439">
        <f t="shared" ca="1" si="166"/>
        <v>22.5</v>
      </c>
      <c r="AH151" s="439">
        <f t="shared" ca="1" si="167"/>
        <v>23.7</v>
      </c>
      <c r="AI151" s="439">
        <f t="shared" ca="1" si="168"/>
        <v>29.54</v>
      </c>
      <c r="AJ151" s="439">
        <f t="shared" ca="1" si="169"/>
        <v>22</v>
      </c>
      <c r="AK151" s="439">
        <f t="shared" ca="1" si="170"/>
        <v>9.59</v>
      </c>
      <c r="AL151" s="439">
        <f t="shared" ca="1" si="171"/>
        <v>0.95699999999999996</v>
      </c>
      <c r="AM151" s="439">
        <f t="shared" ca="1" si="172"/>
        <v>1.002</v>
      </c>
      <c r="AN151" s="439">
        <f t="shared" ca="1" si="173"/>
        <v>0.88700000000000001</v>
      </c>
      <c r="AO151" s="439">
        <f t="shared" ca="1" si="174"/>
        <v>0.45</v>
      </c>
      <c r="AP151" s="439">
        <f t="shared" ca="1" si="175"/>
        <v>0.93300000000000005</v>
      </c>
      <c r="AQ151" s="439">
        <f t="shared" ca="1" si="176"/>
        <v>1.014</v>
      </c>
      <c r="AR151" s="439">
        <f t="shared" ca="1" si="177"/>
        <v>0.82299999999999995</v>
      </c>
      <c r="AS151" s="439">
        <f t="shared" ca="1" si="178"/>
        <v>0.379</v>
      </c>
      <c r="AT151" s="439">
        <f t="shared" ca="1" si="179"/>
        <v>3.77</v>
      </c>
      <c r="AU151" s="439">
        <f t="shared" ca="1" si="180"/>
        <v>4.05</v>
      </c>
      <c r="AV151" s="439">
        <f t="shared" ca="1" si="181"/>
        <v>3.9</v>
      </c>
      <c r="AW151" s="439">
        <f t="shared" ca="1" si="182"/>
        <v>1.6</v>
      </c>
    </row>
    <row r="152" spans="1:49" ht="15.75" x14ac:dyDescent="0.25">
      <c r="A152" s="437" t="str">
        <f>INDEX(Оглавление, ROW())</f>
        <v>[Цены на приграничных АЗС 2017-2020 (7138827 v1).XLSM]Цены на 18.05.2020</v>
      </c>
      <c r="B152" s="438">
        <f t="shared" ca="1" si="183"/>
        <v>43969</v>
      </c>
      <c r="C152" s="439">
        <f t="shared" ca="1" si="184"/>
        <v>9.1844999999999999</v>
      </c>
      <c r="D152" s="439">
        <f t="shared" ca="1" si="185"/>
        <v>2.4462000000000002</v>
      </c>
      <c r="E152" s="439">
        <f t="shared" ca="1" si="186"/>
        <v>2.6442000000000001</v>
      </c>
      <c r="F152" s="439">
        <f t="shared" ca="1" si="187"/>
        <v>5.8011999999999997</v>
      </c>
      <c r="G152" s="439">
        <f t="shared" ca="1" si="188"/>
        <v>3.3401999999999998</v>
      </c>
      <c r="H152" s="439">
        <f t="shared" ca="1" si="141"/>
        <v>1.68</v>
      </c>
      <c r="I152" s="439">
        <f t="shared" ca="1" si="142"/>
        <v>1.78</v>
      </c>
      <c r="J152" s="439">
        <f t="shared" ca="1" si="143"/>
        <v>1.92</v>
      </c>
      <c r="K152" s="439">
        <f t="shared" ca="1" si="144"/>
        <v>1.78</v>
      </c>
      <c r="L152" s="439">
        <f t="shared" ca="1" si="145"/>
        <v>0.94</v>
      </c>
      <c r="M152" s="439">
        <f t="shared" ca="1" si="146"/>
        <v>42.15</v>
      </c>
      <c r="N152" s="439">
        <f t="shared" ca="1" si="147"/>
        <v>46.09</v>
      </c>
      <c r="O152" s="439">
        <f t="shared" ca="1" si="148"/>
        <v>51.49</v>
      </c>
      <c r="P152" s="439">
        <f t="shared" ca="1" si="149"/>
        <v>46.24</v>
      </c>
      <c r="Q152" s="439">
        <f t="shared" ca="1" si="150"/>
        <v>19.82</v>
      </c>
      <c r="R152" s="439">
        <f t="shared" ca="1" si="151"/>
        <v>42.26</v>
      </c>
      <c r="S152" s="439">
        <f t="shared" ca="1" si="152"/>
        <v>45.52</v>
      </c>
      <c r="T152" s="439">
        <f t="shared" ca="1" si="153"/>
        <v>51.8</v>
      </c>
      <c r="U152" s="439">
        <f t="shared" ca="1" si="154"/>
        <v>46.23</v>
      </c>
      <c r="V152" s="439">
        <f t="shared" ca="1" si="155"/>
        <v>23.4</v>
      </c>
      <c r="W152" s="439">
        <f t="shared" ca="1" si="156"/>
        <v>42.91</v>
      </c>
      <c r="X152" s="439">
        <f t="shared" ca="1" si="157"/>
        <v>46.03</v>
      </c>
      <c r="Y152" s="439">
        <f t="shared" ca="1" si="158"/>
        <v>51</v>
      </c>
      <c r="Z152" s="439">
        <f t="shared" ca="1" si="159"/>
        <v>45.94</v>
      </c>
      <c r="AA152" s="439">
        <f t="shared" ca="1" si="160"/>
        <v>23.75</v>
      </c>
      <c r="AB152" s="439">
        <f t="shared" ca="1" si="161"/>
        <v>42</v>
      </c>
      <c r="AC152" s="439">
        <f t="shared" ca="1" si="162"/>
        <v>45.01</v>
      </c>
      <c r="AD152" s="439">
        <f t="shared" ca="1" si="163"/>
        <v>52.49</v>
      </c>
      <c r="AE152" s="439">
        <f t="shared" ca="1" si="164"/>
        <v>47.91</v>
      </c>
      <c r="AF152" s="439">
        <f t="shared" ca="1" si="165"/>
        <v>21.75</v>
      </c>
      <c r="AG152" s="439">
        <f t="shared" ca="1" si="166"/>
        <v>22.5</v>
      </c>
      <c r="AH152" s="439">
        <f t="shared" ca="1" si="167"/>
        <v>23.7</v>
      </c>
      <c r="AI152" s="439">
        <f t="shared" ca="1" si="168"/>
        <v>29.54</v>
      </c>
      <c r="AJ152" s="439">
        <f t="shared" ca="1" si="169"/>
        <v>22</v>
      </c>
      <c r="AK152" s="439">
        <f t="shared" ca="1" si="170"/>
        <v>10.34</v>
      </c>
      <c r="AL152" s="439">
        <f t="shared" ca="1" si="171"/>
        <v>0.94399999999999995</v>
      </c>
      <c r="AM152" s="439">
        <f t="shared" ca="1" si="172"/>
        <v>1.004</v>
      </c>
      <c r="AN152" s="439">
        <f t="shared" ca="1" si="173"/>
        <v>0.85399999999999998</v>
      </c>
      <c r="AO152" s="439">
        <f t="shared" ca="1" si="174"/>
        <v>0.41499999999999998</v>
      </c>
      <c r="AP152" s="439">
        <f t="shared" ca="1" si="175"/>
        <v>0.91600000000000004</v>
      </c>
      <c r="AQ152" s="439">
        <f t="shared" ca="1" si="176"/>
        <v>1.044</v>
      </c>
      <c r="AR152" s="439">
        <f t="shared" ca="1" si="177"/>
        <v>0.81599999999999995</v>
      </c>
      <c r="AS152" s="439">
        <f t="shared" ca="1" si="178"/>
        <v>0.379</v>
      </c>
      <c r="AT152" s="439">
        <f t="shared" ca="1" si="179"/>
        <v>3.81</v>
      </c>
      <c r="AU152" s="439">
        <f t="shared" ca="1" si="180"/>
        <v>4.08</v>
      </c>
      <c r="AV152" s="439">
        <f t="shared" ca="1" si="181"/>
        <v>3.88</v>
      </c>
      <c r="AW152" s="439">
        <f t="shared" ca="1" si="182"/>
        <v>1.6</v>
      </c>
    </row>
    <row r="153" spans="1:49" ht="15.75" x14ac:dyDescent="0.25">
      <c r="A153" s="437" t="str">
        <f>INDEX(Оглавление, ROW())</f>
        <v>[Цены на приграничных АЗС 2017-2020 (7138827 v1).XLSM]Цены на 25.05.2020</v>
      </c>
      <c r="B153" s="438">
        <f t="shared" ca="1" si="183"/>
        <v>43976</v>
      </c>
      <c r="C153" s="439">
        <f t="shared" ca="1" si="184"/>
        <v>8.9603999999999999</v>
      </c>
      <c r="D153" s="439">
        <f t="shared" ca="1" si="185"/>
        <v>2.3986000000000001</v>
      </c>
      <c r="E153" s="439">
        <f t="shared" ca="1" si="186"/>
        <v>2.6172</v>
      </c>
      <c r="F153" s="439">
        <f t="shared" ca="1" si="187"/>
        <v>5.7793000000000001</v>
      </c>
      <c r="G153" s="439">
        <f t="shared" ca="1" si="188"/>
        <v>3.3424</v>
      </c>
      <c r="H153" s="439">
        <f t="shared" ca="1" si="141"/>
        <v>1.68</v>
      </c>
      <c r="I153" s="439">
        <f t="shared" ca="1" si="142"/>
        <v>1.78</v>
      </c>
      <c r="J153" s="439">
        <f t="shared" ca="1" si="143"/>
        <v>1.92</v>
      </c>
      <c r="K153" s="439">
        <f t="shared" ca="1" si="144"/>
        <v>1.78</v>
      </c>
      <c r="L153" s="439">
        <f t="shared" ca="1" si="145"/>
        <v>0.94</v>
      </c>
      <c r="M153" s="439">
        <f t="shared" ca="1" si="146"/>
        <v>42</v>
      </c>
      <c r="N153" s="439">
        <f t="shared" ca="1" si="147"/>
        <v>46.2</v>
      </c>
      <c r="O153" s="439">
        <f t="shared" ca="1" si="148"/>
        <v>51.49</v>
      </c>
      <c r="P153" s="439">
        <f t="shared" ca="1" si="149"/>
        <v>45.49</v>
      </c>
      <c r="Q153" s="439">
        <f t="shared" ca="1" si="150"/>
        <v>19.62</v>
      </c>
      <c r="R153" s="439">
        <f t="shared" ca="1" si="151"/>
        <v>42.26</v>
      </c>
      <c r="S153" s="439">
        <f t="shared" ca="1" si="152"/>
        <v>45.52</v>
      </c>
      <c r="T153" s="439">
        <f t="shared" ca="1" si="153"/>
        <v>51.8</v>
      </c>
      <c r="U153" s="439">
        <f t="shared" ca="1" si="154"/>
        <v>46.24</v>
      </c>
      <c r="V153" s="439">
        <f t="shared" ca="1" si="155"/>
        <v>23.4</v>
      </c>
      <c r="W153" s="439">
        <f t="shared" ca="1" si="156"/>
        <v>42.91</v>
      </c>
      <c r="X153" s="439">
        <f t="shared" ca="1" si="157"/>
        <v>46.03</v>
      </c>
      <c r="Y153" s="439">
        <f t="shared" ca="1" si="158"/>
        <v>51</v>
      </c>
      <c r="Z153" s="439">
        <f t="shared" ca="1" si="159"/>
        <v>45.94</v>
      </c>
      <c r="AA153" s="439">
        <f t="shared" ca="1" si="160"/>
        <v>23.75</v>
      </c>
      <c r="AB153" s="439">
        <f t="shared" ca="1" si="161"/>
        <v>42</v>
      </c>
      <c r="AC153" s="439">
        <f t="shared" ca="1" si="162"/>
        <v>45.01</v>
      </c>
      <c r="AD153" s="439">
        <f t="shared" ca="1" si="163"/>
        <v>52.49</v>
      </c>
      <c r="AE153" s="439">
        <f t="shared" ca="1" si="164"/>
        <v>47.9</v>
      </c>
      <c r="AF153" s="439">
        <f t="shared" ca="1" si="165"/>
        <v>21.75</v>
      </c>
      <c r="AG153" s="439">
        <f t="shared" ca="1" si="166"/>
        <v>22.25</v>
      </c>
      <c r="AH153" s="439">
        <f t="shared" ca="1" si="167"/>
        <v>23.95</v>
      </c>
      <c r="AI153" s="439">
        <f t="shared" ca="1" si="168"/>
        <v>27.29</v>
      </c>
      <c r="AJ153" s="439">
        <f t="shared" ca="1" si="169"/>
        <v>21.65</v>
      </c>
      <c r="AK153" s="439">
        <f t="shared" ca="1" si="170"/>
        <v>10.1</v>
      </c>
      <c r="AL153" s="439">
        <f t="shared" ca="1" si="171"/>
        <v>0.98699999999999999</v>
      </c>
      <c r="AM153" s="439">
        <f t="shared" ca="1" si="172"/>
        <v>1.032</v>
      </c>
      <c r="AN153" s="439">
        <f t="shared" ca="1" si="173"/>
        <v>0.90700000000000003</v>
      </c>
      <c r="AO153" s="439">
        <f t="shared" ca="1" si="174"/>
        <v>0.44500000000000001</v>
      </c>
      <c r="AP153" s="439">
        <f t="shared" ca="1" si="175"/>
        <v>0.93500000000000005</v>
      </c>
      <c r="AQ153" s="439">
        <f t="shared" ca="1" si="176"/>
        <v>1.014</v>
      </c>
      <c r="AR153" s="439">
        <f t="shared" ca="1" si="177"/>
        <v>0.83499999999999996</v>
      </c>
      <c r="AS153" s="439">
        <f t="shared" ca="1" si="178"/>
        <v>0.43</v>
      </c>
      <c r="AT153" s="439">
        <f t="shared" ca="1" si="179"/>
        <v>3.96</v>
      </c>
      <c r="AU153" s="439">
        <f t="shared" ca="1" si="180"/>
        <v>4.22</v>
      </c>
      <c r="AV153" s="439">
        <f t="shared" ca="1" si="181"/>
        <v>3.99</v>
      </c>
      <c r="AW153" s="439">
        <f t="shared" ca="1" si="182"/>
        <v>1.65</v>
      </c>
    </row>
    <row r="154" spans="1:49" ht="15.75" x14ac:dyDescent="0.25">
      <c r="A154" s="437" t="str">
        <f>INDEX(Оглавление, ROW())</f>
        <v>[Цены на приграничных АЗС 2017-2020 (7138827 v1).XLSM]Цены на 01.06.2020</v>
      </c>
      <c r="B154" s="438">
        <f t="shared" ca="1" si="183"/>
        <v>43983</v>
      </c>
      <c r="C154" s="439">
        <f t="shared" ca="1" si="184"/>
        <v>8.9708000000000006</v>
      </c>
      <c r="D154" s="439">
        <f t="shared" ca="1" si="185"/>
        <v>2.41</v>
      </c>
      <c r="E154" s="439">
        <f t="shared" ca="1" si="186"/>
        <v>2.6772</v>
      </c>
      <c r="F154" s="439">
        <f t="shared" ca="1" si="187"/>
        <v>6.0347</v>
      </c>
      <c r="G154" s="439">
        <f t="shared" ca="1" si="188"/>
        <v>3.4096000000000002</v>
      </c>
      <c r="H154" s="439">
        <f t="shared" ca="1" si="141"/>
        <v>1.68</v>
      </c>
      <c r="I154" s="439">
        <f t="shared" ca="1" si="142"/>
        <v>1.78</v>
      </c>
      <c r="J154" s="439">
        <f t="shared" ca="1" si="143"/>
        <v>1.92</v>
      </c>
      <c r="K154" s="439">
        <f t="shared" ca="1" si="144"/>
        <v>1.78</v>
      </c>
      <c r="L154" s="439">
        <f t="shared" ca="1" si="145"/>
        <v>0.94</v>
      </c>
      <c r="M154" s="439">
        <f t="shared" ca="1" si="146"/>
        <v>42.5</v>
      </c>
      <c r="N154" s="439">
        <f t="shared" ca="1" si="147"/>
        <v>46.69</v>
      </c>
      <c r="O154" s="439">
        <f t="shared" ca="1" si="148"/>
        <v>51.49</v>
      </c>
      <c r="P154" s="439">
        <f t="shared" ca="1" si="149"/>
        <v>47.14</v>
      </c>
      <c r="Q154" s="439">
        <f t="shared" ca="1" si="150"/>
        <v>19.690000000000001</v>
      </c>
      <c r="R154" s="439">
        <f t="shared" ca="1" si="151"/>
        <v>42.26</v>
      </c>
      <c r="S154" s="439">
        <f t="shared" ca="1" si="152"/>
        <v>45.52</v>
      </c>
      <c r="T154" s="439">
        <f t="shared" ca="1" si="153"/>
        <v>51.8</v>
      </c>
      <c r="U154" s="439">
        <f t="shared" ca="1" si="154"/>
        <v>46.24</v>
      </c>
      <c r="V154" s="439">
        <f t="shared" ca="1" si="155"/>
        <v>23.4</v>
      </c>
      <c r="W154" s="439">
        <f t="shared" ca="1" si="156"/>
        <v>42.91</v>
      </c>
      <c r="X154" s="439">
        <f t="shared" ca="1" si="157"/>
        <v>46.03</v>
      </c>
      <c r="Y154" s="439">
        <f t="shared" ca="1" si="158"/>
        <v>51</v>
      </c>
      <c r="Z154" s="439">
        <f t="shared" ca="1" si="159"/>
        <v>45.91</v>
      </c>
      <c r="AA154" s="439">
        <f t="shared" ca="1" si="160"/>
        <v>23.75</v>
      </c>
      <c r="AB154" s="439">
        <f t="shared" ca="1" si="161"/>
        <v>42</v>
      </c>
      <c r="AC154" s="439">
        <f t="shared" ca="1" si="162"/>
        <v>45.01</v>
      </c>
      <c r="AD154" s="439">
        <f t="shared" ca="1" si="163"/>
        <v>52.49</v>
      </c>
      <c r="AE154" s="439">
        <f t="shared" ca="1" si="164"/>
        <v>47.97</v>
      </c>
      <c r="AF154" s="439">
        <f t="shared" ca="1" si="165"/>
        <v>21.75</v>
      </c>
      <c r="AG154" s="439">
        <f t="shared" ca="1" si="166"/>
        <v>22.25</v>
      </c>
      <c r="AH154" s="439">
        <f t="shared" ca="1" si="167"/>
        <v>23.95</v>
      </c>
      <c r="AI154" s="439">
        <f t="shared" ca="1" si="168"/>
        <v>27.29</v>
      </c>
      <c r="AJ154" s="439">
        <f t="shared" ca="1" si="169"/>
        <v>21.5</v>
      </c>
      <c r="AK154" s="439">
        <f t="shared" ca="1" si="170"/>
        <v>10.14</v>
      </c>
      <c r="AL154" s="439">
        <f t="shared" ca="1" si="171"/>
        <v>1.0640000000000001</v>
      </c>
      <c r="AM154" s="439">
        <f t="shared" ca="1" si="172"/>
        <v>1.129</v>
      </c>
      <c r="AN154" s="439">
        <f t="shared" ca="1" si="173"/>
        <v>0.96399999999999997</v>
      </c>
      <c r="AO154" s="439">
        <f t="shared" ca="1" si="174"/>
        <v>0.44500000000000001</v>
      </c>
      <c r="AP154" s="439">
        <f t="shared" ca="1" si="175"/>
        <v>0.92900000000000005</v>
      </c>
      <c r="AQ154" s="439">
        <f t="shared" ca="1" si="176"/>
        <v>1.014</v>
      </c>
      <c r="AR154" s="439">
        <f t="shared" ca="1" si="177"/>
        <v>0.83299999999999996</v>
      </c>
      <c r="AS154" s="439">
        <f t="shared" ca="1" si="178"/>
        <v>0.439</v>
      </c>
      <c r="AT154" s="439">
        <f t="shared" ca="1" si="179"/>
        <v>4.04</v>
      </c>
      <c r="AU154" s="439">
        <f t="shared" ca="1" si="180"/>
        <v>4.28</v>
      </c>
      <c r="AV154" s="439">
        <f t="shared" ca="1" si="181"/>
        <v>4.09</v>
      </c>
      <c r="AW154" s="439">
        <f t="shared" ca="1" si="182"/>
        <v>1.73</v>
      </c>
    </row>
    <row r="155" spans="1:49" ht="15.75" x14ac:dyDescent="0.25">
      <c r="A155" s="437" t="str">
        <f>INDEX(Оглавление, ROW())</f>
        <v>[Цены на приграничных АЗС 2017-2020 (7138827 v1).XLSM]Цены на 08.06.2020</v>
      </c>
      <c r="B155" s="438">
        <f t="shared" ca="1" si="183"/>
        <v>43990</v>
      </c>
      <c r="C155" s="439">
        <f t="shared" ca="1" si="184"/>
        <v>8.952</v>
      </c>
      <c r="D155" s="439">
        <f t="shared" ca="1" si="185"/>
        <v>2.3809999999999998</v>
      </c>
      <c r="E155" s="439">
        <f t="shared" ca="1" si="186"/>
        <v>2.7027999999999999</v>
      </c>
      <c r="F155" s="439">
        <f t="shared" ca="1" si="187"/>
        <v>6.0648</v>
      </c>
      <c r="G155" s="439">
        <f t="shared" ca="1" si="188"/>
        <v>3.4695</v>
      </c>
      <c r="H155" s="439">
        <f t="shared" ca="1" si="141"/>
        <v>1.68</v>
      </c>
      <c r="I155" s="439">
        <f t="shared" ca="1" si="142"/>
        <v>1.78</v>
      </c>
      <c r="J155" s="439">
        <f t="shared" ca="1" si="143"/>
        <v>1.92</v>
      </c>
      <c r="K155" s="439">
        <f t="shared" ca="1" si="144"/>
        <v>1.78</v>
      </c>
      <c r="L155" s="439">
        <f t="shared" ca="1" si="145"/>
        <v>0.94</v>
      </c>
      <c r="M155" s="439">
        <f t="shared" ca="1" si="146"/>
        <v>42.45</v>
      </c>
      <c r="N155" s="439">
        <f t="shared" ca="1" si="147"/>
        <v>46.63</v>
      </c>
      <c r="O155" s="439">
        <f t="shared" ca="1" si="148"/>
        <v>50.74</v>
      </c>
      <c r="P155" s="439">
        <f t="shared" ca="1" si="149"/>
        <v>47.05</v>
      </c>
      <c r="Q155" s="439">
        <f t="shared" ca="1" si="150"/>
        <v>22.59</v>
      </c>
      <c r="R155" s="439">
        <f t="shared" ca="1" si="151"/>
        <v>42.26</v>
      </c>
      <c r="S155" s="439">
        <f t="shared" ca="1" si="152"/>
        <v>45.52</v>
      </c>
      <c r="T155" s="439">
        <f t="shared" ca="1" si="153"/>
        <v>51.8</v>
      </c>
      <c r="U155" s="439">
        <f t="shared" ca="1" si="154"/>
        <v>46.24</v>
      </c>
      <c r="V155" s="439">
        <f t="shared" ca="1" si="155"/>
        <v>23</v>
      </c>
      <c r="W155" s="439">
        <f t="shared" ca="1" si="156"/>
        <v>42.92</v>
      </c>
      <c r="X155" s="439">
        <f t="shared" ca="1" si="157"/>
        <v>46.04</v>
      </c>
      <c r="Y155" s="439">
        <f t="shared" ca="1" si="158"/>
        <v>51</v>
      </c>
      <c r="Z155" s="439">
        <f t="shared" ca="1" si="159"/>
        <v>45.95</v>
      </c>
      <c r="AA155" s="439">
        <f t="shared" ca="1" si="160"/>
        <v>22.7</v>
      </c>
      <c r="AB155" s="439">
        <f t="shared" ca="1" si="161"/>
        <v>42</v>
      </c>
      <c r="AC155" s="439">
        <f t="shared" ca="1" si="162"/>
        <v>45.01</v>
      </c>
      <c r="AD155" s="439">
        <f t="shared" ca="1" si="163"/>
        <v>51.9</v>
      </c>
      <c r="AE155" s="439">
        <f t="shared" ca="1" si="164"/>
        <v>47.91</v>
      </c>
      <c r="AF155" s="439">
        <f t="shared" ca="1" si="165"/>
        <v>20.75</v>
      </c>
      <c r="AG155" s="439">
        <f t="shared" ca="1" si="166"/>
        <v>22.25</v>
      </c>
      <c r="AH155" s="439">
        <f t="shared" ca="1" si="167"/>
        <v>24.2</v>
      </c>
      <c r="AI155" s="439">
        <f t="shared" ca="1" si="168"/>
        <v>27.29</v>
      </c>
      <c r="AJ155" s="439">
        <f t="shared" ca="1" si="169"/>
        <v>21.5</v>
      </c>
      <c r="AK155" s="439">
        <f t="shared" ca="1" si="170"/>
        <v>10.24</v>
      </c>
      <c r="AL155" s="439">
        <f t="shared" ca="1" si="171"/>
        <v>1.0840000000000001</v>
      </c>
      <c r="AM155" s="439">
        <f t="shared" ca="1" si="172"/>
        <v>1.149</v>
      </c>
      <c r="AN155" s="439">
        <f t="shared" ca="1" si="173"/>
        <v>0.97399999999999998</v>
      </c>
      <c r="AO155" s="439">
        <f t="shared" ca="1" si="174"/>
        <v>0.44500000000000001</v>
      </c>
      <c r="AP155" s="439">
        <f t="shared" ca="1" si="175"/>
        <v>0.95099999999999996</v>
      </c>
      <c r="AQ155" s="439">
        <f t="shared" ca="1" si="176"/>
        <v>1.038</v>
      </c>
      <c r="AR155" s="439">
        <f t="shared" ca="1" si="177"/>
        <v>0.86899999999999999</v>
      </c>
      <c r="AS155" s="439">
        <f t="shared" ca="1" si="178"/>
        <v>0.47899999999999998</v>
      </c>
      <c r="AT155" s="439">
        <f t="shared" ca="1" si="179"/>
        <v>4.08</v>
      </c>
      <c r="AU155" s="439">
        <f t="shared" ca="1" si="180"/>
        <v>4.29</v>
      </c>
      <c r="AV155" s="439">
        <f t="shared" ca="1" si="181"/>
        <v>4.1100000000000003</v>
      </c>
      <c r="AW155" s="439">
        <f t="shared" ca="1" si="182"/>
        <v>1.8</v>
      </c>
    </row>
    <row r="156" spans="1:49" ht="15.75" x14ac:dyDescent="0.25">
      <c r="A156" s="437" t="str">
        <f>INDEX(Оглавление, ROW())</f>
        <v>[Цены на приграничных АЗС 2017-2020 (7138827 v1).XLSM]Цены на 15.06.2020</v>
      </c>
      <c r="B156" s="438">
        <f t="shared" ca="1" si="183"/>
        <v>43997</v>
      </c>
      <c r="C156" s="439">
        <f t="shared" ca="1" si="184"/>
        <v>8.8933999999999997</v>
      </c>
      <c r="D156" s="439">
        <f t="shared" ca="1" si="185"/>
        <v>2.3780999999999999</v>
      </c>
      <c r="E156" s="439">
        <f t="shared" ca="1" si="186"/>
        <v>2.6890000000000001</v>
      </c>
      <c r="F156" s="439">
        <f t="shared" ca="1" si="187"/>
        <v>6.0537999999999998</v>
      </c>
      <c r="G156" s="439">
        <f t="shared" ca="1" si="188"/>
        <v>3.4115000000000002</v>
      </c>
      <c r="H156" s="439">
        <f t="shared" ca="1" si="141"/>
        <v>1.68</v>
      </c>
      <c r="I156" s="439">
        <f t="shared" ca="1" si="142"/>
        <v>1.78</v>
      </c>
      <c r="J156" s="439">
        <f t="shared" ca="1" si="143"/>
        <v>1.92</v>
      </c>
      <c r="K156" s="439">
        <f t="shared" ca="1" si="144"/>
        <v>1.78</v>
      </c>
      <c r="L156" s="439">
        <f t="shared" ca="1" si="145"/>
        <v>0.94</v>
      </c>
      <c r="M156" s="439">
        <f t="shared" ca="1" si="146"/>
        <v>42.43</v>
      </c>
      <c r="N156" s="439">
        <f t="shared" ca="1" si="147"/>
        <v>46.78</v>
      </c>
      <c r="O156" s="439">
        <f t="shared" ca="1" si="148"/>
        <v>52.24</v>
      </c>
      <c r="P156" s="439">
        <f t="shared" ca="1" si="149"/>
        <v>47.07</v>
      </c>
      <c r="Q156" s="439">
        <f t="shared" ca="1" si="150"/>
        <v>23.56</v>
      </c>
      <c r="R156" s="439">
        <f t="shared" ca="1" si="151"/>
        <v>42.23</v>
      </c>
      <c r="S156" s="439">
        <f t="shared" ca="1" si="152"/>
        <v>45.74</v>
      </c>
      <c r="T156" s="439">
        <f t="shared" ca="1" si="153"/>
        <v>51.4</v>
      </c>
      <c r="U156" s="439">
        <f t="shared" ca="1" si="154"/>
        <v>46.21</v>
      </c>
      <c r="V156" s="439">
        <f t="shared" ca="1" si="155"/>
        <v>23</v>
      </c>
      <c r="W156" s="439">
        <f t="shared" ca="1" si="156"/>
        <v>42.87</v>
      </c>
      <c r="X156" s="439">
        <f t="shared" ca="1" si="157"/>
        <v>46.1</v>
      </c>
      <c r="Y156" s="439">
        <f t="shared" ca="1" si="158"/>
        <v>51</v>
      </c>
      <c r="Z156" s="439">
        <f t="shared" ca="1" si="159"/>
        <v>45.95</v>
      </c>
      <c r="AA156" s="439">
        <f t="shared" ca="1" si="160"/>
        <v>23.4</v>
      </c>
      <c r="AB156" s="439">
        <f t="shared" ca="1" si="161"/>
        <v>42.14</v>
      </c>
      <c r="AC156" s="439">
        <f t="shared" ca="1" si="162"/>
        <v>45.15</v>
      </c>
      <c r="AD156" s="439">
        <f t="shared" ca="1" si="163"/>
        <v>51.9</v>
      </c>
      <c r="AE156" s="439">
        <f t="shared" ca="1" si="164"/>
        <v>47.91</v>
      </c>
      <c r="AF156" s="439">
        <f t="shared" ca="1" si="165"/>
        <v>20.75</v>
      </c>
      <c r="AG156" s="439">
        <f t="shared" ca="1" si="166"/>
        <v>22.25</v>
      </c>
      <c r="AH156" s="439">
        <f t="shared" ca="1" si="167"/>
        <v>24.2</v>
      </c>
      <c r="AI156" s="439">
        <f t="shared" ca="1" si="168"/>
        <v>27.29</v>
      </c>
      <c r="AJ156" s="439">
        <f t="shared" ca="1" si="169"/>
        <v>21.5</v>
      </c>
      <c r="AK156" s="439">
        <f t="shared" ca="1" si="170"/>
        <v>10.39</v>
      </c>
      <c r="AL156" s="439">
        <f t="shared" ca="1" si="171"/>
        <v>1.0669999999999999</v>
      </c>
      <c r="AM156" s="439">
        <f t="shared" ca="1" si="172"/>
        <v>1.1120000000000001</v>
      </c>
      <c r="AN156" s="439">
        <f t="shared" ca="1" si="173"/>
        <v>0.97699999999999998</v>
      </c>
      <c r="AO156" s="439">
        <f t="shared" ca="1" si="174"/>
        <v>0.47499999999999998</v>
      </c>
      <c r="AP156" s="439">
        <f t="shared" ca="1" si="175"/>
        <v>0.96599999999999997</v>
      </c>
      <c r="AQ156" s="439">
        <f t="shared" ca="1" si="176"/>
        <v>1.069</v>
      </c>
      <c r="AR156" s="439">
        <f t="shared" ca="1" si="177"/>
        <v>0.88500000000000001</v>
      </c>
      <c r="AS156" s="439">
        <f t="shared" ca="1" si="178"/>
        <v>0.47899999999999998</v>
      </c>
      <c r="AT156" s="439">
        <f t="shared" ca="1" si="179"/>
        <v>4.12</v>
      </c>
      <c r="AU156" s="439">
        <f t="shared" ca="1" si="180"/>
        <v>4.38</v>
      </c>
      <c r="AV156" s="439">
        <f t="shared" ca="1" si="181"/>
        <v>4.1500000000000004</v>
      </c>
      <c r="AW156" s="439">
        <f t="shared" ca="1" si="182"/>
        <v>1.87</v>
      </c>
    </row>
    <row r="157" spans="1:49" ht="15.75" x14ac:dyDescent="0.25">
      <c r="A157" s="437" t="str">
        <f>INDEX(Оглавление, ROW())</f>
        <v>[Цены на приграничных АЗС 2017-2020 (7138827 v1).XLSM]Цены на 22.06.2020</v>
      </c>
      <c r="B157" s="438">
        <f t="shared" ca="1" si="183"/>
        <v>44004</v>
      </c>
      <c r="C157" s="439">
        <f t="shared" ca="1" si="184"/>
        <v>8.8922000000000008</v>
      </c>
      <c r="D157" s="439">
        <f t="shared" ca="1" si="185"/>
        <v>2.3757000000000001</v>
      </c>
      <c r="E157" s="439">
        <f t="shared" ca="1" si="186"/>
        <v>2.6654</v>
      </c>
      <c r="F157" s="439">
        <f t="shared" ca="1" si="187"/>
        <v>5.9772999999999996</v>
      </c>
      <c r="G157" s="439">
        <f t="shared" ca="1" si="188"/>
        <v>3.4215</v>
      </c>
      <c r="H157" s="439">
        <f t="shared" ca="1" si="141"/>
        <v>1.68</v>
      </c>
      <c r="I157" s="439">
        <f t="shared" ca="1" si="142"/>
        <v>1.78</v>
      </c>
      <c r="J157" s="439">
        <f t="shared" ca="1" si="143"/>
        <v>1.92</v>
      </c>
      <c r="K157" s="439">
        <f t="shared" ca="1" si="144"/>
        <v>1.78</v>
      </c>
      <c r="L157" s="439">
        <f t="shared" ca="1" si="145"/>
        <v>0.94</v>
      </c>
      <c r="M157" s="439">
        <f t="shared" ca="1" si="146"/>
        <v>42.5</v>
      </c>
      <c r="N157" s="439">
        <f t="shared" ca="1" si="147"/>
        <v>46.92</v>
      </c>
      <c r="O157" s="439">
        <f t="shared" ca="1" si="148"/>
        <v>52.67</v>
      </c>
      <c r="P157" s="439">
        <f t="shared" ca="1" si="149"/>
        <v>47.13</v>
      </c>
      <c r="Q157" s="439">
        <f t="shared" ca="1" si="150"/>
        <v>23.8</v>
      </c>
      <c r="R157" s="439">
        <f t="shared" ca="1" si="151"/>
        <v>42.44</v>
      </c>
      <c r="S157" s="439">
        <f t="shared" ca="1" si="152"/>
        <v>45.98</v>
      </c>
      <c r="T157" s="439">
        <f t="shared" ca="1" si="153"/>
        <v>51.4</v>
      </c>
      <c r="U157" s="439">
        <f t="shared" ca="1" si="154"/>
        <v>46.22</v>
      </c>
      <c r="V157" s="439">
        <f t="shared" ca="1" si="155"/>
        <v>23.55</v>
      </c>
      <c r="W157" s="439">
        <f t="shared" ca="1" si="156"/>
        <v>43.15</v>
      </c>
      <c r="X157" s="439">
        <f t="shared" ca="1" si="157"/>
        <v>46.31</v>
      </c>
      <c r="Y157" s="439">
        <f t="shared" ca="1" si="158"/>
        <v>51</v>
      </c>
      <c r="Z157" s="439">
        <f t="shared" ca="1" si="159"/>
        <v>45.98</v>
      </c>
      <c r="AA157" s="439">
        <f t="shared" ca="1" si="160"/>
        <v>24.99</v>
      </c>
      <c r="AB157" s="439">
        <f t="shared" ca="1" si="161"/>
        <v>42.16</v>
      </c>
      <c r="AC157" s="439">
        <f t="shared" ca="1" si="162"/>
        <v>45.17</v>
      </c>
      <c r="AD157" s="439">
        <f t="shared" ca="1" si="163"/>
        <v>51.9</v>
      </c>
      <c r="AE157" s="439">
        <f t="shared" ca="1" si="164"/>
        <v>47.91</v>
      </c>
      <c r="AF157" s="439">
        <f t="shared" ca="1" si="165"/>
        <v>20.75</v>
      </c>
      <c r="AG157" s="439">
        <f t="shared" ca="1" si="166"/>
        <v>22.25</v>
      </c>
      <c r="AH157" s="439">
        <f t="shared" ca="1" si="167"/>
        <v>24.2</v>
      </c>
      <c r="AI157" s="439">
        <f t="shared" ca="1" si="168"/>
        <v>27.29</v>
      </c>
      <c r="AJ157" s="439">
        <f t="shared" ca="1" si="169"/>
        <v>21.5</v>
      </c>
      <c r="AK157" s="439">
        <f t="shared" ca="1" si="170"/>
        <v>10.49</v>
      </c>
      <c r="AL157" s="439">
        <f t="shared" ca="1" si="171"/>
        <v>1.117</v>
      </c>
      <c r="AM157" s="439">
        <f t="shared" ca="1" si="172"/>
        <v>1.1619999999999999</v>
      </c>
      <c r="AN157" s="439">
        <f t="shared" ca="1" si="173"/>
        <v>1.0269999999999999</v>
      </c>
      <c r="AO157" s="439">
        <f t="shared" ca="1" si="174"/>
        <v>0.48499999999999999</v>
      </c>
      <c r="AP157" s="439">
        <f t="shared" ca="1" si="175"/>
        <v>1.0249999999999999</v>
      </c>
      <c r="AQ157" s="439">
        <f t="shared" ca="1" si="176"/>
        <v>1.1040000000000001</v>
      </c>
      <c r="AR157" s="439">
        <f t="shared" ca="1" si="177"/>
        <v>0.90500000000000003</v>
      </c>
      <c r="AS157" s="439">
        <f t="shared" ca="1" si="178"/>
        <v>0.48</v>
      </c>
      <c r="AT157" s="439">
        <f t="shared" ca="1" si="179"/>
        <v>4.1399999999999997</v>
      </c>
      <c r="AU157" s="439">
        <f t="shared" ca="1" si="180"/>
        <v>4.38</v>
      </c>
      <c r="AV157" s="439">
        <f t="shared" ca="1" si="181"/>
        <v>4.16</v>
      </c>
      <c r="AW157" s="439">
        <f t="shared" ca="1" si="182"/>
        <v>1.95</v>
      </c>
    </row>
    <row r="158" spans="1:49" ht="15.75" x14ac:dyDescent="0.25">
      <c r="A158" s="437" t="str">
        <f>INDEX(Оглавление, ROW())</f>
        <v>[Цены на приграничных АЗС 2017-2020 (7138827 v1).XLSM]Цены на 29.06.2020</v>
      </c>
      <c r="B158" s="438">
        <f t="shared" ca="1" si="183"/>
        <v>44011</v>
      </c>
      <c r="C158" s="439">
        <f t="shared" ca="1" si="184"/>
        <v>8.9314999999999998</v>
      </c>
      <c r="D158" s="439">
        <f t="shared" ca="1" si="185"/>
        <v>2.3839000000000001</v>
      </c>
      <c r="E158" s="439">
        <f t="shared" ca="1" si="186"/>
        <v>2.6753</v>
      </c>
      <c r="F158" s="439">
        <f t="shared" ca="1" si="187"/>
        <v>5.9943999999999997</v>
      </c>
      <c r="G158" s="439">
        <f t="shared" ca="1" si="188"/>
        <v>3.4485999999999999</v>
      </c>
      <c r="H158" s="439">
        <f t="shared" ca="1" si="141"/>
        <v>1.68</v>
      </c>
      <c r="I158" s="439">
        <f t="shared" ca="1" si="142"/>
        <v>1.78</v>
      </c>
      <c r="J158" s="439">
        <f t="shared" ca="1" si="143"/>
        <v>1.92</v>
      </c>
      <c r="K158" s="439">
        <f t="shared" ca="1" si="144"/>
        <v>1.78</v>
      </c>
      <c r="L158" s="439">
        <f t="shared" ca="1" si="145"/>
        <v>0.94</v>
      </c>
      <c r="M158" s="439">
        <f t="shared" ca="1" si="146"/>
        <v>42.47</v>
      </c>
      <c r="N158" s="439">
        <f t="shared" ca="1" si="147"/>
        <v>46.83</v>
      </c>
      <c r="O158" s="439">
        <f t="shared" ca="1" si="148"/>
        <v>52.67</v>
      </c>
      <c r="P158" s="439">
        <f t="shared" ca="1" si="149"/>
        <v>47.09</v>
      </c>
      <c r="Q158" s="439">
        <f t="shared" ca="1" si="150"/>
        <v>24.15</v>
      </c>
      <c r="R158" s="439">
        <f t="shared" ca="1" si="151"/>
        <v>42.54</v>
      </c>
      <c r="S158" s="439">
        <f t="shared" ca="1" si="152"/>
        <v>46.19</v>
      </c>
      <c r="T158" s="439">
        <f t="shared" ca="1" si="153"/>
        <v>51.4</v>
      </c>
      <c r="U158" s="439">
        <f t="shared" ca="1" si="154"/>
        <v>46.22</v>
      </c>
      <c r="V158" s="439">
        <f t="shared" ca="1" si="155"/>
        <v>23.91</v>
      </c>
      <c r="W158" s="439">
        <f t="shared" ca="1" si="156"/>
        <v>43.13</v>
      </c>
      <c r="X158" s="439">
        <f t="shared" ca="1" si="157"/>
        <v>47.03</v>
      </c>
      <c r="Y158" s="439">
        <f t="shared" ca="1" si="158"/>
        <v>51</v>
      </c>
      <c r="Z158" s="439">
        <f t="shared" ca="1" si="159"/>
        <v>45.96</v>
      </c>
      <c r="AA158" s="439">
        <f t="shared" ca="1" si="160"/>
        <v>26.49</v>
      </c>
      <c r="AB158" s="439">
        <f t="shared" ca="1" si="161"/>
        <v>42.11</v>
      </c>
      <c r="AC158" s="439">
        <f t="shared" ca="1" si="162"/>
        <v>45.86</v>
      </c>
      <c r="AD158" s="439">
        <f t="shared" ca="1" si="163"/>
        <v>51.9</v>
      </c>
      <c r="AE158" s="439">
        <f t="shared" ca="1" si="164"/>
        <v>47.91</v>
      </c>
      <c r="AF158" s="439">
        <f t="shared" ca="1" si="165"/>
        <v>20.75</v>
      </c>
      <c r="AG158" s="439">
        <f t="shared" ca="1" si="166"/>
        <v>22.25</v>
      </c>
      <c r="AH158" s="439">
        <f t="shared" ca="1" si="167"/>
        <v>24.2</v>
      </c>
      <c r="AI158" s="439">
        <f t="shared" ca="1" si="168"/>
        <v>27.29</v>
      </c>
      <c r="AJ158" s="439">
        <f t="shared" ca="1" si="169"/>
        <v>21.5</v>
      </c>
      <c r="AK158" s="439">
        <f t="shared" ca="1" si="170"/>
        <v>10.54</v>
      </c>
      <c r="AL158" s="439">
        <f t="shared" ca="1" si="171"/>
        <v>1.117</v>
      </c>
      <c r="AM158" s="439">
        <f t="shared" ca="1" si="172"/>
        <v>1.1619999999999999</v>
      </c>
      <c r="AN158" s="439">
        <f t="shared" ca="1" si="173"/>
        <v>1.0269999999999999</v>
      </c>
      <c r="AO158" s="439">
        <f t="shared" ca="1" si="174"/>
        <v>0.48499999999999999</v>
      </c>
      <c r="AP158" s="439">
        <f t="shared" ca="1" si="175"/>
        <v>1.0089999999999999</v>
      </c>
      <c r="AQ158" s="439">
        <f t="shared" ca="1" si="176"/>
        <v>1.1240000000000001</v>
      </c>
      <c r="AR158" s="439">
        <f t="shared" ca="1" si="177"/>
        <v>0.90900000000000003</v>
      </c>
      <c r="AS158" s="439">
        <f t="shared" ca="1" si="178"/>
        <v>0.499</v>
      </c>
      <c r="AT158" s="439">
        <f t="shared" ca="1" si="179"/>
        <v>4.18</v>
      </c>
      <c r="AU158" s="439">
        <f t="shared" ca="1" si="180"/>
        <v>4.41</v>
      </c>
      <c r="AV158" s="439">
        <f t="shared" ca="1" si="181"/>
        <v>4.17</v>
      </c>
      <c r="AW158" s="439">
        <f t="shared" ca="1" si="182"/>
        <v>1.95</v>
      </c>
    </row>
    <row r="159" spans="1:49" ht="15.75" x14ac:dyDescent="0.25">
      <c r="A159" s="437" t="str">
        <f>INDEX(Оглавление, ROW())</f>
        <v>[Цены на приграничных АЗС 2017-2020 (7138827 v1).XLSM]Цены на 06.07.2020</v>
      </c>
      <c r="B159" s="438">
        <f t="shared" ca="1" si="183"/>
        <v>44018</v>
      </c>
      <c r="C159" s="439">
        <f t="shared" ca="1" si="184"/>
        <v>8.9090000000000007</v>
      </c>
      <c r="D159" s="439">
        <f t="shared" ca="1" si="185"/>
        <v>2.4214000000000002</v>
      </c>
      <c r="E159" s="439">
        <f t="shared" ca="1" si="186"/>
        <v>2.7311000000000001</v>
      </c>
      <c r="F159" s="439">
        <f t="shared" ca="1" si="187"/>
        <v>6.117</v>
      </c>
      <c r="G159" s="439">
        <f t="shared" ca="1" si="188"/>
        <v>3.4359000000000002</v>
      </c>
      <c r="H159" s="439">
        <f t="shared" ca="1" si="141"/>
        <v>1.68</v>
      </c>
      <c r="I159" s="439">
        <f t="shared" ca="1" si="142"/>
        <v>1.78</v>
      </c>
      <c r="J159" s="439">
        <f t="shared" ca="1" si="143"/>
        <v>1.92</v>
      </c>
      <c r="K159" s="439">
        <f t="shared" ca="1" si="144"/>
        <v>1.78</v>
      </c>
      <c r="L159" s="439">
        <f t="shared" ca="1" si="145"/>
        <v>0.94</v>
      </c>
      <c r="M159" s="439">
        <f t="shared" ca="1" si="146"/>
        <v>42.46</v>
      </c>
      <c r="N159" s="439">
        <f t="shared" ca="1" si="147"/>
        <v>46.82</v>
      </c>
      <c r="O159" s="439">
        <f t="shared" ca="1" si="148"/>
        <v>52.67</v>
      </c>
      <c r="P159" s="439">
        <f t="shared" ca="1" si="149"/>
        <v>47.11</v>
      </c>
      <c r="Q159" s="439">
        <f t="shared" ca="1" si="150"/>
        <v>24.15</v>
      </c>
      <c r="R159" s="439">
        <f t="shared" ca="1" si="151"/>
        <v>42.5</v>
      </c>
      <c r="S159" s="439">
        <f t="shared" ca="1" si="152"/>
        <v>45.87</v>
      </c>
      <c r="T159" s="439">
        <f t="shared" ca="1" si="153"/>
        <v>51.8</v>
      </c>
      <c r="U159" s="439">
        <f t="shared" ca="1" si="154"/>
        <v>46.24</v>
      </c>
      <c r="V159" s="439">
        <f t="shared" ca="1" si="155"/>
        <v>24.62</v>
      </c>
      <c r="W159" s="439">
        <f t="shared" ca="1" si="156"/>
        <v>43.08</v>
      </c>
      <c r="X159" s="439">
        <f t="shared" ca="1" si="157"/>
        <v>47.05</v>
      </c>
      <c r="Y159" s="439">
        <f t="shared" ca="1" si="158"/>
        <v>50.99</v>
      </c>
      <c r="Z159" s="439">
        <f t="shared" ca="1" si="159"/>
        <v>45.87</v>
      </c>
      <c r="AA159" s="439">
        <f t="shared" ca="1" si="160"/>
        <v>26.49</v>
      </c>
      <c r="AB159" s="439">
        <f t="shared" ca="1" si="161"/>
        <v>42.11</v>
      </c>
      <c r="AC159" s="439">
        <f t="shared" ca="1" si="162"/>
        <v>45.83</v>
      </c>
      <c r="AD159" s="439">
        <f t="shared" ca="1" si="163"/>
        <v>51.9</v>
      </c>
      <c r="AE159" s="439">
        <f t="shared" ca="1" si="164"/>
        <v>47.91</v>
      </c>
      <c r="AF159" s="439">
        <f t="shared" ca="1" si="165"/>
        <v>20.75</v>
      </c>
      <c r="AG159" s="439">
        <f t="shared" ca="1" si="166"/>
        <v>22.25</v>
      </c>
      <c r="AH159" s="439">
        <f t="shared" ca="1" si="167"/>
        <v>24.2</v>
      </c>
      <c r="AI159" s="439">
        <f t="shared" ca="1" si="168"/>
        <v>27.79</v>
      </c>
      <c r="AJ159" s="439">
        <f t="shared" ca="1" si="169"/>
        <v>21.5</v>
      </c>
      <c r="AK159" s="439">
        <f t="shared" ca="1" si="170"/>
        <v>10.54</v>
      </c>
      <c r="AL159" s="439">
        <f t="shared" ca="1" si="171"/>
        <v>1.117</v>
      </c>
      <c r="AM159" s="439">
        <f t="shared" ca="1" si="172"/>
        <v>1.1619999999999999</v>
      </c>
      <c r="AN159" s="439">
        <f t="shared" ca="1" si="173"/>
        <v>1.0269999999999999</v>
      </c>
      <c r="AO159" s="439">
        <f t="shared" ca="1" si="174"/>
        <v>0.48499999999999999</v>
      </c>
      <c r="AP159" s="439">
        <f t="shared" ca="1" si="175"/>
        <v>1.0289999999999999</v>
      </c>
      <c r="AQ159" s="439">
        <f t="shared" ca="1" si="176"/>
        <v>1.1439999999999999</v>
      </c>
      <c r="AR159" s="439">
        <f t="shared" ca="1" si="177"/>
        <v>0.92600000000000005</v>
      </c>
      <c r="AS159" s="439">
        <f t="shared" ca="1" si="178"/>
        <v>0.499</v>
      </c>
      <c r="AT159" s="439">
        <f t="shared" ca="1" si="179"/>
        <v>4.22</v>
      </c>
      <c r="AU159" s="439">
        <f t="shared" ca="1" si="180"/>
        <v>4.49</v>
      </c>
      <c r="AV159" s="439">
        <f t="shared" ca="1" si="181"/>
        <v>4.1900000000000004</v>
      </c>
      <c r="AW159" s="439">
        <f t="shared" ca="1" si="182"/>
        <v>1.96</v>
      </c>
    </row>
    <row r="160" spans="1:49" ht="15.75" x14ac:dyDescent="0.25">
      <c r="A160" s="437" t="str">
        <f>INDEX(Оглавление, ROW())</f>
        <v>[Цены на приграничных АЗС 2017-2020 (7138827 v1).XLSM]Цены на 13.07.2020</v>
      </c>
      <c r="B160" s="438">
        <f t="shared" ca="1" si="183"/>
        <v>44025</v>
      </c>
      <c r="C160" s="439">
        <f t="shared" ca="1" si="184"/>
        <v>9.0145999999999997</v>
      </c>
      <c r="D160" s="439">
        <f t="shared" ca="1" si="185"/>
        <v>2.4300000000000002</v>
      </c>
      <c r="E160" s="439">
        <f t="shared" ca="1" si="186"/>
        <v>2.7435</v>
      </c>
      <c r="F160" s="439">
        <f t="shared" ca="1" si="187"/>
        <v>6.13</v>
      </c>
      <c r="G160" s="439">
        <f t="shared" ca="1" si="188"/>
        <v>3.4117999999999999</v>
      </c>
      <c r="H160" s="439">
        <f t="shared" ca="1" si="141"/>
        <v>1.68</v>
      </c>
      <c r="I160" s="439">
        <f t="shared" ca="1" si="142"/>
        <v>1.78</v>
      </c>
      <c r="J160" s="439">
        <f t="shared" ca="1" si="143"/>
        <v>1.92</v>
      </c>
      <c r="K160" s="439">
        <f t="shared" ca="1" si="144"/>
        <v>1.78</v>
      </c>
      <c r="L160" s="439">
        <f t="shared" ca="1" si="145"/>
        <v>0.94</v>
      </c>
      <c r="M160" s="439">
        <f t="shared" ca="1" si="146"/>
        <v>42.73</v>
      </c>
      <c r="N160" s="439">
        <f t="shared" ca="1" si="147"/>
        <v>47.17</v>
      </c>
      <c r="O160" s="439">
        <f t="shared" ca="1" si="148"/>
        <v>52.67</v>
      </c>
      <c r="P160" s="439">
        <f t="shared" ca="1" si="149"/>
        <v>47.26</v>
      </c>
      <c r="Q160" s="439">
        <f t="shared" ca="1" si="150"/>
        <v>23.91</v>
      </c>
      <c r="R160" s="439">
        <f t="shared" ca="1" si="151"/>
        <v>42.5</v>
      </c>
      <c r="S160" s="439">
        <f t="shared" ca="1" si="152"/>
        <v>45.87</v>
      </c>
      <c r="T160" s="439">
        <f t="shared" ca="1" si="153"/>
        <v>51.8</v>
      </c>
      <c r="U160" s="439">
        <f t="shared" ca="1" si="154"/>
        <v>46.24</v>
      </c>
      <c r="V160" s="439">
        <f t="shared" ca="1" si="155"/>
        <v>24.62</v>
      </c>
      <c r="W160" s="439">
        <f t="shared" ca="1" si="156"/>
        <v>43.24</v>
      </c>
      <c r="X160" s="439">
        <f t="shared" ca="1" si="157"/>
        <v>46.4</v>
      </c>
      <c r="Y160" s="439">
        <f t="shared" ca="1" si="158"/>
        <v>51</v>
      </c>
      <c r="Z160" s="439">
        <f t="shared" ca="1" si="159"/>
        <v>46.07</v>
      </c>
      <c r="AA160" s="439">
        <f t="shared" ca="1" si="160"/>
        <v>26.49</v>
      </c>
      <c r="AB160" s="439">
        <f t="shared" ca="1" si="161"/>
        <v>42.51</v>
      </c>
      <c r="AC160" s="439">
        <f t="shared" ca="1" si="162"/>
        <v>45.52</v>
      </c>
      <c r="AD160" s="439">
        <f t="shared" ca="1" si="163"/>
        <v>51.9</v>
      </c>
      <c r="AE160" s="439">
        <f t="shared" ca="1" si="164"/>
        <v>47.96</v>
      </c>
      <c r="AF160" s="439">
        <f t="shared" ca="1" si="165"/>
        <v>21.15</v>
      </c>
      <c r="AG160" s="439">
        <f t="shared" ca="1" si="166"/>
        <v>22.25</v>
      </c>
      <c r="AH160" s="439">
        <f t="shared" ca="1" si="167"/>
        <v>24.2</v>
      </c>
      <c r="AI160" s="439">
        <f t="shared" ca="1" si="168"/>
        <v>27.79</v>
      </c>
      <c r="AJ160" s="439">
        <f t="shared" ca="1" si="169"/>
        <v>21.6</v>
      </c>
      <c r="AK160" s="439">
        <f t="shared" ca="1" si="170"/>
        <v>10.54</v>
      </c>
      <c r="AL160" s="439">
        <f t="shared" ca="1" si="171"/>
        <v>1.127</v>
      </c>
      <c r="AM160" s="439">
        <f t="shared" ca="1" si="172"/>
        <v>1.1719999999999999</v>
      </c>
      <c r="AN160" s="439">
        <f t="shared" ca="1" si="173"/>
        <v>1.0369999999999999</v>
      </c>
      <c r="AO160" s="439">
        <f t="shared" ca="1" si="174"/>
        <v>0.505</v>
      </c>
      <c r="AP160" s="439">
        <f t="shared" ca="1" si="175"/>
        <v>1.03</v>
      </c>
      <c r="AQ160" s="439">
        <f t="shared" ca="1" si="176"/>
        <v>1.1439999999999999</v>
      </c>
      <c r="AR160" s="439">
        <f t="shared" ca="1" si="177"/>
        <v>0.91</v>
      </c>
      <c r="AS160" s="439">
        <f t="shared" ca="1" si="178"/>
        <v>0.499</v>
      </c>
      <c r="AT160" s="439">
        <f t="shared" ca="1" si="179"/>
        <v>4.26</v>
      </c>
      <c r="AU160" s="439">
        <f t="shared" ca="1" si="180"/>
        <v>4.51</v>
      </c>
      <c r="AV160" s="439">
        <f t="shared" ca="1" si="181"/>
        <v>4.21</v>
      </c>
      <c r="AW160" s="439">
        <f t="shared" ca="1" si="182"/>
        <v>1.96</v>
      </c>
    </row>
    <row r="161" spans="1:49" ht="15.75" x14ac:dyDescent="0.25">
      <c r="A161" s="437" t="str">
        <f>INDEX(Оглавление, ROW())</f>
        <v>[Цены на приграничных АЗС 2017-2020 (7138827 v1).XLSM]Цены на 20.07.2020</v>
      </c>
      <c r="B161" s="438">
        <f t="shared" ca="1" si="183"/>
        <v>44032</v>
      </c>
      <c r="C161" s="439">
        <f t="shared" ca="1" si="184"/>
        <v>8.7548999999999992</v>
      </c>
      <c r="D161" s="439">
        <f t="shared" ca="1" si="185"/>
        <v>2.3994</v>
      </c>
      <c r="E161" s="439">
        <f t="shared" ca="1" si="186"/>
        <v>2.7319</v>
      </c>
      <c r="F161" s="439">
        <f t="shared" ca="1" si="187"/>
        <v>6.1075999999999997</v>
      </c>
      <c r="G161" s="439">
        <f t="shared" ca="1" si="188"/>
        <v>3.3451</v>
      </c>
      <c r="H161" s="439">
        <f t="shared" ca="1" si="141"/>
        <v>1.68</v>
      </c>
      <c r="I161" s="439">
        <f t="shared" ca="1" si="142"/>
        <v>1.78</v>
      </c>
      <c r="J161" s="439">
        <f t="shared" ca="1" si="143"/>
        <v>1.92</v>
      </c>
      <c r="K161" s="439">
        <f t="shared" ca="1" si="144"/>
        <v>1.78</v>
      </c>
      <c r="L161" s="439">
        <f t="shared" ca="1" si="145"/>
        <v>0.94</v>
      </c>
      <c r="M161" s="439">
        <f t="shared" ca="1" si="146"/>
        <v>42.81</v>
      </c>
      <c r="N161" s="439">
        <f t="shared" ca="1" si="147"/>
        <v>47.21</v>
      </c>
      <c r="O161" s="439">
        <f t="shared" ca="1" si="148"/>
        <v>52.67</v>
      </c>
      <c r="P161" s="439">
        <f t="shared" ca="1" si="149"/>
        <v>47.27</v>
      </c>
      <c r="Q161" s="439">
        <f t="shared" ca="1" si="150"/>
        <v>24</v>
      </c>
      <c r="R161" s="439">
        <f t="shared" ca="1" si="151"/>
        <v>42.95</v>
      </c>
      <c r="S161" s="439">
        <f t="shared" ca="1" si="152"/>
        <v>46.25</v>
      </c>
      <c r="T161" s="439">
        <f t="shared" ca="1" si="153"/>
        <v>51.8</v>
      </c>
      <c r="U161" s="439">
        <f t="shared" ca="1" si="154"/>
        <v>46.25</v>
      </c>
      <c r="V161" s="439">
        <f t="shared" ca="1" si="155"/>
        <v>24.8</v>
      </c>
      <c r="W161" s="439">
        <f t="shared" ca="1" si="156"/>
        <v>43.48</v>
      </c>
      <c r="X161" s="439">
        <f t="shared" ca="1" si="157"/>
        <v>46.63</v>
      </c>
      <c r="Y161" s="439">
        <f t="shared" ca="1" si="158"/>
        <v>51.5</v>
      </c>
      <c r="Z161" s="439">
        <f t="shared" ca="1" si="159"/>
        <v>46.26</v>
      </c>
      <c r="AA161" s="439">
        <f t="shared" ca="1" si="160"/>
        <v>26.49</v>
      </c>
      <c r="AB161" s="439">
        <f t="shared" ca="1" si="161"/>
        <v>42.54</v>
      </c>
      <c r="AC161" s="439">
        <f t="shared" ca="1" si="162"/>
        <v>45.54</v>
      </c>
      <c r="AD161" s="439">
        <f t="shared" ca="1" si="163"/>
        <v>51.9</v>
      </c>
      <c r="AE161" s="439">
        <f t="shared" ca="1" si="164"/>
        <v>47.91</v>
      </c>
      <c r="AF161" s="439">
        <f t="shared" ca="1" si="165"/>
        <v>22.53</v>
      </c>
      <c r="AG161" s="439">
        <f t="shared" ca="1" si="166"/>
        <v>22.25</v>
      </c>
      <c r="AH161" s="439">
        <f t="shared" ca="1" si="167"/>
        <v>24.43</v>
      </c>
      <c r="AI161" s="439">
        <f t="shared" ca="1" si="168"/>
        <v>27.79</v>
      </c>
      <c r="AJ161" s="439">
        <f t="shared" ca="1" si="169"/>
        <v>21.85</v>
      </c>
      <c r="AK161" s="439">
        <f t="shared" ca="1" si="170"/>
        <v>10.59</v>
      </c>
      <c r="AL161" s="439">
        <f t="shared" ca="1" si="171"/>
        <v>1.1539999999999999</v>
      </c>
      <c r="AM161" s="439">
        <f t="shared" ca="1" si="172"/>
        <v>1.2090000000000001</v>
      </c>
      <c r="AN161" s="439">
        <f t="shared" ca="1" si="173"/>
        <v>1.054</v>
      </c>
      <c r="AO161" s="439">
        <f t="shared" ca="1" si="174"/>
        <v>0.505</v>
      </c>
      <c r="AP161" s="439">
        <f t="shared" ca="1" si="175"/>
        <v>1.03</v>
      </c>
      <c r="AQ161" s="439">
        <f t="shared" ca="1" si="176"/>
        <v>1.143</v>
      </c>
      <c r="AR161" s="439">
        <f t="shared" ca="1" si="177"/>
        <v>0.91</v>
      </c>
      <c r="AS161" s="439">
        <f t="shared" ca="1" si="178"/>
        <v>0.499</v>
      </c>
      <c r="AT161" s="439">
        <f t="shared" ca="1" si="179"/>
        <v>4.28</v>
      </c>
      <c r="AU161" s="439">
        <f t="shared" ca="1" si="180"/>
        <v>4.53</v>
      </c>
      <c r="AV161" s="439">
        <f t="shared" ca="1" si="181"/>
        <v>4.24</v>
      </c>
      <c r="AW161" s="439">
        <f t="shared" ca="1" si="182"/>
        <v>1.98</v>
      </c>
    </row>
    <row r="162" spans="1:49" ht="15.75" x14ac:dyDescent="0.25">
      <c r="A162" s="437" t="str">
        <f>INDEX(Оглавление, ROW())</f>
        <v>[Цены на приграничных АЗС 2017-2020 (7138827 v1).XLSM]Цены на 27.07.2020</v>
      </c>
      <c r="B162" s="438">
        <f t="shared" ca="1" si="183"/>
        <v>44039</v>
      </c>
      <c r="C162" s="439">
        <f t="shared" ca="1" si="184"/>
        <v>8.5940999999999992</v>
      </c>
      <c r="D162" s="439">
        <f t="shared" ca="1" si="185"/>
        <v>2.3898000000000001</v>
      </c>
      <c r="E162" s="439">
        <f t="shared" ca="1" si="186"/>
        <v>2.7711000000000001</v>
      </c>
      <c r="F162" s="439">
        <f t="shared" ca="1" si="187"/>
        <v>6.2861000000000002</v>
      </c>
      <c r="G162" s="439">
        <f t="shared" ca="1" si="188"/>
        <v>3.3399000000000001</v>
      </c>
      <c r="H162" s="439">
        <f t="shared" ca="1" si="141"/>
        <v>1.68</v>
      </c>
      <c r="I162" s="439">
        <f t="shared" ca="1" si="142"/>
        <v>1.78</v>
      </c>
      <c r="J162" s="439">
        <f t="shared" ca="1" si="143"/>
        <v>1.92</v>
      </c>
      <c r="K162" s="439">
        <f t="shared" ca="1" si="144"/>
        <v>1.78</v>
      </c>
      <c r="L162" s="439">
        <f t="shared" ca="1" si="145"/>
        <v>0.94</v>
      </c>
      <c r="M162" s="439">
        <f t="shared" ca="1" si="146"/>
        <v>43.02</v>
      </c>
      <c r="N162" s="439">
        <f t="shared" ca="1" si="147"/>
        <v>47.48</v>
      </c>
      <c r="O162" s="439">
        <f t="shared" ca="1" si="148"/>
        <v>52.67</v>
      </c>
      <c r="P162" s="439">
        <f t="shared" ca="1" si="149"/>
        <v>47.25</v>
      </c>
      <c r="Q162" s="439">
        <f t="shared" ca="1" si="150"/>
        <v>23.7</v>
      </c>
      <c r="R162" s="439">
        <f t="shared" ca="1" si="151"/>
        <v>43.11</v>
      </c>
      <c r="S162" s="439">
        <f t="shared" ca="1" si="152"/>
        <v>46.51</v>
      </c>
      <c r="T162" s="439">
        <f t="shared" ca="1" si="153"/>
        <v>51.8</v>
      </c>
      <c r="U162" s="439">
        <f t="shared" ca="1" si="154"/>
        <v>46.18</v>
      </c>
      <c r="V162" s="439">
        <f t="shared" ca="1" si="155"/>
        <v>24.8</v>
      </c>
      <c r="W162" s="439">
        <f t="shared" ca="1" si="156"/>
        <v>43.37</v>
      </c>
      <c r="X162" s="439">
        <f t="shared" ca="1" si="157"/>
        <v>46.57</v>
      </c>
      <c r="Y162" s="439">
        <f t="shared" ca="1" si="158"/>
        <v>51.5</v>
      </c>
      <c r="Z162" s="439">
        <f t="shared" ca="1" si="159"/>
        <v>46.3</v>
      </c>
      <c r="AA162" s="439">
        <f t="shared" ca="1" si="160"/>
        <v>26.49</v>
      </c>
      <c r="AB162" s="439">
        <f t="shared" ca="1" si="161"/>
        <v>42.79</v>
      </c>
      <c r="AC162" s="439">
        <f t="shared" ca="1" si="162"/>
        <v>45.53</v>
      </c>
      <c r="AD162" s="439">
        <f t="shared" ca="1" si="163"/>
        <v>52.1</v>
      </c>
      <c r="AE162" s="439">
        <f t="shared" ca="1" si="164"/>
        <v>47.91</v>
      </c>
      <c r="AF162" s="439">
        <f t="shared" ca="1" si="165"/>
        <v>22.75</v>
      </c>
      <c r="AG162" s="439">
        <f t="shared" ca="1" si="166"/>
        <v>22.25</v>
      </c>
      <c r="AH162" s="439">
        <f t="shared" ca="1" si="167"/>
        <v>24.43</v>
      </c>
      <c r="AI162" s="439">
        <f t="shared" ca="1" si="168"/>
        <v>27.79</v>
      </c>
      <c r="AJ162" s="439">
        <f t="shared" ca="1" si="169"/>
        <v>22.25</v>
      </c>
      <c r="AK162" s="439">
        <f t="shared" ca="1" si="170"/>
        <v>10.59</v>
      </c>
      <c r="AL162" s="439">
        <f t="shared" ca="1" si="171"/>
        <v>1.1539999999999999</v>
      </c>
      <c r="AM162" s="439">
        <f t="shared" ca="1" si="172"/>
        <v>1.214</v>
      </c>
      <c r="AN162" s="439">
        <f t="shared" ca="1" si="173"/>
        <v>1.054</v>
      </c>
      <c r="AO162" s="439">
        <f t="shared" ca="1" si="174"/>
        <v>0.505</v>
      </c>
      <c r="AP162" s="439">
        <f t="shared" ca="1" si="175"/>
        <v>1.04</v>
      </c>
      <c r="AQ162" s="439">
        <f t="shared" ca="1" si="176"/>
        <v>1.1240000000000001</v>
      </c>
      <c r="AR162" s="439">
        <f t="shared" ca="1" si="177"/>
        <v>0.92</v>
      </c>
      <c r="AS162" s="439">
        <f t="shared" ca="1" si="178"/>
        <v>0.5</v>
      </c>
      <c r="AT162" s="439">
        <f t="shared" ca="1" si="179"/>
        <v>4.34</v>
      </c>
      <c r="AU162" s="439">
        <f t="shared" ca="1" si="180"/>
        <v>4.54</v>
      </c>
      <c r="AV162" s="439">
        <f t="shared" ca="1" si="181"/>
        <v>4.28</v>
      </c>
      <c r="AW162" s="439">
        <f t="shared" ca="1" si="182"/>
        <v>2</v>
      </c>
    </row>
    <row r="163" spans="1:49" ht="15.75" x14ac:dyDescent="0.25">
      <c r="A163" s="437" t="str">
        <f>INDEX(Оглавление, ROW())</f>
        <v>[Цены на приграничных АЗС 2017-2020 (7138827 v1).XLSM]Цены на 03.08.2020</v>
      </c>
      <c r="B163" s="438">
        <f t="shared" ca="1" si="183"/>
        <v>44046</v>
      </c>
      <c r="C163" s="439">
        <f t="shared" ca="1" si="184"/>
        <v>8.7965</v>
      </c>
      <c r="D163" s="439">
        <f t="shared" ca="1" si="185"/>
        <v>2.4375</v>
      </c>
      <c r="E163" s="439">
        <f t="shared" ca="1" si="186"/>
        <v>2.899</v>
      </c>
      <c r="F163" s="439">
        <f t="shared" ca="1" si="187"/>
        <v>6.5614999999999997</v>
      </c>
      <c r="G163" s="439">
        <f t="shared" ca="1" si="188"/>
        <v>3.3155999999999999</v>
      </c>
      <c r="H163" s="439">
        <f t="shared" ca="1" si="141"/>
        <v>1.68</v>
      </c>
      <c r="I163" s="439">
        <f t="shared" ca="1" si="142"/>
        <v>1.78</v>
      </c>
      <c r="J163" s="439">
        <f t="shared" ca="1" si="143"/>
        <v>1.92</v>
      </c>
      <c r="K163" s="439">
        <f t="shared" ca="1" si="144"/>
        <v>1.78</v>
      </c>
      <c r="L163" s="439">
        <f t="shared" ca="1" si="145"/>
        <v>0.94</v>
      </c>
      <c r="M163" s="439">
        <f t="shared" ca="1" si="146"/>
        <v>43.02</v>
      </c>
      <c r="N163" s="439">
        <f t="shared" ca="1" si="147"/>
        <v>47.44</v>
      </c>
      <c r="O163" s="439">
        <f t="shared" ca="1" si="148"/>
        <v>52.67</v>
      </c>
      <c r="P163" s="439">
        <f t="shared" ca="1" si="149"/>
        <v>47.35</v>
      </c>
      <c r="Q163" s="439">
        <f t="shared" ca="1" si="150"/>
        <v>23.22</v>
      </c>
      <c r="R163" s="439">
        <f t="shared" ca="1" si="151"/>
        <v>43.12</v>
      </c>
      <c r="S163" s="439">
        <f t="shared" ca="1" si="152"/>
        <v>46.52</v>
      </c>
      <c r="T163" s="439">
        <f t="shared" ca="1" si="153"/>
        <v>51.8</v>
      </c>
      <c r="U163" s="439">
        <f t="shared" ca="1" si="154"/>
        <v>46.24</v>
      </c>
      <c r="V163" s="439">
        <f t="shared" ca="1" si="155"/>
        <v>24.8</v>
      </c>
      <c r="W163" s="439">
        <f t="shared" ca="1" si="156"/>
        <v>43.67</v>
      </c>
      <c r="X163" s="439">
        <f t="shared" ca="1" si="157"/>
        <v>46.82</v>
      </c>
      <c r="Y163" s="439">
        <f t="shared" ca="1" si="158"/>
        <v>51.69</v>
      </c>
      <c r="Z163" s="439">
        <f t="shared" ca="1" si="159"/>
        <v>46.43</v>
      </c>
      <c r="AA163" s="439">
        <f t="shared" ca="1" si="160"/>
        <v>26</v>
      </c>
      <c r="AB163" s="439">
        <f t="shared" ca="1" si="161"/>
        <v>42.59</v>
      </c>
      <c r="AC163" s="439">
        <f t="shared" ca="1" si="162"/>
        <v>45.61</v>
      </c>
      <c r="AD163" s="439">
        <f t="shared" ca="1" si="163"/>
        <v>52.1</v>
      </c>
      <c r="AE163" s="439">
        <f t="shared" ca="1" si="164"/>
        <v>47.91</v>
      </c>
      <c r="AF163" s="439">
        <f t="shared" ca="1" si="165"/>
        <v>23.33</v>
      </c>
      <c r="AG163" s="439">
        <f t="shared" ca="1" si="166"/>
        <v>22.75</v>
      </c>
      <c r="AH163" s="439">
        <f t="shared" ca="1" si="167"/>
        <v>24.43</v>
      </c>
      <c r="AI163" s="439">
        <f t="shared" ca="1" si="168"/>
        <v>27.79</v>
      </c>
      <c r="AJ163" s="439">
        <f t="shared" ca="1" si="169"/>
        <v>22.75</v>
      </c>
      <c r="AK163" s="439">
        <f t="shared" ca="1" si="170"/>
        <v>10.74</v>
      </c>
      <c r="AL163" s="439">
        <f t="shared" ca="1" si="171"/>
        <v>1.1639999999999999</v>
      </c>
      <c r="AM163" s="439">
        <f t="shared" ca="1" si="172"/>
        <v>1.2290000000000001</v>
      </c>
      <c r="AN163" s="439">
        <f t="shared" ca="1" si="173"/>
        <v>1.0640000000000001</v>
      </c>
      <c r="AO163" s="439">
        <f t="shared" ca="1" si="174"/>
        <v>0.505</v>
      </c>
      <c r="AP163" s="439">
        <f t="shared" ca="1" si="175"/>
        <v>1.04</v>
      </c>
      <c r="AQ163" s="439">
        <f t="shared" ca="1" si="176"/>
        <v>1.1539999999999999</v>
      </c>
      <c r="AR163" s="439">
        <f t="shared" ca="1" si="177"/>
        <v>0.93</v>
      </c>
      <c r="AS163" s="439">
        <f t="shared" ca="1" si="178"/>
        <v>0.5</v>
      </c>
      <c r="AT163" s="439">
        <f t="shared" ca="1" si="179"/>
        <v>4.3600000000000003</v>
      </c>
      <c r="AU163" s="439">
        <f t="shared" ca="1" si="180"/>
        <v>4.67</v>
      </c>
      <c r="AV163" s="439">
        <f t="shared" ca="1" si="181"/>
        <v>4.29</v>
      </c>
      <c r="AW163" s="439">
        <f t="shared" ca="1" si="182"/>
        <v>1.98</v>
      </c>
    </row>
    <row r="164" spans="1:49" ht="15.75" x14ac:dyDescent="0.25">
      <c r="A164" s="437" t="str">
        <f>INDEX(Оглавление, ROW())</f>
        <v>[Цены на приграничных АЗС 2017-2020 (7138827 v1).XLSM]Цены на 10.08.2020</v>
      </c>
      <c r="B164" s="438">
        <f t="shared" ca="1" si="183"/>
        <v>44053</v>
      </c>
      <c r="C164" s="439">
        <f t="shared" ca="1" si="184"/>
        <v>8.8567</v>
      </c>
      <c r="D164" s="439">
        <f t="shared" ca="1" si="185"/>
        <v>2.4481999999999999</v>
      </c>
      <c r="E164" s="439">
        <f t="shared" ca="1" si="186"/>
        <v>2.8971</v>
      </c>
      <c r="F164" s="439">
        <f t="shared" ca="1" si="187"/>
        <v>6.5576999999999996</v>
      </c>
      <c r="G164" s="439">
        <f t="shared" ca="1" si="188"/>
        <v>3.3249</v>
      </c>
      <c r="H164" s="439">
        <f t="shared" ca="1" si="141"/>
        <v>1.68</v>
      </c>
      <c r="I164" s="439">
        <f t="shared" ca="1" si="142"/>
        <v>1.78</v>
      </c>
      <c r="J164" s="439">
        <f t="shared" ca="1" si="143"/>
        <v>1.92</v>
      </c>
      <c r="K164" s="439">
        <f t="shared" ca="1" si="144"/>
        <v>1.78</v>
      </c>
      <c r="L164" s="439">
        <f t="shared" ca="1" si="145"/>
        <v>0.94</v>
      </c>
      <c r="M164" s="439">
        <f t="shared" ca="1" si="146"/>
        <v>43.01</v>
      </c>
      <c r="N164" s="439">
        <f t="shared" ca="1" si="147"/>
        <v>47.48</v>
      </c>
      <c r="O164" s="439">
        <f t="shared" ca="1" si="148"/>
        <v>52.67</v>
      </c>
      <c r="P164" s="439">
        <f t="shared" ca="1" si="149"/>
        <v>47.36</v>
      </c>
      <c r="Q164" s="439">
        <f t="shared" ca="1" si="150"/>
        <v>23.2</v>
      </c>
      <c r="R164" s="439">
        <f t="shared" ca="1" si="151"/>
        <v>43.1</v>
      </c>
      <c r="S164" s="439">
        <f t="shared" ca="1" si="152"/>
        <v>46.5</v>
      </c>
      <c r="T164" s="439">
        <f t="shared" ca="1" si="153"/>
        <v>51.4</v>
      </c>
      <c r="U164" s="439">
        <f t="shared" ca="1" si="154"/>
        <v>46.28</v>
      </c>
      <c r="V164" s="439">
        <f t="shared" ca="1" si="155"/>
        <v>24.8</v>
      </c>
      <c r="W164" s="439">
        <f t="shared" ca="1" si="156"/>
        <v>43.64</v>
      </c>
      <c r="X164" s="439">
        <f t="shared" ca="1" si="157"/>
        <v>46.8</v>
      </c>
      <c r="Y164" s="439">
        <f t="shared" ca="1" si="158"/>
        <v>51.7</v>
      </c>
      <c r="Z164" s="439">
        <f t="shared" ca="1" si="159"/>
        <v>46.43</v>
      </c>
      <c r="AA164" s="439">
        <f t="shared" ca="1" si="160"/>
        <v>26</v>
      </c>
      <c r="AB164" s="439">
        <f t="shared" ca="1" si="161"/>
        <v>42.59</v>
      </c>
      <c r="AC164" s="439">
        <f t="shared" ca="1" si="162"/>
        <v>45.61</v>
      </c>
      <c r="AD164" s="439">
        <f t="shared" ca="1" si="163"/>
        <v>52.1</v>
      </c>
      <c r="AE164" s="439">
        <f t="shared" ca="1" si="164"/>
        <v>47.91</v>
      </c>
      <c r="AF164" s="439">
        <f t="shared" ca="1" si="165"/>
        <v>23.33</v>
      </c>
      <c r="AG164" s="439">
        <f t="shared" ca="1" si="166"/>
        <v>23.2</v>
      </c>
      <c r="AH164" s="439">
        <f t="shared" ca="1" si="167"/>
        <v>24.43</v>
      </c>
      <c r="AI164" s="439">
        <f t="shared" ca="1" si="168"/>
        <v>27.79</v>
      </c>
      <c r="AJ164" s="439">
        <f t="shared" ca="1" si="169"/>
        <v>23.15</v>
      </c>
      <c r="AK164" s="439">
        <f t="shared" ca="1" si="170"/>
        <v>10.74</v>
      </c>
      <c r="AL164" s="439">
        <f t="shared" ca="1" si="171"/>
        <v>1.008</v>
      </c>
      <c r="AM164" s="439">
        <f t="shared" ca="1" si="172"/>
        <v>1.1439999999999999</v>
      </c>
      <c r="AN164" s="439">
        <f t="shared" ca="1" si="173"/>
        <v>1.0069999999999999</v>
      </c>
      <c r="AO164" s="439">
        <f t="shared" ca="1" si="174"/>
        <v>0.505</v>
      </c>
      <c r="AP164" s="439">
        <f t="shared" ca="1" si="175"/>
        <v>1.056</v>
      </c>
      <c r="AQ164" s="439">
        <f t="shared" ca="1" si="176"/>
        <v>1.1539999999999999</v>
      </c>
      <c r="AR164" s="439">
        <f t="shared" ca="1" si="177"/>
        <v>0.94599999999999995</v>
      </c>
      <c r="AS164" s="439">
        <f t="shared" ca="1" si="178"/>
        <v>0.5</v>
      </c>
      <c r="AT164" s="439">
        <f t="shared" ca="1" si="179"/>
        <v>4.38</v>
      </c>
      <c r="AU164" s="439">
        <f t="shared" ca="1" si="180"/>
        <v>4.67</v>
      </c>
      <c r="AV164" s="439">
        <f t="shared" ca="1" si="181"/>
        <v>4.33</v>
      </c>
      <c r="AW164" s="439">
        <f t="shared" ca="1" si="182"/>
        <v>1.99</v>
      </c>
    </row>
    <row r="165" spans="1:49" ht="15.75" x14ac:dyDescent="0.25">
      <c r="A165" s="437" t="str">
        <f>INDEX(Оглавление, ROW())</f>
        <v>[Цены на приграничных АЗС 2017-2020 (7138827 v1).XLSM]Цены на 17.08.2020</v>
      </c>
      <c r="B165" s="438">
        <f t="shared" ca="1" si="183"/>
        <v>44060</v>
      </c>
      <c r="C165" s="439">
        <f t="shared" ca="1" si="184"/>
        <v>8.98</v>
      </c>
      <c r="D165" s="439">
        <f t="shared" ca="1" si="185"/>
        <v>2.4563999999999999</v>
      </c>
      <c r="E165" s="439">
        <f t="shared" ca="1" si="186"/>
        <v>2.9003999999999999</v>
      </c>
      <c r="F165" s="439">
        <f t="shared" ca="1" si="187"/>
        <v>6.5875000000000004</v>
      </c>
      <c r="G165" s="439">
        <f t="shared" ca="1" si="188"/>
        <v>3.3584999999999998</v>
      </c>
      <c r="H165" s="439">
        <f t="shared" ca="1" si="141"/>
        <v>1.68</v>
      </c>
      <c r="I165" s="439">
        <f t="shared" ca="1" si="142"/>
        <v>1.78</v>
      </c>
      <c r="J165" s="439">
        <f t="shared" ca="1" si="143"/>
        <v>1.92</v>
      </c>
      <c r="K165" s="439">
        <f t="shared" ca="1" si="144"/>
        <v>1.78</v>
      </c>
      <c r="L165" s="439">
        <f t="shared" ca="1" si="145"/>
        <v>0.94</v>
      </c>
      <c r="M165" s="439">
        <f t="shared" ca="1" si="146"/>
        <v>42.95</v>
      </c>
      <c r="N165" s="439">
        <f t="shared" ca="1" si="147"/>
        <v>47.42</v>
      </c>
      <c r="O165" s="439">
        <f t="shared" ca="1" si="148"/>
        <v>51.98</v>
      </c>
      <c r="P165" s="439">
        <f t="shared" ca="1" si="149"/>
        <v>47.35</v>
      </c>
      <c r="Q165" s="439">
        <f t="shared" ca="1" si="150"/>
        <v>23.34</v>
      </c>
      <c r="R165" s="439">
        <f t="shared" ca="1" si="151"/>
        <v>43.11</v>
      </c>
      <c r="S165" s="439">
        <f t="shared" ca="1" si="152"/>
        <v>46.51</v>
      </c>
      <c r="T165" s="439">
        <f t="shared" ca="1" si="153"/>
        <v>51.4</v>
      </c>
      <c r="U165" s="439">
        <f t="shared" ca="1" si="154"/>
        <v>46.28</v>
      </c>
      <c r="V165" s="439">
        <f t="shared" ca="1" si="155"/>
        <v>24.8</v>
      </c>
      <c r="W165" s="439">
        <f t="shared" ca="1" si="156"/>
        <v>43.64</v>
      </c>
      <c r="X165" s="439">
        <f t="shared" ca="1" si="157"/>
        <v>47.55</v>
      </c>
      <c r="Y165" s="439">
        <f t="shared" ca="1" si="158"/>
        <v>51.7</v>
      </c>
      <c r="Z165" s="439">
        <f t="shared" ca="1" si="159"/>
        <v>46.42</v>
      </c>
      <c r="AA165" s="439">
        <f t="shared" ca="1" si="160"/>
        <v>25.2</v>
      </c>
      <c r="AB165" s="439">
        <f t="shared" ca="1" si="161"/>
        <v>42.62</v>
      </c>
      <c r="AC165" s="439">
        <f t="shared" ca="1" si="162"/>
        <v>45.62</v>
      </c>
      <c r="AD165" s="439">
        <f t="shared" ca="1" si="163"/>
        <v>52.49</v>
      </c>
      <c r="AE165" s="439">
        <f t="shared" ca="1" si="164"/>
        <v>47.99</v>
      </c>
      <c r="AF165" s="439">
        <f t="shared" ca="1" si="165"/>
        <v>23.33</v>
      </c>
      <c r="AG165" s="439">
        <f t="shared" ca="1" si="166"/>
        <v>23.2</v>
      </c>
      <c r="AH165" s="439">
        <f t="shared" ca="1" si="167"/>
        <v>24.43</v>
      </c>
      <c r="AI165" s="439">
        <f t="shared" ca="1" si="168"/>
        <v>27.79</v>
      </c>
      <c r="AJ165" s="439">
        <f t="shared" ca="1" si="169"/>
        <v>23.15</v>
      </c>
      <c r="AK165" s="439">
        <f t="shared" ca="1" si="170"/>
        <v>10.79</v>
      </c>
      <c r="AL165" s="439">
        <f t="shared" ca="1" si="171"/>
        <v>1.0840000000000001</v>
      </c>
      <c r="AM165" s="439">
        <f t="shared" ca="1" si="172"/>
        <v>1.1439999999999999</v>
      </c>
      <c r="AN165" s="439">
        <f t="shared" ca="1" si="173"/>
        <v>1.0069999999999999</v>
      </c>
      <c r="AO165" s="439">
        <f t="shared" ca="1" si="174"/>
        <v>0.505</v>
      </c>
      <c r="AP165" s="439">
        <f t="shared" ca="1" si="175"/>
        <v>1.0649999999999999</v>
      </c>
      <c r="AQ165" s="439">
        <f t="shared" ca="1" si="176"/>
        <v>1.1539999999999999</v>
      </c>
      <c r="AR165" s="439">
        <f t="shared" ca="1" si="177"/>
        <v>0.94599999999999995</v>
      </c>
      <c r="AS165" s="439">
        <f t="shared" ca="1" si="178"/>
        <v>0.48</v>
      </c>
      <c r="AT165" s="439">
        <f t="shared" ca="1" si="179"/>
        <v>4.4000000000000004</v>
      </c>
      <c r="AU165" s="439">
        <f t="shared" ca="1" si="180"/>
        <v>4.6900000000000004</v>
      </c>
      <c r="AV165" s="439">
        <f t="shared" ca="1" si="181"/>
        <v>4.34</v>
      </c>
      <c r="AW165" s="439">
        <f t="shared" ca="1" si="182"/>
        <v>1.99</v>
      </c>
    </row>
    <row r="166" spans="1:49" ht="15.75" x14ac:dyDescent="0.25">
      <c r="A166" s="437" t="str">
        <f>INDEX(Оглавление, ROW())</f>
        <v>[Цены на приграничных АЗС 2017-2020 (7138827 v1).XLSM]Цены на 24.08.2020</v>
      </c>
      <c r="B166" s="438">
        <f t="shared" ca="1" si="183"/>
        <v>44067</v>
      </c>
      <c r="C166" s="439">
        <f t="shared" ca="1" si="184"/>
        <v>9.1990999999999996</v>
      </c>
      <c r="D166" s="439">
        <f t="shared" ca="1" si="185"/>
        <v>2.5215999999999998</v>
      </c>
      <c r="E166" s="439">
        <f t="shared" ca="1" si="186"/>
        <v>2.9819</v>
      </c>
      <c r="F166" s="439">
        <f t="shared" ca="1" si="187"/>
        <v>6.7873999999999999</v>
      </c>
      <c r="G166" s="439">
        <f t="shared" ca="1" si="188"/>
        <v>3.4005000000000001</v>
      </c>
      <c r="H166" s="439">
        <f t="shared" ca="1" si="141"/>
        <v>1.68</v>
      </c>
      <c r="I166" s="439">
        <f t="shared" ca="1" si="142"/>
        <v>1.78</v>
      </c>
      <c r="J166" s="439">
        <f t="shared" ca="1" si="143"/>
        <v>1.92</v>
      </c>
      <c r="K166" s="439">
        <f t="shared" ca="1" si="144"/>
        <v>1.78</v>
      </c>
      <c r="L166" s="439">
        <f t="shared" ca="1" si="145"/>
        <v>0.94</v>
      </c>
      <c r="M166" s="439">
        <f t="shared" ca="1" si="146"/>
        <v>43.02</v>
      </c>
      <c r="N166" s="439">
        <f t="shared" ca="1" si="147"/>
        <v>47.53</v>
      </c>
      <c r="O166" s="439">
        <f t="shared" ca="1" si="148"/>
        <v>51.98</v>
      </c>
      <c r="P166" s="439">
        <f t="shared" ca="1" si="149"/>
        <v>47.31</v>
      </c>
      <c r="Q166" s="439">
        <f t="shared" ca="1" si="150"/>
        <v>23.3</v>
      </c>
      <c r="R166" s="439">
        <f t="shared" ca="1" si="151"/>
        <v>43.15</v>
      </c>
      <c r="S166" s="439">
        <f t="shared" ca="1" si="152"/>
        <v>46.52</v>
      </c>
      <c r="T166" s="439">
        <f t="shared" ca="1" si="153"/>
        <v>51.8</v>
      </c>
      <c r="U166" s="439">
        <f t="shared" ca="1" si="154"/>
        <v>46.28</v>
      </c>
      <c r="V166" s="439">
        <f t="shared" ca="1" si="155"/>
        <v>24.8</v>
      </c>
      <c r="W166" s="439">
        <f t="shared" ca="1" si="156"/>
        <v>43.63</v>
      </c>
      <c r="X166" s="439">
        <f t="shared" ca="1" si="157"/>
        <v>46.79</v>
      </c>
      <c r="Y166" s="439">
        <f t="shared" ca="1" si="158"/>
        <v>51.7</v>
      </c>
      <c r="Z166" s="439">
        <f t="shared" ca="1" si="159"/>
        <v>46.42</v>
      </c>
      <c r="AA166" s="439">
        <f t="shared" ca="1" si="160"/>
        <v>25.2</v>
      </c>
      <c r="AB166" s="439">
        <f t="shared" ca="1" si="161"/>
        <v>42.66</v>
      </c>
      <c r="AC166" s="439">
        <f t="shared" ca="1" si="162"/>
        <v>45.69</v>
      </c>
      <c r="AD166" s="439">
        <f t="shared" ca="1" si="163"/>
        <v>52.49</v>
      </c>
      <c r="AE166" s="439">
        <f t="shared" ca="1" si="164"/>
        <v>48.03</v>
      </c>
      <c r="AF166" s="439">
        <f t="shared" ca="1" si="165"/>
        <v>22.95</v>
      </c>
      <c r="AG166" s="439">
        <f t="shared" ca="1" si="166"/>
        <v>23.25</v>
      </c>
      <c r="AH166" s="439">
        <f t="shared" ca="1" si="167"/>
        <v>24.43</v>
      </c>
      <c r="AI166" s="439">
        <f t="shared" ca="1" si="168"/>
        <v>27.79</v>
      </c>
      <c r="AJ166" s="439">
        <f t="shared" ca="1" si="169"/>
        <v>23.24</v>
      </c>
      <c r="AK166" s="439">
        <f t="shared" ca="1" si="170"/>
        <v>10.79</v>
      </c>
      <c r="AL166" s="439">
        <f t="shared" ca="1" si="171"/>
        <v>1.127</v>
      </c>
      <c r="AM166" s="439">
        <f t="shared" ca="1" si="172"/>
        <v>1.1870000000000001</v>
      </c>
      <c r="AN166" s="439">
        <f t="shared" ca="1" si="173"/>
        <v>1.0269999999999999</v>
      </c>
      <c r="AO166" s="439">
        <f t="shared" ca="1" si="174"/>
        <v>0.505</v>
      </c>
      <c r="AP166" s="439">
        <f t="shared" ca="1" si="175"/>
        <v>1.0649999999999999</v>
      </c>
      <c r="AQ166" s="439">
        <f t="shared" ca="1" si="176"/>
        <v>1.1539999999999999</v>
      </c>
      <c r="AR166" s="439">
        <f t="shared" ca="1" si="177"/>
        <v>0.95499999999999996</v>
      </c>
      <c r="AS166" s="439">
        <f t="shared" ca="1" si="178"/>
        <v>0.503</v>
      </c>
      <c r="AT166" s="439">
        <f t="shared" ca="1" si="179"/>
        <v>4.45</v>
      </c>
      <c r="AU166" s="439">
        <f t="shared" ca="1" si="180"/>
        <v>4.67</v>
      </c>
      <c r="AV166" s="439">
        <f t="shared" ca="1" si="181"/>
        <v>4.3600000000000003</v>
      </c>
      <c r="AW166" s="439">
        <f t="shared" ca="1" si="182"/>
        <v>1.99</v>
      </c>
    </row>
    <row r="167" spans="1:49" ht="15.75" x14ac:dyDescent="0.25">
      <c r="A167" s="437" t="str">
        <f>INDEX(Оглавление, ROW())</f>
        <v>[Цены на приграничных АЗС 2017-2020 (7138827 v1).XLSM]Цены на 31.08.2020</v>
      </c>
      <c r="B167" s="438">
        <f t="shared" ca="1" si="183"/>
        <v>44074</v>
      </c>
      <c r="C167" s="439">
        <f t="shared" ca="1" si="184"/>
        <v>9.69</v>
      </c>
      <c r="D167" s="439">
        <f t="shared" ca="1" si="185"/>
        <v>2.6631</v>
      </c>
      <c r="E167" s="439">
        <f t="shared" ca="1" si="186"/>
        <v>3.1667999999999998</v>
      </c>
      <c r="F167" s="439">
        <f t="shared" ca="1" si="187"/>
        <v>7.2</v>
      </c>
      <c r="G167" s="439">
        <f t="shared" ca="1" si="188"/>
        <v>3.5701999999999998</v>
      </c>
      <c r="H167" s="439">
        <f t="shared" ca="1" si="141"/>
        <v>1.68</v>
      </c>
      <c r="I167" s="439">
        <f t="shared" ca="1" si="142"/>
        <v>1.78</v>
      </c>
      <c r="J167" s="439">
        <f t="shared" ca="1" si="143"/>
        <v>1.92</v>
      </c>
      <c r="K167" s="439">
        <f t="shared" ca="1" si="144"/>
        <v>1.78</v>
      </c>
      <c r="L167" s="439">
        <f t="shared" ca="1" si="145"/>
        <v>0.94</v>
      </c>
      <c r="M167" s="439">
        <f t="shared" ca="1" si="146"/>
        <v>43.07</v>
      </c>
      <c r="N167" s="439">
        <f t="shared" ca="1" si="147"/>
        <v>47.63</v>
      </c>
      <c r="O167" s="439">
        <f t="shared" ca="1" si="148"/>
        <v>51.98</v>
      </c>
      <c r="P167" s="439">
        <f t="shared" ca="1" si="149"/>
        <v>47.32</v>
      </c>
      <c r="Q167" s="439">
        <f t="shared" ca="1" si="150"/>
        <v>24</v>
      </c>
      <c r="R167" s="439">
        <f t="shared" ca="1" si="151"/>
        <v>43.23</v>
      </c>
      <c r="S167" s="439">
        <f t="shared" ca="1" si="152"/>
        <v>43.93</v>
      </c>
      <c r="T167" s="439">
        <f t="shared" ca="1" si="153"/>
        <v>51.8</v>
      </c>
      <c r="U167" s="439">
        <f t="shared" ca="1" si="154"/>
        <v>46.28</v>
      </c>
      <c r="V167" s="439">
        <f t="shared" ca="1" si="155"/>
        <v>24.8</v>
      </c>
      <c r="W167" s="439">
        <f t="shared" ca="1" si="156"/>
        <v>43.65</v>
      </c>
      <c r="X167" s="439">
        <f t="shared" ca="1" si="157"/>
        <v>46.83</v>
      </c>
      <c r="Y167" s="439">
        <f t="shared" ca="1" si="158"/>
        <v>51.9</v>
      </c>
      <c r="Z167" s="439">
        <f t="shared" ca="1" si="159"/>
        <v>46.39</v>
      </c>
      <c r="AA167" s="439">
        <f t="shared" ca="1" si="160"/>
        <v>25.2</v>
      </c>
      <c r="AB167" s="439">
        <f t="shared" ca="1" si="161"/>
        <v>42.55</v>
      </c>
      <c r="AC167" s="439">
        <f t="shared" ca="1" si="162"/>
        <v>45.56</v>
      </c>
      <c r="AD167" s="439">
        <f t="shared" ca="1" si="163"/>
        <v>52.49</v>
      </c>
      <c r="AE167" s="439">
        <f t="shared" ca="1" si="164"/>
        <v>47.91</v>
      </c>
      <c r="AF167" s="439">
        <f t="shared" ca="1" si="165"/>
        <v>22.95</v>
      </c>
      <c r="AG167" s="439">
        <f t="shared" ca="1" si="166"/>
        <v>23.25</v>
      </c>
      <c r="AH167" s="439">
        <f t="shared" ca="1" si="167"/>
        <v>24.43</v>
      </c>
      <c r="AI167" s="439">
        <f t="shared" ca="1" si="168"/>
        <v>27.79</v>
      </c>
      <c r="AJ167" s="439">
        <f t="shared" ca="1" si="169"/>
        <v>23.24</v>
      </c>
      <c r="AK167" s="439">
        <f t="shared" ca="1" si="170"/>
        <v>10.79</v>
      </c>
      <c r="AL167" s="439">
        <f t="shared" ca="1" si="171"/>
        <v>1.127</v>
      </c>
      <c r="AM167" s="439">
        <f t="shared" ca="1" si="172"/>
        <v>1.1870000000000001</v>
      </c>
      <c r="AN167" s="439">
        <f t="shared" ca="1" si="173"/>
        <v>1.0169999999999999</v>
      </c>
      <c r="AO167" s="439">
        <f t="shared" ca="1" si="174"/>
        <v>0.505</v>
      </c>
      <c r="AP167" s="439">
        <f t="shared" ca="1" si="175"/>
        <v>1.0549999999999999</v>
      </c>
      <c r="AQ167" s="439">
        <f t="shared" ca="1" si="176"/>
        <v>1.1539999999999999</v>
      </c>
      <c r="AR167" s="439">
        <f t="shared" ca="1" si="177"/>
        <v>0.94499999999999995</v>
      </c>
      <c r="AS167" s="439">
        <f t="shared" ca="1" si="178"/>
        <v>0.503</v>
      </c>
      <c r="AT167" s="439">
        <f t="shared" ca="1" si="179"/>
        <v>4.47</v>
      </c>
      <c r="AU167" s="439">
        <f t="shared" ca="1" si="180"/>
        <v>4.71</v>
      </c>
      <c r="AV167" s="439">
        <f t="shared" ca="1" si="181"/>
        <v>4.37</v>
      </c>
      <c r="AW167" s="439">
        <f t="shared" ca="1" si="182"/>
        <v>1.97</v>
      </c>
    </row>
    <row r="168" spans="1:49" ht="15.75" x14ac:dyDescent="0.25">
      <c r="A168" s="437" t="str">
        <f>INDEX(Оглавление, ROW())</f>
        <v>[Цены на приграничных АЗС 2017-2020 (7138827 v1).XLSM]Цены на 07.09.2020</v>
      </c>
      <c r="B168" s="438">
        <f t="shared" ca="1" si="183"/>
        <v>44081</v>
      </c>
      <c r="C168" s="439">
        <f t="shared" ca="1" si="184"/>
        <v>9.5071999999999992</v>
      </c>
      <c r="D168" s="439">
        <f t="shared" ca="1" si="185"/>
        <v>2.6341999999999999</v>
      </c>
      <c r="E168" s="439">
        <f t="shared" ca="1" si="186"/>
        <v>3.1211000000000002</v>
      </c>
      <c r="F168" s="439">
        <f t="shared" ca="1" si="187"/>
        <v>7.0118</v>
      </c>
      <c r="G168" s="439">
        <f t="shared" ca="1" si="188"/>
        <v>3.5097</v>
      </c>
      <c r="H168" s="439">
        <f t="shared" ca="1" si="141"/>
        <v>1.68</v>
      </c>
      <c r="I168" s="439">
        <f t="shared" ca="1" si="142"/>
        <v>1.78</v>
      </c>
      <c r="J168" s="439">
        <f t="shared" ca="1" si="143"/>
        <v>1.92</v>
      </c>
      <c r="K168" s="439">
        <f t="shared" ca="1" si="144"/>
        <v>1.78</v>
      </c>
      <c r="L168" s="439">
        <f t="shared" ca="1" si="145"/>
        <v>0.94</v>
      </c>
      <c r="M168" s="439">
        <f t="shared" ca="1" si="146"/>
        <v>43.03</v>
      </c>
      <c r="N168" s="439">
        <f t="shared" ca="1" si="147"/>
        <v>47.52</v>
      </c>
      <c r="O168" s="439">
        <f t="shared" ca="1" si="148"/>
        <v>51.98</v>
      </c>
      <c r="P168" s="439">
        <f t="shared" ca="1" si="149"/>
        <v>47.33</v>
      </c>
      <c r="Q168" s="439">
        <f t="shared" ca="1" si="150"/>
        <v>24.08</v>
      </c>
      <c r="R168" s="439">
        <f t="shared" ca="1" si="151"/>
        <v>43.04</v>
      </c>
      <c r="S168" s="439">
        <f t="shared" ca="1" si="152"/>
        <v>46.79</v>
      </c>
      <c r="T168" s="439">
        <f t="shared" ca="1" si="153"/>
        <v>51.8</v>
      </c>
      <c r="U168" s="439">
        <f t="shared" ca="1" si="154"/>
        <v>46.18</v>
      </c>
      <c r="V168" s="439">
        <f t="shared" ca="1" si="155"/>
        <v>24.8</v>
      </c>
      <c r="W168" s="439">
        <f t="shared" ca="1" si="156"/>
        <v>43.48</v>
      </c>
      <c r="X168" s="439">
        <f t="shared" ca="1" si="157"/>
        <v>46.78</v>
      </c>
      <c r="Y168" s="439">
        <f t="shared" ca="1" si="158"/>
        <v>51.9</v>
      </c>
      <c r="Z168" s="439">
        <f t="shared" ca="1" si="159"/>
        <v>46.28</v>
      </c>
      <c r="AA168" s="439">
        <f t="shared" ca="1" si="160"/>
        <v>25.2</v>
      </c>
      <c r="AB168" s="439">
        <f t="shared" ca="1" si="161"/>
        <v>42.88</v>
      </c>
      <c r="AC168" s="439">
        <f t="shared" ca="1" si="162"/>
        <v>45.56</v>
      </c>
      <c r="AD168" s="439">
        <f t="shared" ca="1" si="163"/>
        <v>52.49</v>
      </c>
      <c r="AE168" s="439">
        <f t="shared" ca="1" si="164"/>
        <v>48.03</v>
      </c>
      <c r="AF168" s="439">
        <f t="shared" ca="1" si="165"/>
        <v>22.95</v>
      </c>
      <c r="AG168" s="439">
        <f t="shared" ca="1" si="166"/>
        <v>23.25</v>
      </c>
      <c r="AH168" s="439">
        <f t="shared" ca="1" si="167"/>
        <v>24.43</v>
      </c>
      <c r="AI168" s="439">
        <f t="shared" ca="1" si="168"/>
        <v>27.79</v>
      </c>
      <c r="AJ168" s="439">
        <f t="shared" ca="1" si="169"/>
        <v>23.24</v>
      </c>
      <c r="AK168" s="439">
        <f t="shared" ca="1" si="170"/>
        <v>10.79</v>
      </c>
      <c r="AL168" s="439">
        <f t="shared" ca="1" si="171"/>
        <v>1.117</v>
      </c>
      <c r="AM168" s="439">
        <f t="shared" ca="1" si="172"/>
        <v>1.177</v>
      </c>
      <c r="AN168" s="439">
        <f t="shared" ca="1" si="173"/>
        <v>1.0069999999999999</v>
      </c>
      <c r="AO168" s="439">
        <f t="shared" ca="1" si="174"/>
        <v>0.505</v>
      </c>
      <c r="AP168" s="439">
        <f t="shared" ca="1" si="175"/>
        <v>1.0389999999999999</v>
      </c>
      <c r="AQ168" s="439">
        <f t="shared" ca="1" si="176"/>
        <v>1.145</v>
      </c>
      <c r="AR168" s="439">
        <f t="shared" ca="1" si="177"/>
        <v>0.92900000000000005</v>
      </c>
      <c r="AS168" s="439">
        <f t="shared" ca="1" si="178"/>
        <v>0.499</v>
      </c>
      <c r="AT168" s="439">
        <f t="shared" ca="1" si="179"/>
        <v>4.47</v>
      </c>
      <c r="AU168" s="439">
        <f t="shared" ca="1" si="180"/>
        <v>4.6900000000000004</v>
      </c>
      <c r="AV168" s="439">
        <f t="shared" ca="1" si="181"/>
        <v>4.3899999999999997</v>
      </c>
      <c r="AW168" s="439">
        <f t="shared" ca="1" si="182"/>
        <v>2</v>
      </c>
    </row>
    <row r="169" spans="1:49" ht="15.75" x14ac:dyDescent="0.25">
      <c r="A169" s="437" t="str">
        <f>INDEX(Оглавление, ROW())</f>
        <v>[Цены на приграничных АЗС 2017-2020 (7138827 v1).XLSM]Цены на 14.09.2020</v>
      </c>
      <c r="B169" s="438">
        <f t="shared" ca="1" si="183"/>
        <v>44088</v>
      </c>
      <c r="C169" s="439">
        <f t="shared" ca="1" si="184"/>
        <v>9.3087</v>
      </c>
      <c r="D169" s="439">
        <f t="shared" ca="1" si="185"/>
        <v>2.5992000000000002</v>
      </c>
      <c r="E169" s="439">
        <f t="shared" ca="1" si="186"/>
        <v>3.0785</v>
      </c>
      <c r="F169" s="439">
        <f t="shared" ca="1" si="187"/>
        <v>6.9382000000000001</v>
      </c>
      <c r="G169" s="439">
        <f t="shared" ca="1" si="188"/>
        <v>3.4708000000000001</v>
      </c>
      <c r="H169" s="439">
        <f t="shared" ca="1" si="141"/>
        <v>1.68</v>
      </c>
      <c r="I169" s="439">
        <f t="shared" ca="1" si="142"/>
        <v>1.78</v>
      </c>
      <c r="J169" s="439">
        <f t="shared" ca="1" si="143"/>
        <v>1.92</v>
      </c>
      <c r="K169" s="439">
        <f t="shared" ca="1" si="144"/>
        <v>1.78</v>
      </c>
      <c r="L169" s="439">
        <f t="shared" ca="1" si="145"/>
        <v>0.94</v>
      </c>
      <c r="M169" s="439">
        <f t="shared" ca="1" si="146"/>
        <v>43.02</v>
      </c>
      <c r="N169" s="439">
        <f t="shared" ca="1" si="147"/>
        <v>47.51</v>
      </c>
      <c r="O169" s="439">
        <f t="shared" ca="1" si="148"/>
        <v>51.98</v>
      </c>
      <c r="P169" s="439">
        <f t="shared" ca="1" si="149"/>
        <v>47.35</v>
      </c>
      <c r="Q169" s="439">
        <f t="shared" ca="1" si="150"/>
        <v>24.62</v>
      </c>
      <c r="R169" s="439">
        <f t="shared" ca="1" si="151"/>
        <v>42.89</v>
      </c>
      <c r="S169" s="439">
        <f t="shared" ca="1" si="152"/>
        <v>46.46</v>
      </c>
      <c r="T169" s="439">
        <f t="shared" ca="1" si="153"/>
        <v>51.8</v>
      </c>
      <c r="U169" s="439">
        <f t="shared" ca="1" si="154"/>
        <v>46.12</v>
      </c>
      <c r="V169" s="439">
        <f t="shared" ca="1" si="155"/>
        <v>24.8</v>
      </c>
      <c r="W169" s="439">
        <f t="shared" ca="1" si="156"/>
        <v>43.33</v>
      </c>
      <c r="X169" s="439">
        <f t="shared" ca="1" si="157"/>
        <v>46.5</v>
      </c>
      <c r="Y169" s="439">
        <f t="shared" ca="1" si="158"/>
        <v>51.9</v>
      </c>
      <c r="Z169" s="439">
        <f t="shared" ca="1" si="159"/>
        <v>46.2</v>
      </c>
      <c r="AA169" s="439">
        <f t="shared" ca="1" si="160"/>
        <v>25.2</v>
      </c>
      <c r="AB169" s="439">
        <f t="shared" ca="1" si="161"/>
        <v>42.9</v>
      </c>
      <c r="AC169" s="439">
        <f t="shared" ca="1" si="162"/>
        <v>45.83</v>
      </c>
      <c r="AD169" s="439">
        <f t="shared" ca="1" si="163"/>
        <v>52.49</v>
      </c>
      <c r="AE169" s="439">
        <f t="shared" ca="1" si="164"/>
        <v>48.04</v>
      </c>
      <c r="AF169" s="439">
        <f t="shared" ca="1" si="165"/>
        <v>22.95</v>
      </c>
      <c r="AG169" s="439">
        <f t="shared" ca="1" si="166"/>
        <v>23.25</v>
      </c>
      <c r="AH169" s="439">
        <f t="shared" ca="1" si="167"/>
        <v>24.43</v>
      </c>
      <c r="AI169" s="439">
        <f t="shared" ca="1" si="168"/>
        <v>27.79</v>
      </c>
      <c r="AJ169" s="439">
        <f t="shared" ca="1" si="169"/>
        <v>23.24</v>
      </c>
      <c r="AK169" s="439">
        <f t="shared" ca="1" si="170"/>
        <v>10.79</v>
      </c>
      <c r="AL169" s="439">
        <f t="shared" ca="1" si="171"/>
        <v>1.1339999999999999</v>
      </c>
      <c r="AM169" s="439">
        <f t="shared" ca="1" si="172"/>
        <v>1.194</v>
      </c>
      <c r="AN169" s="439">
        <f t="shared" ca="1" si="173"/>
        <v>1.014</v>
      </c>
      <c r="AO169" s="439">
        <f t="shared" ca="1" si="174"/>
        <v>0.505</v>
      </c>
      <c r="AP169" s="439">
        <f t="shared" ca="1" si="175"/>
        <v>1.0389999999999999</v>
      </c>
      <c r="AQ169" s="439">
        <f t="shared" ca="1" si="176"/>
        <v>1.1439999999999999</v>
      </c>
      <c r="AR169" s="439">
        <f t="shared" ca="1" si="177"/>
        <v>0.92500000000000004</v>
      </c>
      <c r="AS169" s="439">
        <f t="shared" ca="1" si="178"/>
        <v>0.499</v>
      </c>
      <c r="AT169" s="439">
        <f t="shared" ca="1" si="179"/>
        <v>4.4400000000000004</v>
      </c>
      <c r="AU169" s="439">
        <f t="shared" ca="1" si="180"/>
        <v>4.76</v>
      </c>
      <c r="AV169" s="439">
        <f t="shared" ca="1" si="181"/>
        <v>4.3499999999999996</v>
      </c>
      <c r="AW169" s="439">
        <f t="shared" ca="1" si="182"/>
        <v>2</v>
      </c>
    </row>
    <row r="170" spans="1:49" ht="15.75" x14ac:dyDescent="0.25">
      <c r="A170" s="437" t="str">
        <f>INDEX(Оглавление, ROW())</f>
        <v>[Цены на приграничных АЗС 2017-2020 (7138827 v1).XLSM]Цены на 21.09.2020</v>
      </c>
      <c r="B170" s="438">
        <f t="shared" ca="1" si="183"/>
        <v>44095</v>
      </c>
      <c r="C170" s="439">
        <f t="shared" ca="1" si="184"/>
        <v>9.1075999999999997</v>
      </c>
      <c r="D170" s="439">
        <f t="shared" ca="1" si="185"/>
        <v>2.5657999999999999</v>
      </c>
      <c r="E170" s="439">
        <f t="shared" ca="1" si="186"/>
        <v>3.0413999999999999</v>
      </c>
      <c r="F170" s="439">
        <f t="shared" ca="1" si="187"/>
        <v>6.8285999999999998</v>
      </c>
      <c r="G170" s="439">
        <f t="shared" ca="1" si="188"/>
        <v>3.4205000000000001</v>
      </c>
      <c r="H170" s="439">
        <f t="shared" ca="1" si="141"/>
        <v>1.68</v>
      </c>
      <c r="I170" s="439">
        <f t="shared" ca="1" si="142"/>
        <v>1.78</v>
      </c>
      <c r="J170" s="439">
        <f t="shared" ca="1" si="143"/>
        <v>1.92</v>
      </c>
      <c r="K170" s="439">
        <f t="shared" ca="1" si="144"/>
        <v>1.78</v>
      </c>
      <c r="L170" s="439">
        <f t="shared" ca="1" si="145"/>
        <v>0.94</v>
      </c>
      <c r="M170" s="439">
        <f t="shared" ca="1" si="146"/>
        <v>43.04</v>
      </c>
      <c r="N170" s="439">
        <f t="shared" ca="1" si="147"/>
        <v>47.56</v>
      </c>
      <c r="O170" s="439">
        <f t="shared" ca="1" si="148"/>
        <v>52.99</v>
      </c>
      <c r="P170" s="439">
        <f t="shared" ca="1" si="149"/>
        <v>47.32</v>
      </c>
      <c r="Q170" s="439">
        <f t="shared" ca="1" si="150"/>
        <v>24.82</v>
      </c>
      <c r="R170" s="439">
        <f t="shared" ca="1" si="151"/>
        <v>43.37</v>
      </c>
      <c r="S170" s="439">
        <f t="shared" ca="1" si="152"/>
        <v>46.82</v>
      </c>
      <c r="T170" s="439">
        <f t="shared" ca="1" si="153"/>
        <v>51.85</v>
      </c>
      <c r="U170" s="439">
        <f t="shared" ca="1" si="154"/>
        <v>46.25</v>
      </c>
      <c r="V170" s="439">
        <f t="shared" ca="1" si="155"/>
        <v>24.6</v>
      </c>
      <c r="W170" s="439">
        <f t="shared" ca="1" si="156"/>
        <v>43.64</v>
      </c>
      <c r="X170" s="439">
        <f t="shared" ca="1" si="157"/>
        <v>46.79</v>
      </c>
      <c r="Y170" s="439">
        <f t="shared" ca="1" si="158"/>
        <v>51.9</v>
      </c>
      <c r="Z170" s="439">
        <f t="shared" ca="1" si="159"/>
        <v>46.41</v>
      </c>
      <c r="AA170" s="439">
        <f t="shared" ca="1" si="160"/>
        <v>25.2</v>
      </c>
      <c r="AB170" s="439">
        <f t="shared" ca="1" si="161"/>
        <v>42.76</v>
      </c>
      <c r="AC170" s="439">
        <f t="shared" ca="1" si="162"/>
        <v>45.78</v>
      </c>
      <c r="AD170" s="439">
        <f t="shared" ca="1" si="163"/>
        <v>52.49</v>
      </c>
      <c r="AE170" s="439">
        <f t="shared" ca="1" si="164"/>
        <v>47.99</v>
      </c>
      <c r="AF170" s="439">
        <f t="shared" ca="1" si="165"/>
        <v>22.55</v>
      </c>
      <c r="AG170" s="439">
        <f t="shared" ca="1" si="166"/>
        <v>23.25</v>
      </c>
      <c r="AH170" s="439">
        <f t="shared" ca="1" si="167"/>
        <v>24.43</v>
      </c>
      <c r="AI170" s="439">
        <f t="shared" ca="1" si="168"/>
        <v>27.79</v>
      </c>
      <c r="AJ170" s="439">
        <f t="shared" ca="1" si="169"/>
        <v>23.24</v>
      </c>
      <c r="AK170" s="439">
        <f t="shared" ca="1" si="170"/>
        <v>10.79</v>
      </c>
      <c r="AL170" s="439">
        <f t="shared" ca="1" si="171"/>
        <v>1.1140000000000001</v>
      </c>
      <c r="AM170" s="439">
        <f t="shared" ca="1" si="172"/>
        <v>1.179</v>
      </c>
      <c r="AN170" s="439">
        <f t="shared" ca="1" si="173"/>
        <v>0.99399999999999999</v>
      </c>
      <c r="AO170" s="439">
        <f t="shared" ca="1" si="174"/>
        <v>0.505</v>
      </c>
      <c r="AP170" s="439">
        <f t="shared" ca="1" si="175"/>
        <v>1.0389999999999999</v>
      </c>
      <c r="AQ170" s="439">
        <f t="shared" ca="1" si="176"/>
        <v>1.1439999999999999</v>
      </c>
      <c r="AR170" s="439">
        <f t="shared" ca="1" si="177"/>
        <v>0.91500000000000004</v>
      </c>
      <c r="AS170" s="439">
        <f t="shared" ca="1" si="178"/>
        <v>0.499</v>
      </c>
      <c r="AT170" s="439">
        <f t="shared" ca="1" si="179"/>
        <v>4.4400000000000004</v>
      </c>
      <c r="AU170" s="439">
        <f t="shared" ca="1" si="180"/>
        <v>4.7</v>
      </c>
      <c r="AV170" s="439">
        <f t="shared" ca="1" si="181"/>
        <v>4.34</v>
      </c>
      <c r="AW170" s="439">
        <f t="shared" ca="1" si="182"/>
        <v>1.96</v>
      </c>
    </row>
    <row r="171" spans="1:49" ht="15.75" x14ac:dyDescent="0.25">
      <c r="A171" s="437" t="str">
        <f>INDEX(Оглавление, ROW())</f>
        <v>[Цены на приграничных АЗС 2017-2020 (7138827 v1).XLSM]Цены на 28.09.2020</v>
      </c>
      <c r="B171" s="438">
        <f t="shared" ca="1" si="183"/>
        <v>44102</v>
      </c>
      <c r="C171" s="439">
        <f t="shared" ca="1" si="184"/>
        <v>9.1931999999999992</v>
      </c>
      <c r="D171" s="439">
        <f t="shared" ca="1" si="185"/>
        <v>2.5992000000000002</v>
      </c>
      <c r="E171" s="439">
        <f t="shared" ca="1" si="186"/>
        <v>3.0318000000000001</v>
      </c>
      <c r="F171" s="439">
        <f t="shared" ca="1" si="187"/>
        <v>6.6505000000000001</v>
      </c>
      <c r="G171" s="439">
        <f t="shared" ca="1" si="188"/>
        <v>3.3813</v>
      </c>
      <c r="H171" s="439">
        <f t="shared" ca="1" si="141"/>
        <v>1.68</v>
      </c>
      <c r="I171" s="439">
        <f t="shared" ca="1" si="142"/>
        <v>1.78</v>
      </c>
      <c r="J171" s="439">
        <f t="shared" ca="1" si="143"/>
        <v>1.92</v>
      </c>
      <c r="K171" s="439">
        <f t="shared" ca="1" si="144"/>
        <v>1.78</v>
      </c>
      <c r="L171" s="439">
        <f t="shared" ca="1" si="145"/>
        <v>0.94</v>
      </c>
      <c r="M171" s="439">
        <f t="shared" ca="1" si="146"/>
        <v>43.02</v>
      </c>
      <c r="N171" s="439">
        <f t="shared" ca="1" si="147"/>
        <v>47.54</v>
      </c>
      <c r="O171" s="439">
        <f t="shared" ca="1" si="148"/>
        <v>52.49</v>
      </c>
      <c r="P171" s="439">
        <f t="shared" ca="1" si="149"/>
        <v>47.32</v>
      </c>
      <c r="Q171" s="439">
        <f t="shared" ca="1" si="150"/>
        <v>24.82</v>
      </c>
      <c r="R171" s="439">
        <f t="shared" ca="1" si="151"/>
        <v>43.31</v>
      </c>
      <c r="S171" s="439">
        <f t="shared" ca="1" si="152"/>
        <v>46.72</v>
      </c>
      <c r="T171" s="439">
        <f t="shared" ca="1" si="153"/>
        <v>51.8</v>
      </c>
      <c r="U171" s="439">
        <f t="shared" ca="1" si="154"/>
        <v>46.26</v>
      </c>
      <c r="V171" s="439">
        <f t="shared" ca="1" si="155"/>
        <v>24.75</v>
      </c>
      <c r="W171" s="439">
        <f t="shared" ca="1" si="156"/>
        <v>43.63</v>
      </c>
      <c r="X171" s="439">
        <f t="shared" ca="1" si="157"/>
        <v>46.79</v>
      </c>
      <c r="Y171" s="439">
        <f t="shared" ca="1" si="158"/>
        <v>52</v>
      </c>
      <c r="Z171" s="439">
        <f t="shared" ca="1" si="159"/>
        <v>46.41</v>
      </c>
      <c r="AA171" s="439">
        <f t="shared" ca="1" si="160"/>
        <v>25.2</v>
      </c>
      <c r="AB171" s="439">
        <f t="shared" ca="1" si="161"/>
        <v>42.81</v>
      </c>
      <c r="AC171" s="439">
        <f t="shared" ca="1" si="162"/>
        <v>45.84</v>
      </c>
      <c r="AD171" s="439">
        <f t="shared" ca="1" si="163"/>
        <v>52.49</v>
      </c>
      <c r="AE171" s="439">
        <f t="shared" ca="1" si="164"/>
        <v>48.01</v>
      </c>
      <c r="AF171" s="439">
        <f t="shared" ca="1" si="165"/>
        <v>22.55</v>
      </c>
      <c r="AG171" s="439">
        <f t="shared" ca="1" si="166"/>
        <v>23.25</v>
      </c>
      <c r="AH171" s="439">
        <f t="shared" ca="1" si="167"/>
        <v>24.43</v>
      </c>
      <c r="AI171" s="439">
        <f t="shared" ca="1" si="168"/>
        <v>27.79</v>
      </c>
      <c r="AJ171" s="439">
        <f t="shared" ca="1" si="169"/>
        <v>23</v>
      </c>
      <c r="AK171" s="439">
        <f t="shared" ca="1" si="170"/>
        <v>10.79</v>
      </c>
      <c r="AL171" s="439">
        <f t="shared" ca="1" si="171"/>
        <v>1.1140000000000001</v>
      </c>
      <c r="AM171" s="439">
        <f t="shared" ca="1" si="172"/>
        <v>1.179</v>
      </c>
      <c r="AN171" s="439">
        <f t="shared" ca="1" si="173"/>
        <v>0.99399999999999999</v>
      </c>
      <c r="AO171" s="439">
        <f t="shared" ca="1" si="174"/>
        <v>0.505</v>
      </c>
      <c r="AP171" s="439">
        <f t="shared" ca="1" si="175"/>
        <v>1.0389999999999999</v>
      </c>
      <c r="AQ171" s="439">
        <f t="shared" ca="1" si="176"/>
        <v>1.1439999999999999</v>
      </c>
      <c r="AR171" s="439">
        <f t="shared" ca="1" si="177"/>
        <v>0.91500000000000004</v>
      </c>
      <c r="AS171" s="439">
        <f t="shared" ca="1" si="178"/>
        <v>0.499</v>
      </c>
      <c r="AT171" s="439">
        <f t="shared" ca="1" si="179"/>
        <v>4.46</v>
      </c>
      <c r="AU171" s="439">
        <f t="shared" ca="1" si="180"/>
        <v>4.72</v>
      </c>
      <c r="AV171" s="439">
        <f t="shared" ca="1" si="181"/>
        <v>4.34</v>
      </c>
      <c r="AW171" s="439">
        <f t="shared" ca="1" si="182"/>
        <v>1.96</v>
      </c>
    </row>
    <row r="172" spans="1:49" ht="15.75" x14ac:dyDescent="0.25">
      <c r="A172" s="437" t="str">
        <f>INDEX(Оглавление, ROW())</f>
        <v>[Цены на приграничных АЗС 2017-2020 (7138827 v1).XLSM]Цены на 05.10.2020</v>
      </c>
      <c r="B172" s="438">
        <f t="shared" ca="1" si="183"/>
        <v>44109</v>
      </c>
      <c r="C172" s="439">
        <f t="shared" ca="1" si="184"/>
        <v>9.2271000000000001</v>
      </c>
      <c r="D172" s="439">
        <f t="shared" ca="1" si="185"/>
        <v>2.6150000000000002</v>
      </c>
      <c r="E172" s="439">
        <f t="shared" ca="1" si="186"/>
        <v>3.0680999999999998</v>
      </c>
      <c r="F172" s="439">
        <f t="shared" ca="1" si="187"/>
        <v>6.8257000000000003</v>
      </c>
      <c r="G172" s="439">
        <f t="shared" ca="1" si="188"/>
        <v>3.34</v>
      </c>
      <c r="H172" s="439">
        <f t="shared" ca="1" si="141"/>
        <v>1.68</v>
      </c>
      <c r="I172" s="439">
        <f t="shared" ca="1" si="142"/>
        <v>1.78</v>
      </c>
      <c r="J172" s="439">
        <f t="shared" ca="1" si="143"/>
        <v>1.92</v>
      </c>
      <c r="K172" s="439">
        <f t="shared" ca="1" si="144"/>
        <v>1.78</v>
      </c>
      <c r="L172" s="439">
        <f t="shared" ca="1" si="145"/>
        <v>0.94</v>
      </c>
      <c r="M172" s="439">
        <f t="shared" ca="1" si="146"/>
        <v>43.02</v>
      </c>
      <c r="N172" s="439">
        <f t="shared" ca="1" si="147"/>
        <v>47.54</v>
      </c>
      <c r="O172" s="439">
        <f t="shared" ca="1" si="148"/>
        <v>52.98</v>
      </c>
      <c r="P172" s="439">
        <f t="shared" ca="1" si="149"/>
        <v>47.37</v>
      </c>
      <c r="Q172" s="439">
        <f t="shared" ca="1" si="150"/>
        <v>24.77</v>
      </c>
      <c r="R172" s="439">
        <f t="shared" ca="1" si="151"/>
        <v>43.35</v>
      </c>
      <c r="S172" s="439">
        <f t="shared" ca="1" si="152"/>
        <v>46.84</v>
      </c>
      <c r="T172" s="439">
        <f t="shared" ca="1" si="153"/>
        <v>51.85</v>
      </c>
      <c r="U172" s="439">
        <f t="shared" ca="1" si="154"/>
        <v>46.37</v>
      </c>
      <c r="V172" s="439">
        <f t="shared" ca="1" si="155"/>
        <v>24.75</v>
      </c>
      <c r="W172" s="439">
        <f t="shared" ca="1" si="156"/>
        <v>43.65</v>
      </c>
      <c r="X172" s="439">
        <f t="shared" ca="1" si="157"/>
        <v>46.8</v>
      </c>
      <c r="Y172" s="439">
        <f t="shared" ca="1" si="158"/>
        <v>51.9</v>
      </c>
      <c r="Z172" s="439">
        <f t="shared" ca="1" si="159"/>
        <v>46.4</v>
      </c>
      <c r="AA172" s="439">
        <f t="shared" ca="1" si="160"/>
        <v>25.2</v>
      </c>
      <c r="AB172" s="439">
        <f t="shared" ca="1" si="161"/>
        <v>42.81</v>
      </c>
      <c r="AC172" s="439">
        <f t="shared" ca="1" si="162"/>
        <v>45.84</v>
      </c>
      <c r="AD172" s="439">
        <f t="shared" ca="1" si="163"/>
        <v>52.49</v>
      </c>
      <c r="AE172" s="439">
        <f t="shared" ca="1" si="164"/>
        <v>48.02</v>
      </c>
      <c r="AF172" s="439">
        <f t="shared" ca="1" si="165"/>
        <v>22.55</v>
      </c>
      <c r="AG172" s="439">
        <f t="shared" ca="1" si="166"/>
        <v>23.25</v>
      </c>
      <c r="AH172" s="439">
        <f t="shared" ca="1" si="167"/>
        <v>24.43</v>
      </c>
      <c r="AI172" s="439">
        <f t="shared" ca="1" si="168"/>
        <v>28.54</v>
      </c>
      <c r="AJ172" s="439">
        <f t="shared" ca="1" si="169"/>
        <v>23</v>
      </c>
      <c r="AK172" s="439">
        <f t="shared" ca="1" si="170"/>
        <v>10.79</v>
      </c>
      <c r="AL172" s="439">
        <f t="shared" ca="1" si="171"/>
        <v>1.1040000000000001</v>
      </c>
      <c r="AM172" s="439">
        <f t="shared" ca="1" si="172"/>
        <v>1.1639999999999999</v>
      </c>
      <c r="AN172" s="439">
        <f t="shared" ca="1" si="173"/>
        <v>0.98399999999999999</v>
      </c>
      <c r="AO172" s="439">
        <f t="shared" ca="1" si="174"/>
        <v>0.505</v>
      </c>
      <c r="AP172" s="439">
        <f t="shared" ca="1" si="175"/>
        <v>1.0449999999999999</v>
      </c>
      <c r="AQ172" s="439">
        <f t="shared" ca="1" si="176"/>
        <v>1.1240000000000001</v>
      </c>
      <c r="AR172" s="439">
        <f t="shared" ca="1" si="177"/>
        <v>0.90500000000000003</v>
      </c>
      <c r="AS172" s="439">
        <f t="shared" ca="1" si="178"/>
        <v>0.499</v>
      </c>
      <c r="AT172" s="439">
        <f t="shared" ca="1" si="179"/>
        <v>4.46</v>
      </c>
      <c r="AU172" s="439">
        <f t="shared" ca="1" si="180"/>
        <v>4.6500000000000004</v>
      </c>
      <c r="AV172" s="439">
        <f t="shared" ca="1" si="181"/>
        <v>4.3499999999999996</v>
      </c>
      <c r="AW172" s="439">
        <f t="shared" ca="1" si="182"/>
        <v>1.99</v>
      </c>
    </row>
    <row r="173" spans="1:49" ht="15.75" x14ac:dyDescent="0.25">
      <c r="A173" s="437" t="str">
        <f>INDEX(Оглавление, ROW())</f>
        <v>[Цены на приграничных АЗС 2017-2020 (7138827 v1).XLSM]Цены на 12.10.2020</v>
      </c>
      <c r="B173" s="438">
        <f t="shared" ca="1" si="183"/>
        <v>44116</v>
      </c>
      <c r="C173" s="439">
        <f t="shared" ca="1" si="184"/>
        <v>9.1351999999999993</v>
      </c>
      <c r="D173" s="439">
        <f t="shared" ca="1" si="185"/>
        <v>2.5779999999999998</v>
      </c>
      <c r="E173" s="439">
        <f t="shared" ca="1" si="186"/>
        <v>3.0404</v>
      </c>
      <c r="F173" s="439">
        <f t="shared" ca="1" si="187"/>
        <v>6.7877000000000001</v>
      </c>
      <c r="G173" s="439">
        <f t="shared" ca="1" si="188"/>
        <v>3.3464999999999998</v>
      </c>
      <c r="H173" s="439">
        <f t="shared" ca="1" si="141"/>
        <v>1.68</v>
      </c>
      <c r="I173" s="439">
        <f t="shared" ca="1" si="142"/>
        <v>1.78</v>
      </c>
      <c r="J173" s="439">
        <f t="shared" ca="1" si="143"/>
        <v>1.92</v>
      </c>
      <c r="K173" s="439">
        <f t="shared" ca="1" si="144"/>
        <v>1.78</v>
      </c>
      <c r="L173" s="439">
        <f t="shared" ca="1" si="145"/>
        <v>0.94</v>
      </c>
      <c r="M173" s="439">
        <f t="shared" ca="1" si="146"/>
        <v>43.06</v>
      </c>
      <c r="N173" s="439">
        <f t="shared" ca="1" si="147"/>
        <v>47.59</v>
      </c>
      <c r="O173" s="439">
        <f t="shared" ca="1" si="148"/>
        <v>51.9</v>
      </c>
      <c r="P173" s="439">
        <f t="shared" ca="1" si="149"/>
        <v>47.33</v>
      </c>
      <c r="Q173" s="439">
        <f t="shared" ca="1" si="150"/>
        <v>24.99</v>
      </c>
      <c r="R173" s="439">
        <f t="shared" ca="1" si="151"/>
        <v>43.3</v>
      </c>
      <c r="S173" s="439">
        <f t="shared" ca="1" si="152"/>
        <v>46.71</v>
      </c>
      <c r="T173" s="439">
        <f t="shared" ca="1" si="153"/>
        <v>51.8</v>
      </c>
      <c r="U173" s="439">
        <f t="shared" ca="1" si="154"/>
        <v>46.32</v>
      </c>
      <c r="V173" s="439">
        <f t="shared" ca="1" si="155"/>
        <v>24.8</v>
      </c>
      <c r="W173" s="439">
        <f t="shared" ca="1" si="156"/>
        <v>43.64</v>
      </c>
      <c r="X173" s="439">
        <f t="shared" ca="1" si="157"/>
        <v>46.79</v>
      </c>
      <c r="Y173" s="439">
        <f t="shared" ca="1" si="158"/>
        <v>51.9</v>
      </c>
      <c r="Z173" s="439">
        <f t="shared" ca="1" si="159"/>
        <v>46.41</v>
      </c>
      <c r="AA173" s="439">
        <f t="shared" ca="1" si="160"/>
        <v>26.4</v>
      </c>
      <c r="AB173" s="439">
        <f t="shared" ca="1" si="161"/>
        <v>42.88</v>
      </c>
      <c r="AC173" s="439">
        <f t="shared" ca="1" si="162"/>
        <v>45.9</v>
      </c>
      <c r="AD173" s="439">
        <f t="shared" ca="1" si="163"/>
        <v>52.3</v>
      </c>
      <c r="AE173" s="439">
        <f t="shared" ca="1" si="164"/>
        <v>48.01</v>
      </c>
      <c r="AF173" s="439">
        <f t="shared" ca="1" si="165"/>
        <v>22.55</v>
      </c>
      <c r="AG173" s="439">
        <f t="shared" ca="1" si="166"/>
        <v>23.25</v>
      </c>
      <c r="AH173" s="439">
        <f t="shared" ca="1" si="167"/>
        <v>24.43</v>
      </c>
      <c r="AI173" s="439">
        <f t="shared" ca="1" si="168"/>
        <v>28.54</v>
      </c>
      <c r="AJ173" s="439">
        <f t="shared" ca="1" si="169"/>
        <v>23</v>
      </c>
      <c r="AK173" s="439">
        <f t="shared" ca="1" si="170"/>
        <v>11.04</v>
      </c>
      <c r="AL173" s="439">
        <f t="shared" ca="1" si="171"/>
        <v>1.0940000000000001</v>
      </c>
      <c r="AM173" s="439">
        <f t="shared" ca="1" si="172"/>
        <v>1.1539999999999999</v>
      </c>
      <c r="AN173" s="439">
        <f t="shared" ca="1" si="173"/>
        <v>0.96699999999999997</v>
      </c>
      <c r="AO173" s="439">
        <f t="shared" ca="1" si="174"/>
        <v>0.505</v>
      </c>
      <c r="AP173" s="439">
        <f t="shared" ca="1" si="175"/>
        <v>1.0529999999999999</v>
      </c>
      <c r="AQ173" s="439">
        <f t="shared" ca="1" si="176"/>
        <v>1.1319999999999999</v>
      </c>
      <c r="AR173" s="439">
        <f t="shared" ca="1" si="177"/>
        <v>0.90900000000000003</v>
      </c>
      <c r="AS173" s="439">
        <f t="shared" ca="1" si="178"/>
        <v>0.499</v>
      </c>
      <c r="AT173" s="439">
        <f t="shared" ca="1" si="179"/>
        <v>4.3899999999999997</v>
      </c>
      <c r="AU173" s="439">
        <f t="shared" ca="1" si="180"/>
        <v>4.7</v>
      </c>
      <c r="AV173" s="439">
        <f t="shared" ca="1" si="181"/>
        <v>4.29</v>
      </c>
      <c r="AW173" s="439">
        <f t="shared" ca="1" si="182"/>
        <v>1.96</v>
      </c>
    </row>
    <row r="174" spans="1:49" ht="15.75" x14ac:dyDescent="0.25">
      <c r="A174" s="437" t="str">
        <f>INDEX(Оглавление, ROW())</f>
        <v>[Цены на приграничных АЗС 2017-2020 (7138827 v1).XLSM]Цены на 19.10.2020</v>
      </c>
      <c r="B174" s="438">
        <f t="shared" ca="1" si="183"/>
        <v>44123</v>
      </c>
      <c r="C174" s="439">
        <f t="shared" ca="1" si="184"/>
        <v>9.0716999999999999</v>
      </c>
      <c r="D174" s="439">
        <f t="shared" ca="1" si="185"/>
        <v>2.5729000000000002</v>
      </c>
      <c r="E174" s="439">
        <f t="shared" ca="1" si="186"/>
        <v>3.0118</v>
      </c>
      <c r="F174" s="439">
        <f t="shared" ca="1" si="187"/>
        <v>6.5978000000000003</v>
      </c>
      <c r="G174" s="439">
        <f t="shared" ca="1" si="188"/>
        <v>3.2976999999999999</v>
      </c>
      <c r="H174" s="439">
        <f t="shared" ca="1" si="141"/>
        <v>1.68</v>
      </c>
      <c r="I174" s="439">
        <f t="shared" ca="1" si="142"/>
        <v>1.78</v>
      </c>
      <c r="J174" s="439">
        <f t="shared" ca="1" si="143"/>
        <v>1.92</v>
      </c>
      <c r="K174" s="439">
        <f t="shared" ca="1" si="144"/>
        <v>1.78</v>
      </c>
      <c r="L174" s="439">
        <f t="shared" ca="1" si="145"/>
        <v>0.94</v>
      </c>
      <c r="M174" s="439">
        <f t="shared" ca="1" si="146"/>
        <v>42.97</v>
      </c>
      <c r="N174" s="439">
        <f t="shared" ca="1" si="147"/>
        <v>47.47</v>
      </c>
      <c r="O174" s="439">
        <f t="shared" ca="1" si="148"/>
        <v>51.4</v>
      </c>
      <c r="P174" s="439">
        <f t="shared" ca="1" si="149"/>
        <v>47.28</v>
      </c>
      <c r="Q174" s="439">
        <f t="shared" ca="1" si="150"/>
        <v>24.75</v>
      </c>
      <c r="R174" s="439">
        <f t="shared" ca="1" si="151"/>
        <v>43.3</v>
      </c>
      <c r="S174" s="439">
        <f t="shared" ca="1" si="152"/>
        <v>46.71</v>
      </c>
      <c r="T174" s="439">
        <f t="shared" ca="1" si="153"/>
        <v>51.8</v>
      </c>
      <c r="U174" s="439">
        <f t="shared" ca="1" si="154"/>
        <v>46.32</v>
      </c>
      <c r="V174" s="439">
        <f t="shared" ca="1" si="155"/>
        <v>24.8</v>
      </c>
      <c r="W174" s="439">
        <f t="shared" ca="1" si="156"/>
        <v>43.64</v>
      </c>
      <c r="X174" s="439">
        <f t="shared" ca="1" si="157"/>
        <v>46.79</v>
      </c>
      <c r="Y174" s="439">
        <f t="shared" ca="1" si="158"/>
        <v>52.01</v>
      </c>
      <c r="Z174" s="439">
        <f t="shared" ca="1" si="159"/>
        <v>46.41</v>
      </c>
      <c r="AA174" s="439">
        <f t="shared" ca="1" si="160"/>
        <v>26.4</v>
      </c>
      <c r="AB174" s="439">
        <f t="shared" ca="1" si="161"/>
        <v>42.87</v>
      </c>
      <c r="AC174" s="439">
        <f t="shared" ca="1" si="162"/>
        <v>45.91</v>
      </c>
      <c r="AD174" s="439">
        <f t="shared" ca="1" si="163"/>
        <v>52.3</v>
      </c>
      <c r="AE174" s="439">
        <f t="shared" ca="1" si="164"/>
        <v>48.02</v>
      </c>
      <c r="AF174" s="439">
        <f t="shared" ca="1" si="165"/>
        <v>22.55</v>
      </c>
      <c r="AG174" s="439">
        <f t="shared" ca="1" si="166"/>
        <v>23.25</v>
      </c>
      <c r="AH174" s="439">
        <f t="shared" ca="1" si="167"/>
        <v>24.43</v>
      </c>
      <c r="AI174" s="439">
        <f t="shared" ca="1" si="168"/>
        <v>28.54</v>
      </c>
      <c r="AJ174" s="439">
        <f t="shared" ca="1" si="169"/>
        <v>23</v>
      </c>
      <c r="AK174" s="439">
        <f t="shared" ca="1" si="170"/>
        <v>11.04</v>
      </c>
      <c r="AL174" s="439">
        <f t="shared" ca="1" si="171"/>
        <v>1.0940000000000001</v>
      </c>
      <c r="AM174" s="439">
        <f t="shared" ca="1" si="172"/>
        <v>1.1539999999999999</v>
      </c>
      <c r="AN174" s="439">
        <f t="shared" ca="1" si="173"/>
        <v>0.96699999999999997</v>
      </c>
      <c r="AO174" s="439">
        <f t="shared" ca="1" si="174"/>
        <v>0.51500000000000001</v>
      </c>
      <c r="AP174" s="439">
        <f t="shared" ca="1" si="175"/>
        <v>1.0189999999999999</v>
      </c>
      <c r="AQ174" s="439">
        <f t="shared" ca="1" si="176"/>
        <v>1.1240000000000001</v>
      </c>
      <c r="AR174" s="439">
        <f t="shared" ca="1" si="177"/>
        <v>0.876</v>
      </c>
      <c r="AS174" s="439">
        <f t="shared" ca="1" si="178"/>
        <v>0.499</v>
      </c>
      <c r="AT174" s="439">
        <f t="shared" ca="1" si="179"/>
        <v>4.4000000000000004</v>
      </c>
      <c r="AU174" s="439">
        <f t="shared" ca="1" si="180"/>
        <v>4.66</v>
      </c>
      <c r="AV174" s="439">
        <f t="shared" ca="1" si="181"/>
        <v>4.25</v>
      </c>
      <c r="AW174" s="439">
        <f t="shared" ca="1" si="182"/>
        <v>2.0099999999999998</v>
      </c>
    </row>
    <row r="175" spans="1:49" ht="15.75" x14ac:dyDescent="0.25">
      <c r="A175" s="437" t="str">
        <f>INDEX(Оглавление, ROW())</f>
        <v>[Цены на приграничных АЗС 2017-2020 (7138827 v1).XLSM]Цены на 26.10.2020</v>
      </c>
      <c r="B175" s="438">
        <f t="shared" ca="1" si="183"/>
        <v>44130</v>
      </c>
      <c r="C175" s="439">
        <f t="shared" ca="1" si="184"/>
        <v>8.9750999999999994</v>
      </c>
      <c r="D175" s="439">
        <f t="shared" ca="1" si="185"/>
        <v>2.5398999999999998</v>
      </c>
      <c r="E175" s="439">
        <f t="shared" ca="1" si="186"/>
        <v>3.0028999999999999</v>
      </c>
      <c r="F175" s="439">
        <f t="shared" ca="1" si="187"/>
        <v>6.5730000000000004</v>
      </c>
      <c r="G175" s="439">
        <f t="shared" ca="1" si="188"/>
        <v>3.3212000000000002</v>
      </c>
      <c r="H175" s="439">
        <f t="shared" ca="1" si="141"/>
        <v>1.69</v>
      </c>
      <c r="I175" s="439">
        <f t="shared" ca="1" si="142"/>
        <v>1.79</v>
      </c>
      <c r="J175" s="439">
        <f t="shared" ca="1" si="143"/>
        <v>1.93</v>
      </c>
      <c r="K175" s="439">
        <f t="shared" ca="1" si="144"/>
        <v>1.79</v>
      </c>
      <c r="L175" s="439">
        <f t="shared" ca="1" si="145"/>
        <v>0.94</v>
      </c>
      <c r="M175" s="439">
        <f t="shared" ca="1" si="146"/>
        <v>43.04</v>
      </c>
      <c r="N175" s="439">
        <f t="shared" ca="1" si="147"/>
        <v>47.55</v>
      </c>
      <c r="O175" s="439">
        <f t="shared" ca="1" si="148"/>
        <v>52.99</v>
      </c>
      <c r="P175" s="439">
        <f t="shared" ca="1" si="149"/>
        <v>47.37</v>
      </c>
      <c r="Q175" s="439">
        <f t="shared" ca="1" si="150"/>
        <v>25.55</v>
      </c>
      <c r="R175" s="439">
        <f t="shared" ca="1" si="151"/>
        <v>43.31</v>
      </c>
      <c r="S175" s="439">
        <f t="shared" ca="1" si="152"/>
        <v>46.71</v>
      </c>
      <c r="T175" s="439">
        <f t="shared" ca="1" si="153"/>
        <v>51.8</v>
      </c>
      <c r="U175" s="439">
        <f t="shared" ca="1" si="154"/>
        <v>46.33</v>
      </c>
      <c r="V175" s="439">
        <f t="shared" ca="1" si="155"/>
        <v>24.8</v>
      </c>
      <c r="W175" s="439">
        <f t="shared" ca="1" si="156"/>
        <v>43.64</v>
      </c>
      <c r="X175" s="439">
        <f t="shared" ca="1" si="157"/>
        <v>46.79</v>
      </c>
      <c r="Y175" s="439">
        <f t="shared" ca="1" si="158"/>
        <v>52.01</v>
      </c>
      <c r="Z175" s="439">
        <f t="shared" ca="1" si="159"/>
        <v>46.41</v>
      </c>
      <c r="AA175" s="439">
        <f t="shared" ca="1" si="160"/>
        <v>26.4</v>
      </c>
      <c r="AB175" s="439">
        <f t="shared" ca="1" si="161"/>
        <v>42.86</v>
      </c>
      <c r="AC175" s="439">
        <f t="shared" ca="1" si="162"/>
        <v>45.91</v>
      </c>
      <c r="AD175" s="439">
        <f t="shared" ca="1" si="163"/>
        <v>52.3</v>
      </c>
      <c r="AE175" s="439">
        <f t="shared" ca="1" si="164"/>
        <v>48.01</v>
      </c>
      <c r="AF175" s="439">
        <f t="shared" ca="1" si="165"/>
        <v>22.55</v>
      </c>
      <c r="AG175" s="439">
        <f t="shared" ca="1" si="166"/>
        <v>23.25</v>
      </c>
      <c r="AH175" s="439">
        <f t="shared" ca="1" si="167"/>
        <v>24.43</v>
      </c>
      <c r="AI175" s="439">
        <f t="shared" ca="1" si="168"/>
        <v>28.54</v>
      </c>
      <c r="AJ175" s="439">
        <f t="shared" ca="1" si="169"/>
        <v>23</v>
      </c>
      <c r="AK175" s="439">
        <f t="shared" ca="1" si="170"/>
        <v>11.19</v>
      </c>
      <c r="AL175" s="439">
        <f t="shared" ca="1" si="171"/>
        <v>1.0940000000000001</v>
      </c>
      <c r="AM175" s="439">
        <f t="shared" ca="1" si="172"/>
        <v>1.1539999999999999</v>
      </c>
      <c r="AN175" s="439">
        <f t="shared" ca="1" si="173"/>
        <v>0.96699999999999997</v>
      </c>
      <c r="AO175" s="439">
        <f t="shared" ca="1" si="174"/>
        <v>0.51500000000000001</v>
      </c>
      <c r="AP175" s="439">
        <f t="shared" ca="1" si="175"/>
        <v>1.008</v>
      </c>
      <c r="AQ175" s="439">
        <f t="shared" ca="1" si="176"/>
        <v>1.1220000000000001</v>
      </c>
      <c r="AR175" s="439">
        <f t="shared" ca="1" si="177"/>
        <v>0.86399999999999999</v>
      </c>
      <c r="AS175" s="439">
        <f t="shared" ca="1" si="178"/>
        <v>0.499</v>
      </c>
      <c r="AT175" s="439">
        <f t="shared" ca="1" si="179"/>
        <v>4.42</v>
      </c>
      <c r="AU175" s="439">
        <f t="shared" ca="1" si="180"/>
        <v>4.62</v>
      </c>
      <c r="AV175" s="439">
        <f t="shared" ca="1" si="181"/>
        <v>4.25</v>
      </c>
      <c r="AW175" s="439">
        <f t="shared" ca="1" si="182"/>
        <v>2.0699999999999998</v>
      </c>
    </row>
    <row r="176" spans="1:49" ht="15.75" x14ac:dyDescent="0.25">
      <c r="A176" s="437" t="str">
        <f>INDEX(Оглавление, ROW())</f>
        <v>[Цены на приграничных АЗС 2017-2020 (7138827 v1).XLSM]Цены на 02.11.2020</v>
      </c>
      <c r="B176" s="438">
        <f t="shared" ca="1" si="183"/>
        <v>44137</v>
      </c>
      <c r="C176" s="439">
        <f t="shared" ca="1" si="184"/>
        <v>9.2651000000000003</v>
      </c>
      <c r="D176" s="439">
        <f t="shared" ca="1" si="185"/>
        <v>2.6352000000000002</v>
      </c>
      <c r="E176" s="439">
        <f t="shared" ca="1" si="186"/>
        <v>3.0777999999999999</v>
      </c>
      <c r="F176" s="439">
        <f t="shared" ca="1" si="187"/>
        <v>6.66</v>
      </c>
      <c r="G176" s="439">
        <f t="shared" ca="1" si="188"/>
        <v>3.3290000000000002</v>
      </c>
      <c r="H176" s="439">
        <f t="shared" ca="1" si="141"/>
        <v>1.7</v>
      </c>
      <c r="I176" s="439">
        <f t="shared" ca="1" si="142"/>
        <v>1.8</v>
      </c>
      <c r="J176" s="439">
        <f t="shared" ca="1" si="143"/>
        <v>1.94</v>
      </c>
      <c r="K176" s="439">
        <f t="shared" ca="1" si="144"/>
        <v>1.8</v>
      </c>
      <c r="L176" s="439">
        <f t="shared" ca="1" si="145"/>
        <v>0.94</v>
      </c>
      <c r="M176" s="439">
        <f t="shared" ca="1" si="146"/>
        <v>43.01</v>
      </c>
      <c r="N176" s="439">
        <f t="shared" ca="1" si="147"/>
        <v>47.54</v>
      </c>
      <c r="O176" s="439">
        <f t="shared" ca="1" si="148"/>
        <v>50.8</v>
      </c>
      <c r="P176" s="439">
        <f t="shared" ca="1" si="149"/>
        <v>47.31</v>
      </c>
      <c r="Q176" s="439">
        <f t="shared" ca="1" si="150"/>
        <v>26.83</v>
      </c>
      <c r="R176" s="439">
        <f t="shared" ca="1" si="151"/>
        <v>43.31</v>
      </c>
      <c r="S176" s="439">
        <f t="shared" ca="1" si="152"/>
        <v>46.72</v>
      </c>
      <c r="T176" s="439">
        <f t="shared" ca="1" si="153"/>
        <v>51.85</v>
      </c>
      <c r="U176" s="439">
        <f t="shared" ca="1" si="154"/>
        <v>46.33</v>
      </c>
      <c r="V176" s="439">
        <f t="shared" ca="1" si="155"/>
        <v>24.75</v>
      </c>
      <c r="W176" s="439">
        <f t="shared" ca="1" si="156"/>
        <v>43.65</v>
      </c>
      <c r="X176" s="439">
        <f t="shared" ca="1" si="157"/>
        <v>46.8</v>
      </c>
      <c r="Y176" s="439">
        <f t="shared" ca="1" si="158"/>
        <v>52.4</v>
      </c>
      <c r="Z176" s="439">
        <f t="shared" ca="1" si="159"/>
        <v>46.37</v>
      </c>
      <c r="AA176" s="439">
        <f t="shared" ca="1" si="160"/>
        <v>26.4</v>
      </c>
      <c r="AB176" s="439">
        <f t="shared" ca="1" si="161"/>
        <v>42.9</v>
      </c>
      <c r="AC176" s="439">
        <f t="shared" ca="1" si="162"/>
        <v>45.93</v>
      </c>
      <c r="AD176" s="439">
        <f t="shared" ca="1" si="163"/>
        <v>52.3</v>
      </c>
      <c r="AE176" s="439">
        <f t="shared" ca="1" si="164"/>
        <v>48.04</v>
      </c>
      <c r="AF176" s="439">
        <f t="shared" ca="1" si="165"/>
        <v>23.23</v>
      </c>
      <c r="AG176" s="439">
        <f t="shared" ca="1" si="166"/>
        <v>23.25</v>
      </c>
      <c r="AH176" s="439">
        <f t="shared" ca="1" si="167"/>
        <v>24.44</v>
      </c>
      <c r="AI176" s="439">
        <f t="shared" ca="1" si="168"/>
        <v>28.54</v>
      </c>
      <c r="AJ176" s="439">
        <f t="shared" ca="1" si="169"/>
        <v>23</v>
      </c>
      <c r="AK176" s="439">
        <f t="shared" ca="1" si="170"/>
        <v>11.29</v>
      </c>
      <c r="AL176" s="439">
        <f t="shared" ca="1" si="171"/>
        <v>1.0940000000000001</v>
      </c>
      <c r="AM176" s="439">
        <f t="shared" ca="1" si="172"/>
        <v>1.1539999999999999</v>
      </c>
      <c r="AN176" s="439">
        <f t="shared" ca="1" si="173"/>
        <v>0.96699999999999997</v>
      </c>
      <c r="AO176" s="439">
        <f t="shared" ca="1" si="174"/>
        <v>0.51500000000000001</v>
      </c>
      <c r="AP176" s="439">
        <f t="shared" ca="1" si="175"/>
        <v>1.0129999999999999</v>
      </c>
      <c r="AQ176" s="439">
        <f t="shared" ca="1" si="176"/>
        <v>1.1319999999999999</v>
      </c>
      <c r="AR176" s="439">
        <f t="shared" ca="1" si="177"/>
        <v>0.86899999999999999</v>
      </c>
      <c r="AS176" s="439">
        <f t="shared" ca="1" si="178"/>
        <v>0.499</v>
      </c>
      <c r="AT176" s="439">
        <f t="shared" ca="1" si="179"/>
        <v>4.3899999999999997</v>
      </c>
      <c r="AU176" s="439">
        <f t="shared" ca="1" si="180"/>
        <v>4.5999999999999996</v>
      </c>
      <c r="AV176" s="439">
        <f t="shared" ca="1" si="181"/>
        <v>4.28</v>
      </c>
      <c r="AW176" s="439">
        <f t="shared" ca="1" si="182"/>
        <v>2.11</v>
      </c>
    </row>
    <row r="177" spans="1:49" ht="15.75" x14ac:dyDescent="0.25">
      <c r="A177" s="437" t="str">
        <f>INDEX(Оглавление, ROW())</f>
        <v>[Цены на приграничных АЗС 2017-2020 (7138827 v1).XLSM]Цены на 09.11.2020</v>
      </c>
      <c r="B177" s="438">
        <f t="shared" ca="1" si="183"/>
        <v>44144</v>
      </c>
      <c r="C177" s="439">
        <f t="shared" ca="1" si="184"/>
        <v>9.1707000000000001</v>
      </c>
      <c r="D177" s="439">
        <f t="shared" ca="1" si="185"/>
        <v>2.5779999999999998</v>
      </c>
      <c r="E177" s="439">
        <f t="shared" ca="1" si="186"/>
        <v>3.0537000000000001</v>
      </c>
      <c r="F177" s="439">
        <f t="shared" ca="1" si="187"/>
        <v>6.7489999999999997</v>
      </c>
      <c r="G177" s="439">
        <f t="shared" ca="1" si="188"/>
        <v>3.3365</v>
      </c>
      <c r="H177" s="439">
        <f t="shared" ca="1" si="141"/>
        <v>1.7</v>
      </c>
      <c r="I177" s="439">
        <f t="shared" ca="1" si="142"/>
        <v>1.8</v>
      </c>
      <c r="J177" s="439">
        <f t="shared" ca="1" si="143"/>
        <v>1.94</v>
      </c>
      <c r="K177" s="439">
        <f t="shared" ca="1" si="144"/>
        <v>1.8</v>
      </c>
      <c r="L177" s="439">
        <f t="shared" ca="1" si="145"/>
        <v>0.94</v>
      </c>
      <c r="M177" s="439">
        <f t="shared" ca="1" si="146"/>
        <v>43</v>
      </c>
      <c r="N177" s="439">
        <f t="shared" ca="1" si="147"/>
        <v>47.53</v>
      </c>
      <c r="O177" s="439">
        <f t="shared" ca="1" si="148"/>
        <v>52.98</v>
      </c>
      <c r="P177" s="439">
        <f t="shared" ca="1" si="149"/>
        <v>47.31</v>
      </c>
      <c r="Q177" s="439">
        <f t="shared" ca="1" si="150"/>
        <v>26.57</v>
      </c>
      <c r="R177" s="439">
        <f t="shared" ca="1" si="151"/>
        <v>43.31</v>
      </c>
      <c r="S177" s="439">
        <f t="shared" ca="1" si="152"/>
        <v>46.71</v>
      </c>
      <c r="T177" s="439">
        <f t="shared" ca="1" si="153"/>
        <v>51.8</v>
      </c>
      <c r="U177" s="439">
        <f t="shared" ca="1" si="154"/>
        <v>46.31</v>
      </c>
      <c r="V177" s="439">
        <f t="shared" ca="1" si="155"/>
        <v>24.8</v>
      </c>
      <c r="W177" s="439">
        <f t="shared" ca="1" si="156"/>
        <v>43.64</v>
      </c>
      <c r="X177" s="439">
        <f t="shared" ca="1" si="157"/>
        <v>46.79</v>
      </c>
      <c r="Y177" s="439">
        <f t="shared" ca="1" si="158"/>
        <v>52.4</v>
      </c>
      <c r="Z177" s="439">
        <f t="shared" ca="1" si="159"/>
        <v>46.74</v>
      </c>
      <c r="AA177" s="439">
        <f t="shared" ca="1" si="160"/>
        <v>26.8</v>
      </c>
      <c r="AB177" s="439">
        <f t="shared" ca="1" si="161"/>
        <v>42.9</v>
      </c>
      <c r="AC177" s="439">
        <f t="shared" ca="1" si="162"/>
        <v>45.91</v>
      </c>
      <c r="AD177" s="439">
        <f t="shared" ca="1" si="163"/>
        <v>52.3</v>
      </c>
      <c r="AE177" s="439">
        <f t="shared" ca="1" si="164"/>
        <v>48.09</v>
      </c>
      <c r="AF177" s="439">
        <f t="shared" ca="1" si="165"/>
        <v>22.55</v>
      </c>
      <c r="AG177" s="439">
        <f t="shared" ca="1" si="166"/>
        <v>23.25</v>
      </c>
      <c r="AH177" s="439">
        <f t="shared" ca="1" si="167"/>
        <v>24.44</v>
      </c>
      <c r="AI177" s="439">
        <f t="shared" ca="1" si="168"/>
        <v>28.54</v>
      </c>
      <c r="AJ177" s="439">
        <f t="shared" ca="1" si="169"/>
        <v>23</v>
      </c>
      <c r="AK177" s="439">
        <f t="shared" ca="1" si="170"/>
        <v>11.29</v>
      </c>
      <c r="AL177" s="439">
        <f t="shared" ca="1" si="171"/>
        <v>1.0940000000000001</v>
      </c>
      <c r="AM177" s="439">
        <f t="shared" ca="1" si="172"/>
        <v>1.1539999999999999</v>
      </c>
      <c r="AN177" s="439">
        <f t="shared" ca="1" si="173"/>
        <v>0.96699999999999997</v>
      </c>
      <c r="AO177" s="439">
        <f t="shared" ca="1" si="174"/>
        <v>0.52500000000000002</v>
      </c>
      <c r="AP177" s="439">
        <f t="shared" ca="1" si="175"/>
        <v>1.012</v>
      </c>
      <c r="AQ177" s="439">
        <f t="shared" ca="1" si="176"/>
        <v>1.125</v>
      </c>
      <c r="AR177" s="439">
        <f t="shared" ca="1" si="177"/>
        <v>0.86799999999999999</v>
      </c>
      <c r="AS177" s="439">
        <f t="shared" ca="1" si="178"/>
        <v>0.499</v>
      </c>
      <c r="AT177" s="439">
        <f t="shared" ca="1" si="179"/>
        <v>4.37</v>
      </c>
      <c r="AU177" s="439">
        <f t="shared" ca="1" si="180"/>
        <v>4.66</v>
      </c>
      <c r="AV177" s="439">
        <f t="shared" ca="1" si="181"/>
        <v>4.3</v>
      </c>
      <c r="AW177" s="439">
        <f t="shared" ca="1" si="182"/>
        <v>2.06</v>
      </c>
    </row>
    <row r="178" spans="1:49" ht="15.75" x14ac:dyDescent="0.25">
      <c r="A178" s="437" t="str">
        <f>INDEX(Оглавление, ROW())</f>
        <v>[Цены на приграничных АЗС 2017-2020 (7138827 v1).XLSM]Цены на 16.11.2020</v>
      </c>
      <c r="B178" s="438">
        <f t="shared" ca="1" si="183"/>
        <v>44151</v>
      </c>
      <c r="C178" s="439">
        <f t="shared" ca="1" si="184"/>
        <v>9.1336999999999993</v>
      </c>
      <c r="D178" s="439">
        <f t="shared" ca="1" si="185"/>
        <v>2.5668000000000002</v>
      </c>
      <c r="E178" s="439">
        <f t="shared" ca="1" si="186"/>
        <v>3.0318999999999998</v>
      </c>
      <c r="F178" s="439">
        <f t="shared" ca="1" si="187"/>
        <v>6.7511000000000001</v>
      </c>
      <c r="G178" s="439">
        <f t="shared" ca="1" si="188"/>
        <v>3.3214999999999999</v>
      </c>
      <c r="H178" s="439">
        <f t="shared" ca="1" si="141"/>
        <v>1.7</v>
      </c>
      <c r="I178" s="439">
        <f t="shared" ca="1" si="142"/>
        <v>1.8</v>
      </c>
      <c r="J178" s="439">
        <f t="shared" ca="1" si="143"/>
        <v>1.94</v>
      </c>
      <c r="K178" s="439">
        <f t="shared" ca="1" si="144"/>
        <v>1.8</v>
      </c>
      <c r="L178" s="439">
        <f t="shared" ca="1" si="145"/>
        <v>0.94</v>
      </c>
      <c r="M178" s="439">
        <f t="shared" ca="1" si="146"/>
        <v>43.06</v>
      </c>
      <c r="N178" s="439">
        <f t="shared" ca="1" si="147"/>
        <v>47.59</v>
      </c>
      <c r="O178" s="439">
        <f t="shared" ca="1" si="148"/>
        <v>51.99</v>
      </c>
      <c r="P178" s="439">
        <f t="shared" ca="1" si="149"/>
        <v>47.34</v>
      </c>
      <c r="Q178" s="439">
        <f t="shared" ca="1" si="150"/>
        <v>26.26</v>
      </c>
      <c r="R178" s="439">
        <f t="shared" ca="1" si="151"/>
        <v>43.33</v>
      </c>
      <c r="S178" s="439">
        <f t="shared" ca="1" si="152"/>
        <v>46.71</v>
      </c>
      <c r="T178" s="439">
        <f t="shared" ca="1" si="153"/>
        <v>52.3</v>
      </c>
      <c r="U178" s="439">
        <f t="shared" ca="1" si="154"/>
        <v>46.31</v>
      </c>
      <c r="V178" s="439">
        <f t="shared" ca="1" si="155"/>
        <v>24.8</v>
      </c>
      <c r="W178" s="439">
        <f t="shared" ca="1" si="156"/>
        <v>43.64</v>
      </c>
      <c r="X178" s="439">
        <f t="shared" ca="1" si="157"/>
        <v>46.71</v>
      </c>
      <c r="Y178" s="439">
        <f t="shared" ca="1" si="158"/>
        <v>52.9</v>
      </c>
      <c r="Z178" s="439">
        <f t="shared" ca="1" si="159"/>
        <v>46.72</v>
      </c>
      <c r="AA178" s="439">
        <f t="shared" ca="1" si="160"/>
        <v>26.8</v>
      </c>
      <c r="AB178" s="439">
        <f t="shared" ca="1" si="161"/>
        <v>43.08</v>
      </c>
      <c r="AC178" s="439">
        <f t="shared" ca="1" si="162"/>
        <v>46.1</v>
      </c>
      <c r="AD178" s="439">
        <f t="shared" ca="1" si="163"/>
        <v>52.3</v>
      </c>
      <c r="AE178" s="439">
        <f t="shared" ca="1" si="164"/>
        <v>48.19</v>
      </c>
      <c r="AF178" s="439">
        <f t="shared" ca="1" si="165"/>
        <v>22.55</v>
      </c>
      <c r="AG178" s="439">
        <f t="shared" ca="1" si="166"/>
        <v>23.25</v>
      </c>
      <c r="AH178" s="439">
        <f t="shared" ca="1" si="167"/>
        <v>24.44</v>
      </c>
      <c r="AI178" s="439">
        <f t="shared" ca="1" si="168"/>
        <v>28.54</v>
      </c>
      <c r="AJ178" s="439">
        <f t="shared" ca="1" si="169"/>
        <v>23</v>
      </c>
      <c r="AK178" s="439">
        <f t="shared" ca="1" si="170"/>
        <v>11.29</v>
      </c>
      <c r="AL178" s="439">
        <f t="shared" ca="1" si="171"/>
        <v>1.0840000000000001</v>
      </c>
      <c r="AM178" s="439">
        <f t="shared" ca="1" si="172"/>
        <v>1.1439999999999999</v>
      </c>
      <c r="AN178" s="439">
        <f t="shared" ca="1" si="173"/>
        <v>0.95399999999999996</v>
      </c>
      <c r="AO178" s="439">
        <f t="shared" ca="1" si="174"/>
        <v>0.52500000000000002</v>
      </c>
      <c r="AP178" s="439">
        <f t="shared" ca="1" si="175"/>
        <v>1.0489999999999999</v>
      </c>
      <c r="AQ178" s="439">
        <f t="shared" ca="1" si="176"/>
        <v>1.1519999999999999</v>
      </c>
      <c r="AR178" s="439">
        <f t="shared" ca="1" si="177"/>
        <v>0.90300000000000002</v>
      </c>
      <c r="AS178" s="439">
        <f t="shared" ca="1" si="178"/>
        <v>0.499</v>
      </c>
      <c r="AT178" s="439">
        <f t="shared" ca="1" si="179"/>
        <v>4.32</v>
      </c>
      <c r="AU178" s="439">
        <f t="shared" ca="1" si="180"/>
        <v>4.63</v>
      </c>
      <c r="AV178" s="439">
        <f t="shared" ca="1" si="181"/>
        <v>4.25</v>
      </c>
      <c r="AW178" s="439">
        <f t="shared" ca="1" si="182"/>
        <v>2.06</v>
      </c>
    </row>
    <row r="179" spans="1:49" ht="15.75" x14ac:dyDescent="0.25">
      <c r="A179" s="437" t="str">
        <f>INDEX(Оглавление, ROW())</f>
        <v>[Цены на приграничных АЗС 2017-2020 (7138827 v1).XLSM]Цены на 23.11.2020</v>
      </c>
      <c r="B179" s="438">
        <f ca="1">INDIRECT("'"&amp;$A179&amp;"'"&amp;"!D2")</f>
        <v>44158</v>
      </c>
      <c r="C179" s="439">
        <f ca="1">INDIRECT("'"&amp;$A179&amp;"'"&amp;"!$b$32")</f>
        <v>8.9977</v>
      </c>
      <c r="D179" s="439">
        <f ca="1">INDIRECT("'"&amp;$A179&amp;"'"&amp;"!$b$33")</f>
        <v>2.5522</v>
      </c>
      <c r="E179" s="439">
        <f ca="1">INDIRECT("'"&amp;$A179&amp;"'"&amp;"!$b$34")</f>
        <v>3.03</v>
      </c>
      <c r="F179" s="439">
        <f ca="1">INDIRECT("'"&amp;$A179&amp;"'"&amp;"!$b$35")</f>
        <v>6.7720000000000002</v>
      </c>
      <c r="G179" s="439">
        <f ca="1">INDIRECT("'"&amp;$A179&amp;"'"&amp;"!$b$36")</f>
        <v>3.3559000000000001</v>
      </c>
      <c r="H179" s="439">
        <f ca="1">INDIRECT("'"&amp;$A179&amp;"'"&amp;"!$b$20")</f>
        <v>1.7</v>
      </c>
      <c r="I179" s="439">
        <f ca="1">INDIRECT("'"&amp;$A179&amp;"'"&amp;"!$e$20")</f>
        <v>1.8</v>
      </c>
      <c r="J179" s="439">
        <f ca="1">INDIRECT("'"&amp;$A179&amp;"'"&amp;"!$h$20")</f>
        <v>1.94</v>
      </c>
      <c r="K179" s="439">
        <f ca="1">INDIRECT("'"&amp;$A179&amp;"'"&amp;"!$k$20")</f>
        <v>1.8</v>
      </c>
      <c r="L179" s="439">
        <f ca="1">INDIRECT("'"&amp;$A179&amp;"'"&amp;"!$n$20")</f>
        <v>0.94</v>
      </c>
      <c r="M179" s="439">
        <f ca="1">INDIRECT("'"&amp;$A179&amp;"'"&amp;"!$b$21")</f>
        <v>43</v>
      </c>
      <c r="N179" s="439">
        <f ca="1">INDIRECT("'"&amp;$A179&amp;"'"&amp;"!$e$21")</f>
        <v>47.53</v>
      </c>
      <c r="O179" s="439">
        <f ca="1">INDIRECT("'"&amp;$A179&amp;"'"&amp;"!$h$21")</f>
        <v>52.75</v>
      </c>
      <c r="P179" s="439">
        <f ca="1">INDIRECT("'"&amp;$A179&amp;"'"&amp;"!$k$21")</f>
        <v>47.29</v>
      </c>
      <c r="Q179" s="439">
        <f ca="1">INDIRECT("'"&amp;$A179&amp;"'"&amp;"!$n$21")</f>
        <v>26.36</v>
      </c>
      <c r="R179" s="439">
        <f ca="1">INDIRECT("'"&amp;$A179&amp;"'"&amp;"!$b$22")</f>
        <v>43.32</v>
      </c>
      <c r="S179" s="439">
        <f ca="1">INDIRECT("'"&amp;$A179&amp;"'"&amp;"!$e$22")</f>
        <v>46.72</v>
      </c>
      <c r="T179" s="439">
        <f ca="1">INDIRECT("'"&amp;$A179&amp;"'"&amp;"!$h$22")</f>
        <v>52.3</v>
      </c>
      <c r="U179" s="439">
        <f ca="1">INDIRECT("'"&amp;$A179&amp;"'"&amp;"!$k$22")</f>
        <v>46.34</v>
      </c>
      <c r="V179" s="439">
        <f ca="1">INDIRECT("'"&amp;$A179&amp;"'"&amp;"!$n$22")</f>
        <v>24.8</v>
      </c>
      <c r="W179" s="439">
        <f ca="1">INDIRECT("'"&amp;$A179&amp;"'"&amp;"!$b$23")</f>
        <v>43.63</v>
      </c>
      <c r="X179" s="439">
        <f ca="1">INDIRECT("'"&amp;$A179&amp;"'"&amp;"!$e$23")</f>
        <v>46.7</v>
      </c>
      <c r="Y179" s="439">
        <f ca="1">INDIRECT("'"&amp;$A179&amp;"'"&amp;"!$h$23")</f>
        <v>52.9</v>
      </c>
      <c r="Z179" s="439">
        <f ca="1">INDIRECT("'"&amp;$A179&amp;"'"&amp;"!$k$23")</f>
        <v>46.9</v>
      </c>
      <c r="AA179" s="439">
        <f ca="1">INDIRECT("'"&amp;$A179&amp;"'"&amp;"!$n$23")</f>
        <v>26.8</v>
      </c>
      <c r="AB179" s="439">
        <f ca="1">INDIRECT("'"&amp;$A179&amp;"'"&amp;"!$b$24")</f>
        <v>43.05</v>
      </c>
      <c r="AC179" s="439">
        <f ca="1">INDIRECT("'"&amp;$A179&amp;"'"&amp;"!$e$24")</f>
        <v>46.08</v>
      </c>
      <c r="AD179" s="439">
        <f ca="1">INDIRECT("'"&amp;$A179&amp;"'"&amp;"!$h$24")</f>
        <v>52.3</v>
      </c>
      <c r="AE179" s="439">
        <f ca="1">INDIRECT("'"&amp;$A179&amp;"'"&amp;"!$k$24")</f>
        <v>48.2</v>
      </c>
      <c r="AF179" s="439">
        <f ca="1">INDIRECT("'"&amp;$A179&amp;"'"&amp;"!$n$24")</f>
        <v>23.05</v>
      </c>
      <c r="AG179" s="439">
        <f ca="1">INDIRECT("'"&amp;$A179&amp;"'"&amp;"!$b$25")</f>
        <v>23.25</v>
      </c>
      <c r="AH179" s="439">
        <f ca="1">INDIRECT("'"&amp;$A179&amp;"'"&amp;"!$e$25")</f>
        <v>24.44</v>
      </c>
      <c r="AI179" s="439">
        <f ca="1">INDIRECT("'"&amp;$A179&amp;"'"&amp;"!$h$25")</f>
        <v>28.54</v>
      </c>
      <c r="AJ179" s="439">
        <f ca="1">INDIRECT("'"&amp;$A179&amp;"'"&amp;"!$k$25")</f>
        <v>23</v>
      </c>
      <c r="AK179" s="439">
        <f ca="1">INDIRECT("'"&amp;$A179&amp;"'"&amp;"!$n$25")</f>
        <v>11.29</v>
      </c>
      <c r="AL179" s="439">
        <f ca="1">INDIRECT("'"&amp;$A179&amp;"'"&amp;"!$e$26")</f>
        <v>1.0940000000000001</v>
      </c>
      <c r="AM179" s="439">
        <f ca="1">INDIRECT("'"&amp;$A179&amp;"'"&amp;"!$h$26")</f>
        <v>1.1539999999999999</v>
      </c>
      <c r="AN179" s="439">
        <f ca="1">INDIRECT("'"&amp;$A179&amp;"'"&amp;"!$k$26")</f>
        <v>0.96399999999999997</v>
      </c>
      <c r="AO179" s="439">
        <f ca="1">INDIRECT("'"&amp;$A179&amp;"'"&amp;"!$n$26")</f>
        <v>0.52500000000000002</v>
      </c>
      <c r="AP179" s="439">
        <f ca="1">INDIRECT("'"&amp;$A179&amp;"'"&amp;"!$e$27")</f>
        <v>1.0649999999999999</v>
      </c>
      <c r="AQ179" s="439">
        <f ca="1">INDIRECT("'"&amp;$A179&amp;"'"&amp;"!$h$27")</f>
        <v>1.1519999999999999</v>
      </c>
      <c r="AR179" s="439">
        <f ca="1">INDIRECT("'"&amp;$A179&amp;"'"&amp;"!$k$27")</f>
        <v>0.92300000000000004</v>
      </c>
      <c r="AS179" s="439">
        <f ca="1">INDIRECT("'"&amp;$A179&amp;"'"&amp;"!$n$27")</f>
        <v>0.499</v>
      </c>
      <c r="AT179" s="439">
        <f ca="1">INDIRECT("'"&amp;$A179&amp;"'"&amp;"!$e$28")</f>
        <v>4.37</v>
      </c>
      <c r="AU179" s="439">
        <f ca="1">INDIRECT("'"&amp;$A179&amp;"'"&amp;"!$h$28")</f>
        <v>4.57</v>
      </c>
      <c r="AV179" s="439">
        <f ca="1">INDIRECT("'"&amp;$A179&amp;"'"&amp;"!$k$28")</f>
        <v>4.2699999999999996</v>
      </c>
      <c r="AW179" s="439">
        <f ca="1">INDIRECT("'"&amp;$A179&amp;"'"&amp;"!$n$28")</f>
        <v>2.06</v>
      </c>
    </row>
    <row r="180" spans="1:49" ht="15.75" x14ac:dyDescent="0.25">
      <c r="A180" s="437" t="str">
        <f>INDEX(Оглавление, ROW())</f>
        <v>[Цены на приграничных АЗС 2017-2020 (7138827 v1).XLSM]Цены на 30.11.2020</v>
      </c>
      <c r="B180" s="438">
        <f t="shared" ref="B180:B184" ca="1" si="189">INDIRECT("'"&amp;$A180&amp;"'"&amp;"!D2")</f>
        <v>44165</v>
      </c>
      <c r="C180" s="439">
        <f t="shared" ref="C180:C184" ca="1" si="190">INDIRECT("'"&amp;$A180&amp;"'"&amp;"!$b$32")</f>
        <v>9.0696999999999992</v>
      </c>
      <c r="D180" s="439">
        <f t="shared" ref="D180:D184" ca="1" si="191">INDIRECT("'"&amp;$A180&amp;"'"&amp;"!$b$33")</f>
        <v>2.5817000000000001</v>
      </c>
      <c r="E180" s="439">
        <f t="shared" ref="E180:E184" ca="1" si="192">INDIRECT("'"&amp;$A180&amp;"'"&amp;"!$b$34")</f>
        <v>3.0794000000000001</v>
      </c>
      <c r="F180" s="439">
        <f t="shared" ref="F180:F184" ca="1" si="193">INDIRECT("'"&amp;$A180&amp;"'"&amp;"!$b$35")</f>
        <v>6.8639000000000001</v>
      </c>
      <c r="G180" s="439">
        <f t="shared" ref="G180:G184" ca="1" si="194">INDIRECT("'"&amp;$A180&amp;"'"&amp;"!$b$36")</f>
        <v>3.4056000000000002</v>
      </c>
      <c r="H180" s="439">
        <f t="shared" ref="H180:H184" ca="1" si="195">INDIRECT("'"&amp;$A180&amp;"'"&amp;"!$b$20")</f>
        <v>1.7</v>
      </c>
      <c r="I180" s="439">
        <f t="shared" ref="I180:I184" ca="1" si="196">INDIRECT("'"&amp;$A180&amp;"'"&amp;"!$e$20")</f>
        <v>1.8</v>
      </c>
      <c r="J180" s="439">
        <f t="shared" ref="J180:J184" ca="1" si="197">INDIRECT("'"&amp;$A180&amp;"'"&amp;"!$h$20")</f>
        <v>1.94</v>
      </c>
      <c r="K180" s="439">
        <f t="shared" ref="K180:K184" ca="1" si="198">INDIRECT("'"&amp;$A180&amp;"'"&amp;"!$k$20")</f>
        <v>1.8</v>
      </c>
      <c r="L180" s="439">
        <f t="shared" ref="L180:L184" ca="1" si="199">INDIRECT("'"&amp;$A180&amp;"'"&amp;"!$n$20")</f>
        <v>0.94</v>
      </c>
      <c r="M180" s="439">
        <f t="shared" ref="M180:M184" ca="1" si="200">INDIRECT("'"&amp;$A180&amp;"'"&amp;"!$b$21")</f>
        <v>43.04</v>
      </c>
      <c r="N180" s="439">
        <f t="shared" ref="N180:N184" ca="1" si="201">INDIRECT("'"&amp;$A180&amp;"'"&amp;"!$e$21")</f>
        <v>47.58</v>
      </c>
      <c r="O180" s="439">
        <f t="shared" ref="O180:O184" ca="1" si="202">INDIRECT("'"&amp;$A180&amp;"'"&amp;"!$h$21")</f>
        <v>52.75</v>
      </c>
      <c r="P180" s="439">
        <f t="shared" ref="P180:P184" ca="1" si="203">INDIRECT("'"&amp;$A180&amp;"'"&amp;"!$k$21")</f>
        <v>47.29</v>
      </c>
      <c r="Q180" s="439">
        <f t="shared" ref="Q180:Q184" ca="1" si="204">INDIRECT("'"&amp;$A180&amp;"'"&amp;"!$n$21")</f>
        <v>26.44</v>
      </c>
      <c r="R180" s="439">
        <f t="shared" ref="R180:R184" ca="1" si="205">INDIRECT("'"&amp;$A180&amp;"'"&amp;"!$b$22")</f>
        <v>43.51</v>
      </c>
      <c r="S180" s="439">
        <f t="shared" ref="S180:S184" ca="1" si="206">INDIRECT("'"&amp;$A180&amp;"'"&amp;"!$e$22")</f>
        <v>46.92</v>
      </c>
      <c r="T180" s="439">
        <f t="shared" ref="T180:T184" ca="1" si="207">INDIRECT("'"&amp;$A180&amp;"'"&amp;"!$h$22")</f>
        <v>52.4</v>
      </c>
      <c r="U180" s="439">
        <f t="shared" ref="U180:U184" ca="1" si="208">INDIRECT("'"&amp;$A180&amp;"'"&amp;"!$k$22")</f>
        <v>46.66</v>
      </c>
      <c r="V180" s="439">
        <f t="shared" ref="V180:V184" ca="1" si="209">INDIRECT("'"&amp;$A180&amp;"'"&amp;"!$n$22")</f>
        <v>24.15</v>
      </c>
      <c r="W180" s="439">
        <f t="shared" ref="W180:W184" ca="1" si="210">INDIRECT("'"&amp;$A180&amp;"'"&amp;"!$b$23")</f>
        <v>43.63</v>
      </c>
      <c r="X180" s="439">
        <f t="shared" ref="X180:X184" ca="1" si="211">INDIRECT("'"&amp;$A180&amp;"'"&amp;"!$e$23")</f>
        <v>46.71</v>
      </c>
      <c r="Y180" s="439">
        <f t="shared" ref="Y180:Y184" ca="1" si="212">INDIRECT("'"&amp;$A180&amp;"'"&amp;"!$h$23")</f>
        <v>52.9</v>
      </c>
      <c r="Z180" s="439">
        <f t="shared" ref="Z180:Z184" ca="1" si="213">INDIRECT("'"&amp;$A180&amp;"'"&amp;"!$k$23")</f>
        <v>46.88</v>
      </c>
      <c r="AA180" s="439">
        <f t="shared" ref="AA180:AA184" ca="1" si="214">INDIRECT("'"&amp;$A180&amp;"'"&amp;"!$n$23")</f>
        <v>26.8</v>
      </c>
      <c r="AB180" s="439">
        <f t="shared" ref="AB180:AB184" ca="1" si="215">INDIRECT("'"&amp;$A180&amp;"'"&amp;"!$b$24")</f>
        <v>43.05</v>
      </c>
      <c r="AC180" s="439">
        <f t="shared" ref="AC180:AC184" ca="1" si="216">INDIRECT("'"&amp;$A180&amp;"'"&amp;"!$e$24")</f>
        <v>46.16</v>
      </c>
      <c r="AD180" s="439">
        <f t="shared" ref="AD180:AD184" ca="1" si="217">INDIRECT("'"&amp;$A180&amp;"'"&amp;"!$h$24")</f>
        <v>52.3</v>
      </c>
      <c r="AE180" s="439">
        <f t="shared" ref="AE180:AE184" ca="1" si="218">INDIRECT("'"&amp;$A180&amp;"'"&amp;"!$k$24")</f>
        <v>48.29</v>
      </c>
      <c r="AF180" s="439">
        <f t="shared" ref="AF180:AF184" ca="1" si="219">INDIRECT("'"&amp;$A180&amp;"'"&amp;"!$n$24")</f>
        <v>23.55</v>
      </c>
      <c r="AG180" s="439">
        <f t="shared" ref="AG180:AG184" ca="1" si="220">INDIRECT("'"&amp;$A180&amp;"'"&amp;"!$b$25")</f>
        <v>23.25</v>
      </c>
      <c r="AH180" s="439">
        <f t="shared" ref="AH180:AH184" ca="1" si="221">INDIRECT("'"&amp;$A180&amp;"'"&amp;"!$e$25")</f>
        <v>24.44</v>
      </c>
      <c r="AI180" s="439">
        <f t="shared" ref="AI180:AI184" ca="1" si="222">INDIRECT("'"&amp;$A180&amp;"'"&amp;"!$h$25")</f>
        <v>28.54</v>
      </c>
      <c r="AJ180" s="439">
        <f t="shared" ref="AJ180:AJ184" ca="1" si="223">INDIRECT("'"&amp;$A180&amp;"'"&amp;"!$k$25")</f>
        <v>23</v>
      </c>
      <c r="AK180" s="439">
        <f t="shared" ref="AK180:AK184" ca="1" si="224">INDIRECT("'"&amp;$A180&amp;"'"&amp;"!$n$25")</f>
        <v>11.29</v>
      </c>
      <c r="AL180" s="439">
        <f t="shared" ref="AL180:AL184" ca="1" si="225">INDIRECT("'"&amp;$A180&amp;"'"&amp;"!$e$26")</f>
        <v>1.0840000000000001</v>
      </c>
      <c r="AM180" s="439">
        <f t="shared" ref="AM180:AM184" ca="1" si="226">INDIRECT("'"&amp;$A180&amp;"'"&amp;"!$h$26")</f>
        <v>1.1439999999999999</v>
      </c>
      <c r="AN180" s="439">
        <f t="shared" ref="AN180:AN184" ca="1" si="227">INDIRECT("'"&amp;$A180&amp;"'"&amp;"!$k$26")</f>
        <v>0.96399999999999997</v>
      </c>
      <c r="AO180" s="439">
        <f t="shared" ref="AO180:AO184" ca="1" si="228">INDIRECT("'"&amp;$A180&amp;"'"&amp;"!$n$26")</f>
        <v>0.52500000000000002</v>
      </c>
      <c r="AP180" s="439">
        <f t="shared" ref="AP180:AP184" ca="1" si="229">INDIRECT("'"&amp;$A180&amp;"'"&amp;"!$e$27")</f>
        <v>1.05</v>
      </c>
      <c r="AQ180" s="439">
        <f t="shared" ref="AQ180:AQ184" ca="1" si="230">INDIRECT("'"&amp;$A180&amp;"'"&amp;"!$h$27")</f>
        <v>1.129</v>
      </c>
      <c r="AR180" s="439">
        <f t="shared" ref="AR180:AR184" ca="1" si="231">INDIRECT("'"&amp;$A180&amp;"'"&amp;"!$k$27")</f>
        <v>0.93500000000000005</v>
      </c>
      <c r="AS180" s="439">
        <f t="shared" ref="AS180:AS184" ca="1" si="232">INDIRECT("'"&amp;$A180&amp;"'"&amp;"!$n$27")</f>
        <v>0.499</v>
      </c>
      <c r="AT180" s="439">
        <f t="shared" ref="AT180:AT184" ca="1" si="233">INDIRECT("'"&amp;$A180&amp;"'"&amp;"!$e$28")</f>
        <v>4.42</v>
      </c>
      <c r="AU180" s="439">
        <f t="shared" ref="AU180:AU184" ca="1" si="234">INDIRECT("'"&amp;$A180&amp;"'"&amp;"!$h$28")</f>
        <v>4.68</v>
      </c>
      <c r="AV180" s="439">
        <f t="shared" ref="AV180:AV184" ca="1" si="235">INDIRECT("'"&amp;$A180&amp;"'"&amp;"!$k$28")</f>
        <v>4.3899999999999997</v>
      </c>
      <c r="AW180" s="439">
        <f t="shared" ref="AW180:AW184" ca="1" si="236">INDIRECT("'"&amp;$A180&amp;"'"&amp;"!$n$28")</f>
        <v>2.12</v>
      </c>
    </row>
    <row r="181" spans="1:49" ht="15.75" x14ac:dyDescent="0.25">
      <c r="A181" s="437" t="str">
        <f>INDEX(Оглавление, ROW())</f>
        <v>[Цены на приграничных АЗС 2017-2020 (7138827 v1).XLSM]Цены на 07.12.2020</v>
      </c>
      <c r="B181" s="438">
        <f t="shared" ca="1" si="189"/>
        <v>44172</v>
      </c>
      <c r="C181" s="439">
        <f t="shared" ca="1" si="190"/>
        <v>9.0866000000000007</v>
      </c>
      <c r="D181" s="439">
        <f t="shared" ca="1" si="191"/>
        <v>2.5697000000000001</v>
      </c>
      <c r="E181" s="439">
        <f t="shared" ca="1" si="192"/>
        <v>3.1244999999999998</v>
      </c>
      <c r="F181" s="439">
        <f t="shared" ca="1" si="193"/>
        <v>6.9901</v>
      </c>
      <c r="G181" s="439">
        <f t="shared" ca="1" si="194"/>
        <v>3.4615</v>
      </c>
      <c r="H181" s="439">
        <f t="shared" ca="1" si="195"/>
        <v>1.7</v>
      </c>
      <c r="I181" s="439">
        <f t="shared" ca="1" si="196"/>
        <v>1.8</v>
      </c>
      <c r="J181" s="439">
        <f t="shared" ca="1" si="197"/>
        <v>1.94</v>
      </c>
      <c r="K181" s="439">
        <f t="shared" ca="1" si="198"/>
        <v>1.8</v>
      </c>
      <c r="L181" s="439">
        <f t="shared" ca="1" si="199"/>
        <v>0.94</v>
      </c>
      <c r="M181" s="439">
        <f t="shared" ca="1" si="200"/>
        <v>43.02</v>
      </c>
      <c r="N181" s="439">
        <f t="shared" ca="1" si="201"/>
        <v>47.56</v>
      </c>
      <c r="O181" s="439">
        <f t="shared" ca="1" si="202"/>
        <v>52.75</v>
      </c>
      <c r="P181" s="439">
        <f t="shared" ca="1" si="203"/>
        <v>47.3</v>
      </c>
      <c r="Q181" s="439">
        <f t="shared" ca="1" si="204"/>
        <v>26.43</v>
      </c>
      <c r="R181" s="439">
        <f t="shared" ca="1" si="205"/>
        <v>43.44</v>
      </c>
      <c r="S181" s="439">
        <f t="shared" ca="1" si="206"/>
        <v>46.87</v>
      </c>
      <c r="T181" s="439">
        <f t="shared" ca="1" si="207"/>
        <v>52.5</v>
      </c>
      <c r="U181" s="439">
        <f t="shared" ca="1" si="208"/>
        <v>46.8</v>
      </c>
      <c r="V181" s="439">
        <f t="shared" ca="1" si="209"/>
        <v>23.4</v>
      </c>
      <c r="W181" s="439">
        <f t="shared" ca="1" si="210"/>
        <v>43.63</v>
      </c>
      <c r="X181" s="439">
        <f t="shared" ca="1" si="211"/>
        <v>46.71</v>
      </c>
      <c r="Y181" s="439">
        <f t="shared" ca="1" si="212"/>
        <v>52.9</v>
      </c>
      <c r="Z181" s="439">
        <f t="shared" ca="1" si="213"/>
        <v>46.88</v>
      </c>
      <c r="AA181" s="439">
        <f t="shared" ca="1" si="214"/>
        <v>26.8</v>
      </c>
      <c r="AB181" s="439">
        <f t="shared" ca="1" si="215"/>
        <v>43.05</v>
      </c>
      <c r="AC181" s="439">
        <f t="shared" ca="1" si="216"/>
        <v>46.07</v>
      </c>
      <c r="AD181" s="439">
        <f t="shared" ca="1" si="217"/>
        <v>52.3</v>
      </c>
      <c r="AE181" s="439">
        <f t="shared" ca="1" si="218"/>
        <v>48.17</v>
      </c>
      <c r="AF181" s="439">
        <f t="shared" ca="1" si="219"/>
        <v>23.55</v>
      </c>
      <c r="AG181" s="439">
        <f t="shared" ca="1" si="220"/>
        <v>23.5</v>
      </c>
      <c r="AH181" s="439">
        <f t="shared" ca="1" si="221"/>
        <v>24.44</v>
      </c>
      <c r="AI181" s="439">
        <f t="shared" ca="1" si="222"/>
        <v>28.54</v>
      </c>
      <c r="AJ181" s="439">
        <f t="shared" ca="1" si="223"/>
        <v>23.24</v>
      </c>
      <c r="AK181" s="439">
        <f t="shared" ca="1" si="224"/>
        <v>11.29</v>
      </c>
      <c r="AL181" s="439">
        <f t="shared" ca="1" si="225"/>
        <v>1.0840000000000001</v>
      </c>
      <c r="AM181" s="439">
        <f t="shared" ca="1" si="226"/>
        <v>1.1439999999999999</v>
      </c>
      <c r="AN181" s="439">
        <f t="shared" ca="1" si="227"/>
        <v>0.96399999999999997</v>
      </c>
      <c r="AO181" s="439">
        <f t="shared" ca="1" si="228"/>
        <v>0.52500000000000002</v>
      </c>
      <c r="AP181" s="439">
        <f t="shared" ca="1" si="229"/>
        <v>1.05</v>
      </c>
      <c r="AQ181" s="439">
        <f t="shared" ca="1" si="230"/>
        <v>1.129</v>
      </c>
      <c r="AR181" s="439">
        <f t="shared" ca="1" si="231"/>
        <v>0.95799999999999996</v>
      </c>
      <c r="AS181" s="439">
        <f t="shared" ca="1" si="232"/>
        <v>0.499</v>
      </c>
      <c r="AT181" s="439">
        <f t="shared" ca="1" si="233"/>
        <v>4.4400000000000004</v>
      </c>
      <c r="AU181" s="439">
        <f t="shared" ca="1" si="234"/>
        <v>4.7</v>
      </c>
      <c r="AV181" s="439">
        <f t="shared" ca="1" si="235"/>
        <v>4.38</v>
      </c>
      <c r="AW181" s="439">
        <f t="shared" ca="1" si="236"/>
        <v>2.12</v>
      </c>
    </row>
    <row r="182" spans="1:49" ht="15.75" x14ac:dyDescent="0.25">
      <c r="A182" s="437" t="str">
        <f>INDEX(Оглавление, ROW())</f>
        <v>[Цены на приграничных АЗС 2017-2020 (7138827 v1).XLSM]Цены на 14.12.2020</v>
      </c>
      <c r="B182" s="438">
        <f t="shared" ca="1" si="189"/>
        <v>44179</v>
      </c>
      <c r="C182" s="439">
        <f t="shared" ca="1" si="190"/>
        <v>9.0477000000000007</v>
      </c>
      <c r="D182" s="439">
        <f t="shared" ca="1" si="191"/>
        <v>2.5333999999999999</v>
      </c>
      <c r="E182" s="439">
        <f t="shared" ca="1" si="192"/>
        <v>3.0750000000000002</v>
      </c>
      <c r="F182" s="439">
        <f t="shared" ca="1" si="193"/>
        <v>6.9173999999999998</v>
      </c>
      <c r="G182" s="439">
        <f t="shared" ca="1" si="194"/>
        <v>3.4639000000000002</v>
      </c>
      <c r="H182" s="439">
        <f t="shared" ca="1" si="195"/>
        <v>1.7</v>
      </c>
      <c r="I182" s="439">
        <f t="shared" ca="1" si="196"/>
        <v>1.8</v>
      </c>
      <c r="J182" s="439">
        <f t="shared" ca="1" si="197"/>
        <v>1.94</v>
      </c>
      <c r="K182" s="439">
        <f t="shared" ca="1" si="198"/>
        <v>1.8</v>
      </c>
      <c r="L182" s="439">
        <f t="shared" ca="1" si="199"/>
        <v>0.94</v>
      </c>
      <c r="M182" s="439">
        <f t="shared" ca="1" si="200"/>
        <v>43.02</v>
      </c>
      <c r="N182" s="439">
        <f t="shared" ca="1" si="201"/>
        <v>47.56</v>
      </c>
      <c r="O182" s="439">
        <f t="shared" ca="1" si="202"/>
        <v>52.75</v>
      </c>
      <c r="P182" s="439">
        <f t="shared" ca="1" si="203"/>
        <v>47.3</v>
      </c>
      <c r="Q182" s="439">
        <f t="shared" ca="1" si="204"/>
        <v>26.43</v>
      </c>
      <c r="R182" s="439">
        <f t="shared" ca="1" si="205"/>
        <v>43.44</v>
      </c>
      <c r="S182" s="439">
        <f t="shared" ca="1" si="206"/>
        <v>46.84</v>
      </c>
      <c r="T182" s="439">
        <f t="shared" ca="1" si="207"/>
        <v>52.5</v>
      </c>
      <c r="U182" s="439">
        <f t="shared" ca="1" si="208"/>
        <v>47.9</v>
      </c>
      <c r="V182" s="439">
        <f t="shared" ca="1" si="209"/>
        <v>24.8</v>
      </c>
      <c r="W182" s="439">
        <f t="shared" ca="1" si="210"/>
        <v>43.63</v>
      </c>
      <c r="X182" s="439">
        <f t="shared" ca="1" si="211"/>
        <v>46.71</v>
      </c>
      <c r="Y182" s="439">
        <f t="shared" ca="1" si="212"/>
        <v>52.9</v>
      </c>
      <c r="Z182" s="439">
        <f t="shared" ca="1" si="213"/>
        <v>46.94</v>
      </c>
      <c r="AA182" s="439">
        <f t="shared" ca="1" si="214"/>
        <v>26.8</v>
      </c>
      <c r="AB182" s="439">
        <f t="shared" ca="1" si="215"/>
        <v>42.98</v>
      </c>
      <c r="AC182" s="439">
        <f t="shared" ca="1" si="216"/>
        <v>46.02</v>
      </c>
      <c r="AD182" s="439">
        <f t="shared" ca="1" si="217"/>
        <v>52.3</v>
      </c>
      <c r="AE182" s="439">
        <f t="shared" ca="1" si="218"/>
        <v>48.43</v>
      </c>
      <c r="AF182" s="439">
        <f t="shared" ca="1" si="219"/>
        <v>23.98</v>
      </c>
      <c r="AG182" s="439">
        <f t="shared" ca="1" si="220"/>
        <v>23.5</v>
      </c>
      <c r="AH182" s="439">
        <f t="shared" ca="1" si="221"/>
        <v>25.29</v>
      </c>
      <c r="AI182" s="439">
        <f t="shared" ca="1" si="222"/>
        <v>28.54</v>
      </c>
      <c r="AJ182" s="439">
        <f t="shared" ca="1" si="223"/>
        <v>23.49</v>
      </c>
      <c r="AK182" s="439">
        <f t="shared" ca="1" si="224"/>
        <v>11.29</v>
      </c>
      <c r="AL182" s="439">
        <f t="shared" ca="1" si="225"/>
        <v>1.1240000000000001</v>
      </c>
      <c r="AM182" s="439">
        <f t="shared" ca="1" si="226"/>
        <v>1.1839999999999999</v>
      </c>
      <c r="AN182" s="439">
        <f t="shared" ca="1" si="227"/>
        <v>0.99399999999999999</v>
      </c>
      <c r="AO182" s="439">
        <f t="shared" ca="1" si="228"/>
        <v>0.52500000000000002</v>
      </c>
      <c r="AP182" s="439">
        <f t="shared" ca="1" si="229"/>
        <v>1.0649999999999999</v>
      </c>
      <c r="AQ182" s="439">
        <f t="shared" ca="1" si="230"/>
        <v>1.1439999999999999</v>
      </c>
      <c r="AR182" s="439">
        <f t="shared" ca="1" si="231"/>
        <v>0.98899999999999999</v>
      </c>
      <c r="AS182" s="439">
        <f t="shared" ca="1" si="232"/>
        <v>0.50900000000000001</v>
      </c>
      <c r="AT182" s="439">
        <f t="shared" ca="1" si="233"/>
        <v>4.47</v>
      </c>
      <c r="AU182" s="439">
        <f t="shared" ca="1" si="234"/>
        <v>4.67</v>
      </c>
      <c r="AV182" s="439">
        <f t="shared" ca="1" si="235"/>
        <v>4.43</v>
      </c>
      <c r="AW182" s="439">
        <f t="shared" ca="1" si="236"/>
        <v>2.12</v>
      </c>
    </row>
    <row r="183" spans="1:49" ht="15.75" x14ac:dyDescent="0.25">
      <c r="A183" s="437" t="str">
        <f>INDEX(Оглавление, ROW())</f>
        <v>[Цены на приграничных АЗС 2017-2020 (7138827 v1).XLSM]Цены на 21.12.2020</v>
      </c>
      <c r="B183" s="438">
        <f t="shared" ca="1" si="189"/>
        <v>44186</v>
      </c>
      <c r="C183" s="439">
        <f t="shared" ca="1" si="190"/>
        <v>9.0010999999999992</v>
      </c>
      <c r="D183" s="439">
        <f t="shared" ca="1" si="191"/>
        <v>2.5068000000000001</v>
      </c>
      <c r="E183" s="439">
        <f t="shared" ca="1" si="192"/>
        <v>3.0712999999999999</v>
      </c>
      <c r="F183" s="439">
        <f t="shared" ca="1" si="193"/>
        <v>6.9078999999999997</v>
      </c>
      <c r="G183" s="439">
        <f t="shared" ca="1" si="194"/>
        <v>3.4163999999999999</v>
      </c>
      <c r="H183" s="439">
        <f t="shared" ca="1" si="195"/>
        <v>1.7</v>
      </c>
      <c r="I183" s="439">
        <f t="shared" ca="1" si="196"/>
        <v>1.8</v>
      </c>
      <c r="J183" s="439">
        <f t="shared" ca="1" si="197"/>
        <v>1.94</v>
      </c>
      <c r="K183" s="439">
        <f t="shared" ca="1" si="198"/>
        <v>1.8</v>
      </c>
      <c r="L183" s="439">
        <f t="shared" ca="1" si="199"/>
        <v>0.94</v>
      </c>
      <c r="M183" s="439">
        <f t="shared" ca="1" si="200"/>
        <v>43</v>
      </c>
      <c r="N183" s="439">
        <f t="shared" ca="1" si="201"/>
        <v>47.55</v>
      </c>
      <c r="O183" s="439">
        <f t="shared" ca="1" si="202"/>
        <v>52.49</v>
      </c>
      <c r="P183" s="439">
        <f t="shared" ca="1" si="203"/>
        <v>47.31</v>
      </c>
      <c r="Q183" s="439">
        <f t="shared" ca="1" si="204"/>
        <v>26.4</v>
      </c>
      <c r="R183" s="439">
        <f t="shared" ca="1" si="205"/>
        <v>43.49</v>
      </c>
      <c r="S183" s="439">
        <f t="shared" ca="1" si="206"/>
        <v>46.82</v>
      </c>
      <c r="T183" s="439">
        <f t="shared" ca="1" si="207"/>
        <v>52.5</v>
      </c>
      <c r="U183" s="439">
        <f t="shared" ca="1" si="208"/>
        <v>46.86</v>
      </c>
      <c r="V183" s="439">
        <f t="shared" ca="1" si="209"/>
        <v>24.8</v>
      </c>
      <c r="W183" s="439">
        <f t="shared" ca="1" si="210"/>
        <v>43.61</v>
      </c>
      <c r="X183" s="439">
        <f t="shared" ca="1" si="211"/>
        <v>46.67</v>
      </c>
      <c r="Y183" s="439">
        <f t="shared" ca="1" si="212"/>
        <v>52.9</v>
      </c>
      <c r="Z183" s="439">
        <f t="shared" ca="1" si="213"/>
        <v>46.93</v>
      </c>
      <c r="AA183" s="439">
        <f t="shared" ca="1" si="214"/>
        <v>26.8</v>
      </c>
      <c r="AB183" s="439">
        <f t="shared" ca="1" si="215"/>
        <v>43.02</v>
      </c>
      <c r="AC183" s="439">
        <f t="shared" ca="1" si="216"/>
        <v>46</v>
      </c>
      <c r="AD183" s="439">
        <f t="shared" ca="1" si="217"/>
        <v>53.99</v>
      </c>
      <c r="AE183" s="439">
        <f t="shared" ca="1" si="218"/>
        <v>48.66</v>
      </c>
      <c r="AF183" s="439">
        <f t="shared" ca="1" si="219"/>
        <v>24.05</v>
      </c>
      <c r="AG183" s="439">
        <f t="shared" ca="1" si="220"/>
        <v>23.5</v>
      </c>
      <c r="AH183" s="439">
        <f t="shared" ca="1" si="221"/>
        <v>25.29</v>
      </c>
      <c r="AI183" s="439">
        <f t="shared" ca="1" si="222"/>
        <v>28.54</v>
      </c>
      <c r="AJ183" s="439">
        <f t="shared" ca="1" si="223"/>
        <v>23.49</v>
      </c>
      <c r="AK183" s="439">
        <f t="shared" ca="1" si="224"/>
        <v>11.04</v>
      </c>
      <c r="AL183" s="439">
        <f t="shared" ca="1" si="225"/>
        <v>1.1439999999999999</v>
      </c>
      <c r="AM183" s="439">
        <f t="shared" ca="1" si="226"/>
        <v>1.204</v>
      </c>
      <c r="AN183" s="439">
        <f t="shared" ca="1" si="227"/>
        <v>1.024</v>
      </c>
      <c r="AO183" s="439">
        <f t="shared" ca="1" si="228"/>
        <v>0.52500000000000002</v>
      </c>
      <c r="AP183" s="439">
        <f t="shared" ca="1" si="229"/>
        <v>1.0649999999999999</v>
      </c>
      <c r="AQ183" s="439">
        <f t="shared" ca="1" si="230"/>
        <v>1.1639999999999999</v>
      </c>
      <c r="AR183" s="439">
        <f t="shared" ca="1" si="231"/>
        <v>0.999</v>
      </c>
      <c r="AS183" s="439">
        <f t="shared" ca="1" si="232"/>
        <v>0.50900000000000001</v>
      </c>
      <c r="AT183" s="439">
        <f t="shared" ca="1" si="233"/>
        <v>4.5199999999999996</v>
      </c>
      <c r="AU183" s="439">
        <f t="shared" ca="1" si="234"/>
        <v>4.74</v>
      </c>
      <c r="AV183" s="439">
        <f t="shared" ca="1" si="235"/>
        <v>4.46</v>
      </c>
      <c r="AW183" s="439">
        <f t="shared" ca="1" si="236"/>
        <v>2.12</v>
      </c>
    </row>
    <row r="184" spans="1:49" ht="15.75" x14ac:dyDescent="0.25">
      <c r="A184" s="437" t="str">
        <f>INDEX(Оглавление, ROW())</f>
        <v>[Цены на приграничных АЗС 2017-2020 (7138827 v1).XLSM]Цены на 28.12.2020</v>
      </c>
      <c r="B184" s="438">
        <f t="shared" ca="1" si="189"/>
        <v>44193</v>
      </c>
      <c r="C184" s="439">
        <f t="shared" ca="1" si="190"/>
        <v>9.1346000000000007</v>
      </c>
      <c r="D184" s="439">
        <f t="shared" ca="1" si="191"/>
        <v>2.5891000000000002</v>
      </c>
      <c r="E184" s="439">
        <f t="shared" ca="1" si="192"/>
        <v>3.1583999999999999</v>
      </c>
      <c r="F184" s="439">
        <f t="shared" ca="1" si="193"/>
        <v>7.0008999999999997</v>
      </c>
      <c r="G184" s="439">
        <f t="shared" ca="1" si="194"/>
        <v>3.4548999999999999</v>
      </c>
      <c r="H184" s="439">
        <f t="shared" ca="1" si="195"/>
        <v>1.7</v>
      </c>
      <c r="I184" s="439">
        <f t="shared" ca="1" si="196"/>
        <v>1.8</v>
      </c>
      <c r="J184" s="439">
        <f t="shared" ca="1" si="197"/>
        <v>1.94</v>
      </c>
      <c r="K184" s="439">
        <f t="shared" ca="1" si="198"/>
        <v>1.8</v>
      </c>
      <c r="L184" s="439">
        <f t="shared" ca="1" si="199"/>
        <v>0.94</v>
      </c>
      <c r="M184" s="439">
        <f t="shared" ca="1" si="200"/>
        <v>43.12</v>
      </c>
      <c r="N184" s="439">
        <f t="shared" ca="1" si="201"/>
        <v>47.72</v>
      </c>
      <c r="O184" s="439">
        <f t="shared" ca="1" si="202"/>
        <v>52.75</v>
      </c>
      <c r="P184" s="439">
        <f t="shared" ca="1" si="203"/>
        <v>47.7</v>
      </c>
      <c r="Q184" s="439">
        <f t="shared" ca="1" si="204"/>
        <v>26.42</v>
      </c>
      <c r="R184" s="439">
        <f t="shared" ca="1" si="205"/>
        <v>43.51</v>
      </c>
      <c r="S184" s="439">
        <f t="shared" ca="1" si="206"/>
        <v>46.85</v>
      </c>
      <c r="T184" s="439">
        <f t="shared" ca="1" si="207"/>
        <v>52.5</v>
      </c>
      <c r="U184" s="439">
        <f t="shared" ca="1" si="208"/>
        <v>46.75</v>
      </c>
      <c r="V184" s="439">
        <f t="shared" ca="1" si="209"/>
        <v>24.8</v>
      </c>
      <c r="W184" s="439">
        <f t="shared" ca="1" si="210"/>
        <v>43.65</v>
      </c>
      <c r="X184" s="439">
        <f t="shared" ca="1" si="211"/>
        <v>46.8</v>
      </c>
      <c r="Y184" s="439">
        <f t="shared" ca="1" si="212"/>
        <v>52.9</v>
      </c>
      <c r="Z184" s="439">
        <f t="shared" ca="1" si="213"/>
        <v>47.25</v>
      </c>
      <c r="AA184" s="439">
        <f t="shared" ca="1" si="214"/>
        <v>26.8</v>
      </c>
      <c r="AB184" s="439">
        <f t="shared" ca="1" si="215"/>
        <v>43.14</v>
      </c>
      <c r="AC184" s="439">
        <f t="shared" ca="1" si="216"/>
        <v>46.22</v>
      </c>
      <c r="AD184" s="439">
        <f t="shared" ca="1" si="217"/>
        <v>53.49</v>
      </c>
      <c r="AE184" s="439">
        <f t="shared" ca="1" si="218"/>
        <v>48.74</v>
      </c>
      <c r="AF184" s="439">
        <f t="shared" ca="1" si="219"/>
        <v>24.05</v>
      </c>
      <c r="AG184" s="439">
        <f t="shared" ca="1" si="220"/>
        <v>23.74</v>
      </c>
      <c r="AH184" s="439">
        <f t="shared" ca="1" si="221"/>
        <v>25.79</v>
      </c>
      <c r="AI184" s="439">
        <f t="shared" ca="1" si="222"/>
        <v>29.79</v>
      </c>
      <c r="AJ184" s="439">
        <f t="shared" ca="1" si="223"/>
        <v>24.39</v>
      </c>
      <c r="AK184" s="439">
        <f t="shared" ca="1" si="224"/>
        <v>11.04</v>
      </c>
      <c r="AL184" s="439">
        <f t="shared" ca="1" si="225"/>
        <v>1.1539999999999999</v>
      </c>
      <c r="AM184" s="439">
        <f t="shared" ca="1" si="226"/>
        <v>1.214</v>
      </c>
      <c r="AN184" s="439">
        <f t="shared" ca="1" si="227"/>
        <v>1.024</v>
      </c>
      <c r="AO184" s="439">
        <f t="shared" ca="1" si="228"/>
        <v>0.53500000000000003</v>
      </c>
      <c r="AP184" s="439">
        <f t="shared" ca="1" si="229"/>
        <v>1.085</v>
      </c>
      <c r="AQ184" s="439">
        <f t="shared" ca="1" si="230"/>
        <v>1.1739999999999999</v>
      </c>
      <c r="AR184" s="439">
        <f t="shared" ca="1" si="231"/>
        <v>0.99199999999999999</v>
      </c>
      <c r="AS184" s="439">
        <f t="shared" ca="1" si="232"/>
        <v>0.50900000000000001</v>
      </c>
      <c r="AT184" s="439">
        <f t="shared" ca="1" si="233"/>
        <v>4.5199999999999996</v>
      </c>
      <c r="AU184" s="439">
        <f t="shared" ca="1" si="234"/>
        <v>4.8099999999999996</v>
      </c>
      <c r="AV184" s="439">
        <f t="shared" ca="1" si="235"/>
        <v>4.47</v>
      </c>
      <c r="AW184" s="439">
        <f t="shared" ca="1" si="236"/>
        <v>2.11</v>
      </c>
    </row>
    <row r="185" spans="1:49" ht="15.75" x14ac:dyDescent="0.25">
      <c r="A185" s="437" t="str">
        <f>INDEX(Оглавление, ROW())</f>
        <v>[Цены на приграничных АЗС 2017-2020 (7138827 v1).XLSM]Свод</v>
      </c>
    </row>
    <row r="186" spans="1:49" ht="15.75" x14ac:dyDescent="0.25">
      <c r="A186" s="437" t="e">
        <f>INDEX(Оглавление, ROW())</f>
        <v>#REF!</v>
      </c>
    </row>
    <row r="187" spans="1:49" ht="15.75" x14ac:dyDescent="0.25">
      <c r="A187" s="437" t="e">
        <f>INDEX(Оглавление, ROW())</f>
        <v>#REF!</v>
      </c>
    </row>
    <row r="188" spans="1:49" ht="15.75" x14ac:dyDescent="0.25">
      <c r="A188" s="437" t="e">
        <f>INDEX(Оглавление, ROW())</f>
        <v>#REF!</v>
      </c>
    </row>
    <row r="189" spans="1:49" ht="15.75" x14ac:dyDescent="0.25">
      <c r="A189" s="437" t="e">
        <f>INDEX(Оглавление, ROW())</f>
        <v>#REF!</v>
      </c>
    </row>
    <row r="190" spans="1:49" ht="15.75" x14ac:dyDescent="0.25">
      <c r="A190" s="437" t="e">
        <f>INDEX(Оглавление, ROW())</f>
        <v>#REF!</v>
      </c>
    </row>
    <row r="191" spans="1:49" ht="15.75" x14ac:dyDescent="0.25">
      <c r="A191" s="437" t="e">
        <f>INDEX(Оглавление, ROW())</f>
        <v>#REF!</v>
      </c>
    </row>
    <row r="192" spans="1:49" ht="15.75" x14ac:dyDescent="0.25">
      <c r="A192" s="437" t="e">
        <f>INDEX(Оглавление, ROW())</f>
        <v>#REF!</v>
      </c>
    </row>
    <row r="193" spans="1:1" ht="15.75" x14ac:dyDescent="0.25">
      <c r="A193" s="437" t="e">
        <f>INDEX(Оглавление, ROW())</f>
        <v>#REF!</v>
      </c>
    </row>
    <row r="194" spans="1:1" ht="15.75" x14ac:dyDescent="0.25">
      <c r="A194" s="437" t="e">
        <f>INDEX(Оглавление, ROW())</f>
        <v>#REF!</v>
      </c>
    </row>
    <row r="195" spans="1:1" ht="15.75" x14ac:dyDescent="0.25">
      <c r="A195" s="437" t="e">
        <f>INDEX(Оглавление, ROW())</f>
        <v>#REF!</v>
      </c>
    </row>
    <row r="196" spans="1:1" ht="15.75" x14ac:dyDescent="0.25">
      <c r="A196" s="437" t="e">
        <f>INDEX(Оглавление, ROW())</f>
        <v>#REF!</v>
      </c>
    </row>
    <row r="197" spans="1:1" ht="15.75" x14ac:dyDescent="0.25">
      <c r="A197" s="437" t="e">
        <f>INDEX(Оглавление, ROW())</f>
        <v>#REF!</v>
      </c>
    </row>
    <row r="198" spans="1:1" ht="15.75" x14ac:dyDescent="0.25">
      <c r="A198" s="437" t="e">
        <f>INDEX(Оглавление, ROW())</f>
        <v>#REF!</v>
      </c>
    </row>
    <row r="199" spans="1:1" ht="15.75" x14ac:dyDescent="0.25">
      <c r="A199" s="437" t="e">
        <f>INDEX(Оглавление, ROW())</f>
        <v>#REF!</v>
      </c>
    </row>
    <row r="200" spans="1:1" ht="15.75" x14ac:dyDescent="0.25">
      <c r="A200" s="437" t="e">
        <f>INDEX(Оглавление, ROW())</f>
        <v>#REF!</v>
      </c>
    </row>
    <row r="201" spans="1:1" ht="15.75" x14ac:dyDescent="0.25">
      <c r="A201" s="437" t="e">
        <f>INDEX(Оглавление, ROW())</f>
        <v>#REF!</v>
      </c>
    </row>
    <row r="202" spans="1:1" ht="15.75" x14ac:dyDescent="0.25">
      <c r="A202" s="437" t="e">
        <f>INDEX(Оглавление, ROW())</f>
        <v>#REF!</v>
      </c>
    </row>
    <row r="203" spans="1:1" ht="15.75" x14ac:dyDescent="0.25">
      <c r="A203" s="437" t="e">
        <f>INDEX(Оглавление, ROW())</f>
        <v>#REF!</v>
      </c>
    </row>
    <row r="204" spans="1:1" ht="15.75" x14ac:dyDescent="0.25">
      <c r="A204" s="437" t="e">
        <f>INDEX(Оглавление, ROW())</f>
        <v>#REF!</v>
      </c>
    </row>
    <row r="205" spans="1:1" ht="15.75" x14ac:dyDescent="0.25">
      <c r="A205" s="437" t="e">
        <f>INDEX(Оглавление, ROW())</f>
        <v>#REF!</v>
      </c>
    </row>
    <row r="206" spans="1:1" ht="15.75" x14ac:dyDescent="0.25">
      <c r="A206" s="437" t="e">
        <f>INDEX(Оглавление, ROW())</f>
        <v>#REF!</v>
      </c>
    </row>
    <row r="207" spans="1:1" ht="15.75" x14ac:dyDescent="0.25">
      <c r="A207" s="437" t="e">
        <f>INDEX(Оглавление, ROW())</f>
        <v>#REF!</v>
      </c>
    </row>
    <row r="208" spans="1:1" ht="15.75" x14ac:dyDescent="0.25">
      <c r="A208" s="437" t="e">
        <f>INDEX(Оглавление, ROW())</f>
        <v>#REF!</v>
      </c>
    </row>
    <row r="209" spans="1:1" ht="15.75" x14ac:dyDescent="0.25">
      <c r="A209" s="437" t="e">
        <f>INDEX(Оглавление, ROW())</f>
        <v>#REF!</v>
      </c>
    </row>
    <row r="210" spans="1:1" ht="15.75" x14ac:dyDescent="0.25">
      <c r="A210" s="437" t="e">
        <f>INDEX(Оглавление, ROW())</f>
        <v>#REF!</v>
      </c>
    </row>
    <row r="211" spans="1:1" ht="15.75" x14ac:dyDescent="0.25">
      <c r="A211" s="437" t="e">
        <f>INDEX(Оглавление, ROW())</f>
        <v>#REF!</v>
      </c>
    </row>
    <row r="212" spans="1:1" ht="15.75" x14ac:dyDescent="0.25">
      <c r="A212" s="437" t="e">
        <f>INDEX(Оглавление, ROW())</f>
        <v>#REF!</v>
      </c>
    </row>
    <row r="213" spans="1:1" ht="15.75" x14ac:dyDescent="0.25">
      <c r="A213" s="437" t="e">
        <f>INDEX(Оглавление, ROW())</f>
        <v>#REF!</v>
      </c>
    </row>
    <row r="214" spans="1:1" ht="15.75" x14ac:dyDescent="0.25">
      <c r="A214" s="437" t="e">
        <f>INDEX(Оглавление, ROW())</f>
        <v>#REF!</v>
      </c>
    </row>
    <row r="215" spans="1:1" ht="15.75" x14ac:dyDescent="0.25">
      <c r="A215" s="437" t="e">
        <f>INDEX(Оглавление, ROW())</f>
        <v>#REF!</v>
      </c>
    </row>
    <row r="216" spans="1:1" ht="15.75" x14ac:dyDescent="0.25">
      <c r="A216" s="437" t="e">
        <f>INDEX(Оглавление, ROW())</f>
        <v>#REF!</v>
      </c>
    </row>
    <row r="217" spans="1:1" ht="15.75" x14ac:dyDescent="0.25">
      <c r="A217" s="437" t="e">
        <f>INDEX(Оглавление, ROW())</f>
        <v>#REF!</v>
      </c>
    </row>
    <row r="218" spans="1:1" ht="15.75" x14ac:dyDescent="0.25">
      <c r="A218" s="437" t="e">
        <f>INDEX(Оглавление, ROW())</f>
        <v>#REF!</v>
      </c>
    </row>
    <row r="219" spans="1:1" ht="15.75" x14ac:dyDescent="0.25">
      <c r="A219" s="437" t="e">
        <f>INDEX(Оглавление, ROW())</f>
        <v>#REF!</v>
      </c>
    </row>
    <row r="220" spans="1:1" ht="15.75" x14ac:dyDescent="0.25">
      <c r="A220" s="437" t="e">
        <f>INDEX(Оглавление, ROW())</f>
        <v>#REF!</v>
      </c>
    </row>
    <row r="221" spans="1:1" ht="15.75" x14ac:dyDescent="0.25">
      <c r="A221" s="437" t="e">
        <f>INDEX(Оглавление, ROW())</f>
        <v>#REF!</v>
      </c>
    </row>
    <row r="222" spans="1:1" ht="15.75" x14ac:dyDescent="0.25">
      <c r="A222" s="437" t="e">
        <f>INDEX(Оглавление, ROW())</f>
        <v>#REF!</v>
      </c>
    </row>
    <row r="223" spans="1:1" ht="15.75" x14ac:dyDescent="0.25">
      <c r="A223" s="437" t="e">
        <f>INDEX(Оглавление, ROW())</f>
        <v>#REF!</v>
      </c>
    </row>
    <row r="224" spans="1:1" ht="15.75" x14ac:dyDescent="0.25">
      <c r="A224" s="437" t="e">
        <f>INDEX(Оглавление, ROW())</f>
        <v>#REF!</v>
      </c>
    </row>
    <row r="225" spans="1:1" ht="15.75" x14ac:dyDescent="0.25">
      <c r="A225" s="437" t="e">
        <f>INDEX(Оглавление, ROW())</f>
        <v>#REF!</v>
      </c>
    </row>
    <row r="226" spans="1:1" ht="15.75" x14ac:dyDescent="0.25">
      <c r="A226" s="437" t="e">
        <f>INDEX(Оглавление, ROW())</f>
        <v>#REF!</v>
      </c>
    </row>
    <row r="227" spans="1:1" ht="15.75" x14ac:dyDescent="0.25">
      <c r="A227" s="437" t="e">
        <f>INDEX(Оглавление, ROW())</f>
        <v>#REF!</v>
      </c>
    </row>
    <row r="228" spans="1:1" ht="15.75" x14ac:dyDescent="0.25">
      <c r="A228" s="437" t="e">
        <f>INDEX(Оглавление, ROW())</f>
        <v>#REF!</v>
      </c>
    </row>
    <row r="229" spans="1:1" ht="15.75" x14ac:dyDescent="0.25">
      <c r="A229" s="437" t="e">
        <f>INDEX(Оглавление, ROW())</f>
        <v>#REF!</v>
      </c>
    </row>
    <row r="230" spans="1:1" ht="15.75" x14ac:dyDescent="0.25">
      <c r="A230" s="437" t="e">
        <f>INDEX(Оглавление, ROW())</f>
        <v>#REF!</v>
      </c>
    </row>
    <row r="231" spans="1:1" ht="15.75" x14ac:dyDescent="0.25">
      <c r="A231" s="437" t="e">
        <f>INDEX(Оглавление, ROW())</f>
        <v>#REF!</v>
      </c>
    </row>
    <row r="232" spans="1:1" ht="15.75" x14ac:dyDescent="0.25">
      <c r="A232" s="437" t="e">
        <f>INDEX(Оглавление, ROW())</f>
        <v>#REF!</v>
      </c>
    </row>
    <row r="233" spans="1:1" ht="15.75" x14ac:dyDescent="0.25">
      <c r="A233" s="437" t="e">
        <f>INDEX(Оглавление, ROW())</f>
        <v>#REF!</v>
      </c>
    </row>
    <row r="234" spans="1:1" ht="15.75" x14ac:dyDescent="0.25">
      <c r="A234" s="437" t="e">
        <f>INDEX(Оглавление, ROW())</f>
        <v>#REF!</v>
      </c>
    </row>
    <row r="235" spans="1:1" ht="15.75" x14ac:dyDescent="0.25">
      <c r="A235" s="437" t="e">
        <f>INDEX(Оглавление, ROW())</f>
        <v>#REF!</v>
      </c>
    </row>
    <row r="236" spans="1:1" ht="15.75" x14ac:dyDescent="0.25">
      <c r="A236" s="437" t="e">
        <f>INDEX(Оглавление, ROW())</f>
        <v>#REF!</v>
      </c>
    </row>
    <row r="237" spans="1:1" ht="15.75" x14ac:dyDescent="0.25">
      <c r="A237" s="437" t="e">
        <f>INDEX(Оглавление, ROW())</f>
        <v>#REF!</v>
      </c>
    </row>
    <row r="238" spans="1:1" ht="15.75" x14ac:dyDescent="0.25">
      <c r="A238" s="437" t="e">
        <f>INDEX(Оглавление, ROW())</f>
        <v>#REF!</v>
      </c>
    </row>
    <row r="239" spans="1:1" ht="15.75" x14ac:dyDescent="0.25">
      <c r="A239" s="437" t="e">
        <f>INDEX(Оглавление, ROW())</f>
        <v>#REF!</v>
      </c>
    </row>
    <row r="240" spans="1:1" ht="15.75" x14ac:dyDescent="0.25">
      <c r="A240" s="437" t="e">
        <f>INDEX(Оглавление, ROW())</f>
        <v>#REF!</v>
      </c>
    </row>
    <row r="241" spans="1:1" ht="15.75" x14ac:dyDescent="0.25">
      <c r="A241" s="437" t="e">
        <f>INDEX(Оглавление, ROW())</f>
        <v>#REF!</v>
      </c>
    </row>
    <row r="242" spans="1:1" ht="15.75" x14ac:dyDescent="0.25">
      <c r="A242" s="437" t="e">
        <f>INDEX(Оглавление, ROW())</f>
        <v>#REF!</v>
      </c>
    </row>
    <row r="243" spans="1:1" ht="15.75" x14ac:dyDescent="0.25">
      <c r="A243" s="437" t="e">
        <f>INDEX(Оглавление, ROW())</f>
        <v>#REF!</v>
      </c>
    </row>
    <row r="244" spans="1:1" ht="15.75" x14ac:dyDescent="0.25">
      <c r="A244" s="437" t="e">
        <f>INDEX(Оглавление, ROW())</f>
        <v>#REF!</v>
      </c>
    </row>
    <row r="245" spans="1:1" ht="15.75" x14ac:dyDescent="0.25">
      <c r="A245" s="437" t="e">
        <f>INDEX(Оглавление, ROW())</f>
        <v>#REF!</v>
      </c>
    </row>
    <row r="246" spans="1:1" ht="15.75" x14ac:dyDescent="0.25">
      <c r="A246" s="437" t="e">
        <f>INDEX(Оглавление, ROW())</f>
        <v>#REF!</v>
      </c>
    </row>
    <row r="247" spans="1:1" ht="15.75" x14ac:dyDescent="0.25">
      <c r="A247" s="437" t="e">
        <f>INDEX(Оглавление, ROW())</f>
        <v>#REF!</v>
      </c>
    </row>
    <row r="248" spans="1:1" ht="15.75" x14ac:dyDescent="0.25">
      <c r="A248" s="437" t="e">
        <f>INDEX(Оглавление, ROW())</f>
        <v>#REF!</v>
      </c>
    </row>
    <row r="249" spans="1:1" ht="15.75" x14ac:dyDescent="0.25">
      <c r="A249" s="437" t="e">
        <f>INDEX(Оглавление, ROW())</f>
        <v>#REF!</v>
      </c>
    </row>
    <row r="250" spans="1:1" ht="15.75" x14ac:dyDescent="0.25">
      <c r="A250" s="437" t="e">
        <f>INDEX(Оглавление, ROW())</f>
        <v>#REF!</v>
      </c>
    </row>
    <row r="251" spans="1:1" ht="15.75" x14ac:dyDescent="0.25">
      <c r="A251" s="437" t="e">
        <f>INDEX(Оглавление, ROW())</f>
        <v>#REF!</v>
      </c>
    </row>
    <row r="252" spans="1:1" ht="15.75" x14ac:dyDescent="0.25">
      <c r="A252" s="437" t="e">
        <f>INDEX(Оглавление, ROW())</f>
        <v>#REF!</v>
      </c>
    </row>
    <row r="253" spans="1:1" ht="15.75" x14ac:dyDescent="0.25">
      <c r="A253" s="437" t="e">
        <f>INDEX(Оглавление, ROW())</f>
        <v>#REF!</v>
      </c>
    </row>
    <row r="254" spans="1:1" ht="15.75" x14ac:dyDescent="0.25">
      <c r="A254" s="437" t="e">
        <f>INDEX(Оглавление, ROW())</f>
        <v>#REF!</v>
      </c>
    </row>
    <row r="255" spans="1:1" ht="15.75" x14ac:dyDescent="0.25">
      <c r="A255" s="437" t="e">
        <f>INDEX(Оглавление, ROW())</f>
        <v>#REF!</v>
      </c>
    </row>
    <row r="256" spans="1:1" ht="15.75" x14ac:dyDescent="0.25">
      <c r="A256" s="437" t="e">
        <f>INDEX(Оглавление, ROW())</f>
        <v>#REF!</v>
      </c>
    </row>
    <row r="257" spans="1:1" ht="15.75" x14ac:dyDescent="0.25">
      <c r="A257" s="437" t="e">
        <f>INDEX(Оглавление, ROW())</f>
        <v>#REF!</v>
      </c>
    </row>
    <row r="258" spans="1:1" ht="15.75" x14ac:dyDescent="0.25">
      <c r="A258" s="437" t="e">
        <f>INDEX(Оглавление, ROW())</f>
        <v>#REF!</v>
      </c>
    </row>
    <row r="259" spans="1:1" ht="15.75" x14ac:dyDescent="0.25">
      <c r="A259" s="437" t="e">
        <f>INDEX(Оглавление, ROW())</f>
        <v>#REF!</v>
      </c>
    </row>
    <row r="260" spans="1:1" ht="15.75" x14ac:dyDescent="0.25">
      <c r="A260" s="437" t="e">
        <f>INDEX(Оглавление, ROW())</f>
        <v>#REF!</v>
      </c>
    </row>
    <row r="261" spans="1:1" ht="15.75" x14ac:dyDescent="0.25">
      <c r="A261" s="437" t="e">
        <f>INDEX(Оглавление, ROW())</f>
        <v>#REF!</v>
      </c>
    </row>
    <row r="262" spans="1:1" ht="15.75" x14ac:dyDescent="0.25">
      <c r="A262" s="437" t="e">
        <f>INDEX(Оглавление, ROW())</f>
        <v>#REF!</v>
      </c>
    </row>
    <row r="263" spans="1:1" ht="15.75" x14ac:dyDescent="0.25">
      <c r="A263" s="437" t="e">
        <f>INDEX(Оглавление, ROW())</f>
        <v>#REF!</v>
      </c>
    </row>
    <row r="264" spans="1:1" ht="15.75" x14ac:dyDescent="0.25">
      <c r="A264" s="437" t="e">
        <f>INDEX(Оглавление, ROW())</f>
        <v>#REF!</v>
      </c>
    </row>
    <row r="265" spans="1:1" ht="15.75" x14ac:dyDescent="0.25">
      <c r="A265" s="437" t="e">
        <f>INDEX(Оглавление, ROW())</f>
        <v>#REF!</v>
      </c>
    </row>
    <row r="266" spans="1:1" ht="15.75" x14ac:dyDescent="0.25">
      <c r="A266" s="437" t="e">
        <f>INDEX(Оглавление, ROW())</f>
        <v>#REF!</v>
      </c>
    </row>
    <row r="267" spans="1:1" ht="15.75" x14ac:dyDescent="0.25">
      <c r="A267" s="437" t="e">
        <f>INDEX(Оглавление, ROW())</f>
        <v>#REF!</v>
      </c>
    </row>
    <row r="268" spans="1:1" ht="15.75" x14ac:dyDescent="0.25">
      <c r="A268" s="437" t="e">
        <f>INDEX(Оглавление, ROW())</f>
        <v>#REF!</v>
      </c>
    </row>
    <row r="269" spans="1:1" ht="15.75" x14ac:dyDescent="0.25">
      <c r="A269" s="437" t="e">
        <f>INDEX(Оглавление, ROW())</f>
        <v>#REF!</v>
      </c>
    </row>
    <row r="270" spans="1:1" ht="15.75" x14ac:dyDescent="0.25">
      <c r="A270" s="437" t="e">
        <f>INDEX(Оглавление, ROW())</f>
        <v>#REF!</v>
      </c>
    </row>
    <row r="271" spans="1:1" ht="15.75" x14ac:dyDescent="0.25">
      <c r="A271" s="437" t="e">
        <f>INDEX(Оглавление, ROW())</f>
        <v>#REF!</v>
      </c>
    </row>
    <row r="272" spans="1:1" ht="15.75" x14ac:dyDescent="0.25">
      <c r="A272" s="437" t="e">
        <f>INDEX(Оглавление, ROW())</f>
        <v>#REF!</v>
      </c>
    </row>
    <row r="273" spans="1:1" ht="15.75" x14ac:dyDescent="0.25">
      <c r="A273" s="437" t="e">
        <f>INDEX(Оглавление, ROW())</f>
        <v>#REF!</v>
      </c>
    </row>
    <row r="274" spans="1:1" ht="15.75" x14ac:dyDescent="0.25">
      <c r="A274" s="437" t="e">
        <f>INDEX(Оглавление, ROW())</f>
        <v>#REF!</v>
      </c>
    </row>
    <row r="275" spans="1:1" ht="15.75" x14ac:dyDescent="0.25">
      <c r="A275" s="437" t="e">
        <f>INDEX(Оглавление, ROW())</f>
        <v>#REF!</v>
      </c>
    </row>
    <row r="276" spans="1:1" ht="15.75" x14ac:dyDescent="0.25">
      <c r="A276" s="437" t="e">
        <f>INDEX(Оглавление, ROW())</f>
        <v>#REF!</v>
      </c>
    </row>
    <row r="277" spans="1:1" ht="15.75" x14ac:dyDescent="0.25">
      <c r="A277" s="437" t="e">
        <f>INDEX(Оглавление, ROW())</f>
        <v>#REF!</v>
      </c>
    </row>
    <row r="278" spans="1:1" ht="15.75" x14ac:dyDescent="0.25">
      <c r="A278" s="437" t="e">
        <f>INDEX(Оглавление, ROW())</f>
        <v>#REF!</v>
      </c>
    </row>
    <row r="279" spans="1:1" ht="15.75" x14ac:dyDescent="0.25">
      <c r="A279" s="437" t="e">
        <f>INDEX(Оглавление, ROW())</f>
        <v>#REF!</v>
      </c>
    </row>
    <row r="280" spans="1:1" ht="15.75" x14ac:dyDescent="0.25">
      <c r="A280" s="437" t="e">
        <f>INDEX(Оглавление, ROW())</f>
        <v>#REF!</v>
      </c>
    </row>
    <row r="281" spans="1:1" ht="15.75" x14ac:dyDescent="0.25">
      <c r="A281" s="437" t="e">
        <f>INDEX(Оглавление, ROW())</f>
        <v>#REF!</v>
      </c>
    </row>
    <row r="282" spans="1:1" ht="15.75" x14ac:dyDescent="0.25">
      <c r="A282" s="437" t="e">
        <f>INDEX(Оглавление, ROW())</f>
        <v>#REF!</v>
      </c>
    </row>
    <row r="283" spans="1:1" ht="15.75" x14ac:dyDescent="0.25">
      <c r="A283" s="437" t="e">
        <f>INDEX(Оглавление, ROW())</f>
        <v>#REF!</v>
      </c>
    </row>
    <row r="284" spans="1:1" ht="15.75" x14ac:dyDescent="0.25">
      <c r="A284" s="437" t="e">
        <f>INDEX(Оглавление, ROW())</f>
        <v>#REF!</v>
      </c>
    </row>
    <row r="285" spans="1:1" ht="15.75" x14ac:dyDescent="0.25">
      <c r="A285" s="437" t="e">
        <f>INDEX(Оглавление, ROW())</f>
        <v>#REF!</v>
      </c>
    </row>
    <row r="286" spans="1:1" ht="15.75" x14ac:dyDescent="0.25">
      <c r="A286" s="437" t="e">
        <f>INDEX(Оглавление, ROW())</f>
        <v>#REF!</v>
      </c>
    </row>
    <row r="287" spans="1:1" ht="15.75" x14ac:dyDescent="0.25">
      <c r="A287" s="437" t="e">
        <f>INDEX(Оглавление, ROW())</f>
        <v>#REF!</v>
      </c>
    </row>
    <row r="288" spans="1:1" ht="15.75" x14ac:dyDescent="0.25">
      <c r="A288" s="437" t="e">
        <f>INDEX(Оглавление, ROW())</f>
        <v>#REF!</v>
      </c>
    </row>
    <row r="289" spans="1:1" ht="15.75" x14ac:dyDescent="0.25">
      <c r="A289" s="437" t="e">
        <f>INDEX(Оглавление, ROW())</f>
        <v>#REF!</v>
      </c>
    </row>
    <row r="290" spans="1:1" ht="15.75" x14ac:dyDescent="0.25">
      <c r="A290" s="437" t="e">
        <f>INDEX(Оглавление, ROW())</f>
        <v>#REF!</v>
      </c>
    </row>
    <row r="291" spans="1:1" ht="15.75" x14ac:dyDescent="0.25">
      <c r="A291" s="437" t="e">
        <f>INDEX(Оглавление, ROW())</f>
        <v>#REF!</v>
      </c>
    </row>
    <row r="292" spans="1:1" ht="15.75" x14ac:dyDescent="0.25">
      <c r="A292" s="437" t="e">
        <f>INDEX(Оглавление, ROW())</f>
        <v>#REF!</v>
      </c>
    </row>
    <row r="293" spans="1:1" ht="15.75" x14ac:dyDescent="0.25">
      <c r="A293" s="437" t="e">
        <f>INDEX(Оглавление, ROW())</f>
        <v>#REF!</v>
      </c>
    </row>
    <row r="294" spans="1:1" ht="15.75" x14ac:dyDescent="0.25">
      <c r="A294" s="437" t="e">
        <f>INDEX(Оглавление, ROW())</f>
        <v>#REF!</v>
      </c>
    </row>
    <row r="295" spans="1:1" ht="15.75" x14ac:dyDescent="0.25">
      <c r="A295" s="437" t="e">
        <f>INDEX(Оглавление, ROW())</f>
        <v>#REF!</v>
      </c>
    </row>
    <row r="296" spans="1:1" ht="15.75" x14ac:dyDescent="0.25">
      <c r="A296" s="437" t="e">
        <f>INDEX(Оглавление, ROW())</f>
        <v>#REF!</v>
      </c>
    </row>
    <row r="297" spans="1:1" ht="15.75" x14ac:dyDescent="0.25">
      <c r="A297" s="437" t="e">
        <f>INDEX(Оглавление, ROW())</f>
        <v>#REF!</v>
      </c>
    </row>
    <row r="298" spans="1:1" ht="15.75" x14ac:dyDescent="0.25">
      <c r="A298" s="437" t="e">
        <f>INDEX(Оглавление, ROW())</f>
        <v>#REF!</v>
      </c>
    </row>
    <row r="299" spans="1:1" ht="15.75" x14ac:dyDescent="0.25">
      <c r="A299" s="437" t="e">
        <f>INDEX(Оглавление, ROW())</f>
        <v>#REF!</v>
      </c>
    </row>
    <row r="300" spans="1:1" ht="15.75" x14ac:dyDescent="0.25">
      <c r="A300" s="437" t="e">
        <f>INDEX(Оглавление, ROW())</f>
        <v>#REF!</v>
      </c>
    </row>
    <row r="301" spans="1:1" ht="15.75" x14ac:dyDescent="0.25">
      <c r="A301" s="437" t="e">
        <f>INDEX(Оглавление, ROW())</f>
        <v>#REF!</v>
      </c>
    </row>
    <row r="302" spans="1:1" ht="15.75" x14ac:dyDescent="0.25">
      <c r="A302" s="437" t="e">
        <f>INDEX(Оглавление, ROW())</f>
        <v>#REF!</v>
      </c>
    </row>
    <row r="303" spans="1:1" ht="15.75" x14ac:dyDescent="0.25">
      <c r="A303" s="437" t="e">
        <f>INDEX(Оглавление, ROW())</f>
        <v>#REF!</v>
      </c>
    </row>
    <row r="304" spans="1:1" ht="15.75" x14ac:dyDescent="0.25">
      <c r="A304" s="437" t="e">
        <f>INDEX(Оглавление, ROW())</f>
        <v>#REF!</v>
      </c>
    </row>
    <row r="305" spans="1:1" ht="15.75" x14ac:dyDescent="0.25">
      <c r="A305" s="437" t="e">
        <f>INDEX(Оглавление, ROW())</f>
        <v>#REF!</v>
      </c>
    </row>
    <row r="306" spans="1:1" ht="15.75" x14ac:dyDescent="0.25">
      <c r="A306" s="437" t="e">
        <f>INDEX(Оглавление, ROW())</f>
        <v>#REF!</v>
      </c>
    </row>
    <row r="307" spans="1:1" ht="15.75" x14ac:dyDescent="0.25">
      <c r="A307" s="437" t="e">
        <f>INDEX(Оглавление, ROW())</f>
        <v>#REF!</v>
      </c>
    </row>
    <row r="308" spans="1:1" ht="15.75" x14ac:dyDescent="0.25">
      <c r="A308" s="437" t="e">
        <f>INDEX(Оглавление, ROW())</f>
        <v>#REF!</v>
      </c>
    </row>
    <row r="309" spans="1:1" ht="15.75" x14ac:dyDescent="0.25">
      <c r="A309" s="437" t="e">
        <f>INDEX(Оглавление, ROW())</f>
        <v>#REF!</v>
      </c>
    </row>
    <row r="310" spans="1:1" ht="15.75" x14ac:dyDescent="0.25">
      <c r="A310" s="437" t="e">
        <f>INDEX(Оглавление, ROW())</f>
        <v>#REF!</v>
      </c>
    </row>
    <row r="311" spans="1:1" ht="15.75" x14ac:dyDescent="0.25">
      <c r="A311" s="437" t="e">
        <f>INDEX(Оглавление, ROW())</f>
        <v>#REF!</v>
      </c>
    </row>
    <row r="312" spans="1:1" ht="15.75" x14ac:dyDescent="0.25">
      <c r="A312" s="437" t="e">
        <f>INDEX(Оглавление, ROW())</f>
        <v>#REF!</v>
      </c>
    </row>
    <row r="313" spans="1:1" ht="15.75" x14ac:dyDescent="0.25">
      <c r="A313" s="437" t="e">
        <f>INDEX(Оглавление, ROW())</f>
        <v>#REF!</v>
      </c>
    </row>
    <row r="314" spans="1:1" ht="15.75" x14ac:dyDescent="0.25">
      <c r="A314" s="437" t="e">
        <f>INDEX(Оглавление, ROW())</f>
        <v>#REF!</v>
      </c>
    </row>
    <row r="315" spans="1:1" ht="15.75" x14ac:dyDescent="0.25">
      <c r="A315" s="437" t="e">
        <f>INDEX(Оглавление, ROW())</f>
        <v>#REF!</v>
      </c>
    </row>
    <row r="316" spans="1:1" ht="15.75" x14ac:dyDescent="0.25">
      <c r="A316" s="437" t="e">
        <f>INDEX(Оглавление, ROW())</f>
        <v>#REF!</v>
      </c>
    </row>
    <row r="317" spans="1:1" ht="15.75" x14ac:dyDescent="0.25">
      <c r="A317" s="437" t="e">
        <f>INDEX(Оглавление, ROW())</f>
        <v>#REF!</v>
      </c>
    </row>
    <row r="318" spans="1:1" ht="15.75" x14ac:dyDescent="0.25">
      <c r="A318" s="437" t="e">
        <f>INDEX(Оглавление, ROW())</f>
        <v>#REF!</v>
      </c>
    </row>
    <row r="319" spans="1:1" ht="15.75" x14ac:dyDescent="0.25">
      <c r="A319" s="437" t="e">
        <f>INDEX(Оглавление, ROW())</f>
        <v>#REF!</v>
      </c>
    </row>
    <row r="320" spans="1:1" ht="15.75" x14ac:dyDescent="0.25">
      <c r="A320" s="437" t="e">
        <f>INDEX(Оглавление, ROW())</f>
        <v>#REF!</v>
      </c>
    </row>
    <row r="321" spans="1:1" ht="15.75" x14ac:dyDescent="0.25">
      <c r="A321" s="437" t="e">
        <f>INDEX(Оглавление, ROW())</f>
        <v>#REF!</v>
      </c>
    </row>
    <row r="322" spans="1:1" ht="15.75" x14ac:dyDescent="0.25">
      <c r="A322" s="437" t="e">
        <f>INDEX(Оглавление, ROW())</f>
        <v>#REF!</v>
      </c>
    </row>
    <row r="323" spans="1:1" ht="15.75" x14ac:dyDescent="0.25">
      <c r="A323" s="437" t="e">
        <f>INDEX(Оглавление, ROW())</f>
        <v>#REF!</v>
      </c>
    </row>
    <row r="324" spans="1:1" ht="15.75" x14ac:dyDescent="0.25">
      <c r="A324" s="437" t="e">
        <f>INDEX(Оглавление, ROW())</f>
        <v>#REF!</v>
      </c>
    </row>
    <row r="325" spans="1:1" ht="15.75" x14ac:dyDescent="0.25">
      <c r="A325" s="437" t="e">
        <f>INDEX(Оглавление, ROW())</f>
        <v>#REF!</v>
      </c>
    </row>
    <row r="326" spans="1:1" ht="15.75" x14ac:dyDescent="0.25">
      <c r="A326" s="437" t="e">
        <f>INDEX(Оглавление, ROW())</f>
        <v>#REF!</v>
      </c>
    </row>
    <row r="327" spans="1:1" ht="15.75" x14ac:dyDescent="0.25">
      <c r="A327" s="437" t="e">
        <f>INDEX(Оглавление, ROW())</f>
        <v>#REF!</v>
      </c>
    </row>
    <row r="328" spans="1:1" ht="15.75" x14ac:dyDescent="0.25">
      <c r="A328" s="437" t="e">
        <f>INDEX(Оглавление, ROW())</f>
        <v>#REF!</v>
      </c>
    </row>
    <row r="329" spans="1:1" ht="15.75" x14ac:dyDescent="0.25">
      <c r="A329" s="437" t="e">
        <f>INDEX(Оглавление, ROW())</f>
        <v>#REF!</v>
      </c>
    </row>
    <row r="330" spans="1:1" ht="15.75" x14ac:dyDescent="0.25">
      <c r="A330" s="437" t="e">
        <f>INDEX(Оглавление, ROW())</f>
        <v>#REF!</v>
      </c>
    </row>
    <row r="331" spans="1:1" ht="15.75" x14ac:dyDescent="0.25">
      <c r="A331" s="437" t="e">
        <f>INDEX(Оглавление, ROW())</f>
        <v>#REF!</v>
      </c>
    </row>
    <row r="332" spans="1:1" ht="15.75" x14ac:dyDescent="0.25">
      <c r="A332" s="437" t="e">
        <f>INDEX(Оглавление, ROW())</f>
        <v>#REF!</v>
      </c>
    </row>
    <row r="333" spans="1:1" ht="15.75" x14ac:dyDescent="0.25">
      <c r="A333" s="437" t="e">
        <f>INDEX(Оглавление, ROW())</f>
        <v>#REF!</v>
      </c>
    </row>
    <row r="334" spans="1:1" ht="15.75" x14ac:dyDescent="0.25">
      <c r="A334" s="437" t="e">
        <f>INDEX(Оглавление, ROW())</f>
        <v>#REF!</v>
      </c>
    </row>
    <row r="335" spans="1:1" ht="15.75" x14ac:dyDescent="0.25">
      <c r="A335" s="437" t="e">
        <f>INDEX(Оглавление, ROW())</f>
        <v>#REF!</v>
      </c>
    </row>
    <row r="336" spans="1:1" ht="15.75" x14ac:dyDescent="0.25">
      <c r="A336" s="437" t="e">
        <f>INDEX(Оглавление, ROW())</f>
        <v>#REF!</v>
      </c>
    </row>
    <row r="337" spans="1:1" ht="15.75" x14ac:dyDescent="0.25">
      <c r="A337" s="437" t="e">
        <f>INDEX(Оглавление, ROW())</f>
        <v>#REF!</v>
      </c>
    </row>
    <row r="338" spans="1:1" ht="15.75" x14ac:dyDescent="0.25">
      <c r="A338" s="437" t="e">
        <f>INDEX(Оглавление, ROW())</f>
        <v>#REF!</v>
      </c>
    </row>
    <row r="339" spans="1:1" ht="15.75" x14ac:dyDescent="0.25">
      <c r="A339" s="437" t="e">
        <f>INDEX(Оглавление, ROW())</f>
        <v>#REF!</v>
      </c>
    </row>
    <row r="340" spans="1:1" ht="15.75" x14ac:dyDescent="0.25">
      <c r="A340" s="437" t="e">
        <f>INDEX(Оглавление, ROW())</f>
        <v>#REF!</v>
      </c>
    </row>
    <row r="341" spans="1:1" ht="15.75" x14ac:dyDescent="0.25">
      <c r="A341" s="437" t="e">
        <f>INDEX(Оглавление, ROW())</f>
        <v>#REF!</v>
      </c>
    </row>
    <row r="342" spans="1:1" ht="15.75" x14ac:dyDescent="0.25">
      <c r="A342" s="437" t="e">
        <f>INDEX(Оглавление, ROW())</f>
        <v>#REF!</v>
      </c>
    </row>
    <row r="343" spans="1:1" ht="15.75" x14ac:dyDescent="0.25">
      <c r="A343" s="437" t="e">
        <f>INDEX(Оглавление, ROW())</f>
        <v>#REF!</v>
      </c>
    </row>
    <row r="344" spans="1:1" ht="15.75" x14ac:dyDescent="0.25">
      <c r="A344" s="437" t="e">
        <f>INDEX(Оглавление, ROW())</f>
        <v>#REF!</v>
      </c>
    </row>
    <row r="345" spans="1:1" ht="15.75" x14ac:dyDescent="0.25">
      <c r="A345" s="437" t="e">
        <f>INDEX(Оглавление, ROW())</f>
        <v>#REF!</v>
      </c>
    </row>
    <row r="346" spans="1:1" ht="15.75" x14ac:dyDescent="0.25">
      <c r="A346" s="437" t="e">
        <f>INDEX(Оглавление, ROW())</f>
        <v>#REF!</v>
      </c>
    </row>
    <row r="347" spans="1:1" ht="15.75" x14ac:dyDescent="0.25">
      <c r="A347" s="437" t="e">
        <f>INDEX(Оглавление, ROW())</f>
        <v>#REF!</v>
      </c>
    </row>
    <row r="348" spans="1:1" ht="15.75" x14ac:dyDescent="0.25">
      <c r="A348" s="437" t="e">
        <f>INDEX(Оглавление, ROW())</f>
        <v>#REF!</v>
      </c>
    </row>
    <row r="349" spans="1:1" ht="15.75" x14ac:dyDescent="0.25">
      <c r="A349" s="437" t="e">
        <f>INDEX(Оглавление, ROW())</f>
        <v>#REF!</v>
      </c>
    </row>
    <row r="350" spans="1:1" ht="15.75" x14ac:dyDescent="0.25">
      <c r="A350" s="437" t="e">
        <f>INDEX(Оглавление, ROW())</f>
        <v>#REF!</v>
      </c>
    </row>
    <row r="351" spans="1:1" ht="15.75" x14ac:dyDescent="0.25">
      <c r="A351" s="437" t="e">
        <f>INDEX(Оглавление, ROW())</f>
        <v>#REF!</v>
      </c>
    </row>
    <row r="352" spans="1:1" ht="15.75" x14ac:dyDescent="0.25">
      <c r="A352" s="437" t="e">
        <f>INDEX(Оглавление, ROW())</f>
        <v>#REF!</v>
      </c>
    </row>
    <row r="353" spans="1:1" ht="15.75" x14ac:dyDescent="0.25">
      <c r="A353" s="437" t="e">
        <f>INDEX(Оглавление, ROW())</f>
        <v>#REF!</v>
      </c>
    </row>
    <row r="354" spans="1:1" ht="15.75" x14ac:dyDescent="0.25">
      <c r="A354" s="437" t="e">
        <f>INDEX(Оглавление, ROW())</f>
        <v>#REF!</v>
      </c>
    </row>
    <row r="355" spans="1:1" ht="15.75" x14ac:dyDescent="0.25">
      <c r="A355" s="437" t="e">
        <f>INDEX(Оглавление, ROW())</f>
        <v>#REF!</v>
      </c>
    </row>
    <row r="356" spans="1:1" ht="15.75" x14ac:dyDescent="0.25">
      <c r="A356" s="437" t="e">
        <f>INDEX(Оглавление, ROW())</f>
        <v>#REF!</v>
      </c>
    </row>
    <row r="357" spans="1:1" ht="15.75" x14ac:dyDescent="0.25">
      <c r="A357" s="437" t="e">
        <f>INDEX(Оглавление, ROW())</f>
        <v>#REF!</v>
      </c>
    </row>
    <row r="358" spans="1:1" ht="15.75" x14ac:dyDescent="0.25">
      <c r="A358" s="437" t="e">
        <f>INDEX(Оглавление, ROW())</f>
        <v>#REF!</v>
      </c>
    </row>
    <row r="359" spans="1:1" ht="15.75" x14ac:dyDescent="0.25">
      <c r="A359" s="437" t="e">
        <f>INDEX(Оглавление, ROW())</f>
        <v>#REF!</v>
      </c>
    </row>
    <row r="360" spans="1:1" ht="15.75" x14ac:dyDescent="0.25">
      <c r="A360" s="437" t="e">
        <f>INDEX(Оглавление, ROW())</f>
        <v>#REF!</v>
      </c>
    </row>
    <row r="361" spans="1:1" ht="15.75" x14ac:dyDescent="0.25">
      <c r="A361" s="437" t="e">
        <f>INDEX(Оглавление, ROW())</f>
        <v>#REF!</v>
      </c>
    </row>
    <row r="362" spans="1:1" ht="15.75" x14ac:dyDescent="0.25">
      <c r="A362" s="437" t="e">
        <f>INDEX(Оглавление, ROW())</f>
        <v>#REF!</v>
      </c>
    </row>
    <row r="363" spans="1:1" ht="15.75" x14ac:dyDescent="0.25">
      <c r="A363" s="437" t="e">
        <f>INDEX(Оглавление, ROW())</f>
        <v>#REF!</v>
      </c>
    </row>
    <row r="364" spans="1:1" ht="15.75" x14ac:dyDescent="0.25">
      <c r="A364" s="437" t="e">
        <f>INDEX(Оглавление, ROW())</f>
        <v>#REF!</v>
      </c>
    </row>
    <row r="365" spans="1:1" ht="15.75" x14ac:dyDescent="0.25">
      <c r="A365" s="437" t="e">
        <f>INDEX(Оглавление, ROW())</f>
        <v>#REF!</v>
      </c>
    </row>
    <row r="366" spans="1:1" ht="15.75" x14ac:dyDescent="0.25">
      <c r="A366" s="437" t="e">
        <f>INDEX(Оглавление, ROW())</f>
        <v>#REF!</v>
      </c>
    </row>
    <row r="367" spans="1:1" ht="15.75" x14ac:dyDescent="0.25">
      <c r="A367" s="437" t="e">
        <f>INDEX(Оглавление, ROW())</f>
        <v>#REF!</v>
      </c>
    </row>
    <row r="368" spans="1:1" ht="15.75" x14ac:dyDescent="0.25">
      <c r="A368" s="437" t="e">
        <f>INDEX(Оглавление, ROW())</f>
        <v>#REF!</v>
      </c>
    </row>
    <row r="369" spans="1:1" ht="15.75" x14ac:dyDescent="0.25">
      <c r="A369" s="437" t="e">
        <f>INDEX(Оглавление, ROW())</f>
        <v>#REF!</v>
      </c>
    </row>
    <row r="370" spans="1:1" ht="15.75" x14ac:dyDescent="0.25">
      <c r="A370" s="437" t="e">
        <f>INDEX(Оглавление, ROW())</f>
        <v>#REF!</v>
      </c>
    </row>
    <row r="371" spans="1:1" ht="15.75" x14ac:dyDescent="0.25">
      <c r="A371" s="437" t="e">
        <f>INDEX(Оглавление, ROW())</f>
        <v>#REF!</v>
      </c>
    </row>
    <row r="372" spans="1:1" ht="15.75" x14ac:dyDescent="0.25">
      <c r="A372" s="437" t="e">
        <f>INDEX(Оглавление, ROW())</f>
        <v>#REF!</v>
      </c>
    </row>
    <row r="373" spans="1:1" ht="15.75" x14ac:dyDescent="0.25">
      <c r="A373" s="437" t="e">
        <f>INDEX(Оглавление, ROW())</f>
        <v>#REF!</v>
      </c>
    </row>
    <row r="374" spans="1:1" ht="15.75" x14ac:dyDescent="0.25">
      <c r="A374" s="437" t="e">
        <f>INDEX(Оглавление, ROW())</f>
        <v>#REF!</v>
      </c>
    </row>
    <row r="375" spans="1:1" ht="15.75" x14ac:dyDescent="0.25">
      <c r="A375" s="437" t="e">
        <f>INDEX(Оглавление, ROW())</f>
        <v>#REF!</v>
      </c>
    </row>
    <row r="376" spans="1:1" ht="15.75" x14ac:dyDescent="0.25">
      <c r="A376" s="437" t="e">
        <f>INDEX(Оглавление, ROW())</f>
        <v>#REF!</v>
      </c>
    </row>
    <row r="377" spans="1:1" ht="15.75" x14ac:dyDescent="0.25">
      <c r="A377" s="437" t="e">
        <f>INDEX(Оглавление, ROW())</f>
        <v>#REF!</v>
      </c>
    </row>
    <row r="378" spans="1:1" ht="15.75" x14ac:dyDescent="0.25">
      <c r="A378" s="437" t="e">
        <f>INDEX(Оглавление, ROW())</f>
        <v>#REF!</v>
      </c>
    </row>
    <row r="379" spans="1:1" ht="15.75" x14ac:dyDescent="0.25">
      <c r="A379" s="437" t="e">
        <f>INDEX(Оглавление, ROW())</f>
        <v>#REF!</v>
      </c>
    </row>
    <row r="380" spans="1:1" ht="15.75" x14ac:dyDescent="0.25">
      <c r="A380" s="437" t="e">
        <f>INDEX(Оглавление, ROW())</f>
        <v>#REF!</v>
      </c>
    </row>
    <row r="381" spans="1:1" ht="15.75" x14ac:dyDescent="0.25">
      <c r="A381" s="437" t="e">
        <f>INDEX(Оглавление, ROW())</f>
        <v>#REF!</v>
      </c>
    </row>
    <row r="382" spans="1:1" ht="15.75" x14ac:dyDescent="0.25">
      <c r="A382" s="437" t="e">
        <f>INDEX(Оглавление, ROW())</f>
        <v>#REF!</v>
      </c>
    </row>
    <row r="383" spans="1:1" ht="15.75" x14ac:dyDescent="0.25">
      <c r="A383" s="437" t="e">
        <f>INDEX(Оглавление, ROW())</f>
        <v>#REF!</v>
      </c>
    </row>
    <row r="384" spans="1:1" ht="15.75" x14ac:dyDescent="0.25">
      <c r="A384" s="437" t="e">
        <f>INDEX(Оглавление, ROW())</f>
        <v>#REF!</v>
      </c>
    </row>
    <row r="385" spans="1:1" ht="15.75" x14ac:dyDescent="0.25">
      <c r="A385" s="437" t="e">
        <f>INDEX(Оглавление, ROW())</f>
        <v>#REF!</v>
      </c>
    </row>
    <row r="386" spans="1:1" ht="15.75" x14ac:dyDescent="0.25">
      <c r="A386" s="437" t="e">
        <f>INDEX(Оглавление, ROW())</f>
        <v>#REF!</v>
      </c>
    </row>
    <row r="387" spans="1:1" ht="15.75" x14ac:dyDescent="0.25">
      <c r="A387" s="437" t="e">
        <f>INDEX(Оглавление, ROW())</f>
        <v>#REF!</v>
      </c>
    </row>
    <row r="388" spans="1:1" ht="15.75" x14ac:dyDescent="0.25">
      <c r="A388" s="437" t="e">
        <f>INDEX(Оглавление, ROW())</f>
        <v>#REF!</v>
      </c>
    </row>
    <row r="389" spans="1:1" ht="15.75" x14ac:dyDescent="0.25">
      <c r="A389" s="437" t="e">
        <f>INDEX(Оглавление, ROW())</f>
        <v>#REF!</v>
      </c>
    </row>
    <row r="390" spans="1:1" ht="15.75" x14ac:dyDescent="0.25">
      <c r="A390" s="437" t="e">
        <f>INDEX(Оглавление, ROW())</f>
        <v>#REF!</v>
      </c>
    </row>
    <row r="391" spans="1:1" ht="15.75" x14ac:dyDescent="0.25">
      <c r="A391" s="437" t="e">
        <f>INDEX(Оглавление, ROW())</f>
        <v>#REF!</v>
      </c>
    </row>
    <row r="392" spans="1:1" ht="15.75" x14ac:dyDescent="0.25">
      <c r="A392" s="437" t="e">
        <f>INDEX(Оглавление, ROW())</f>
        <v>#REF!</v>
      </c>
    </row>
    <row r="393" spans="1:1" ht="15.75" x14ac:dyDescent="0.25">
      <c r="A393" s="437" t="e">
        <f>INDEX(Оглавление, ROW())</f>
        <v>#REF!</v>
      </c>
    </row>
    <row r="394" spans="1:1" ht="15.75" x14ac:dyDescent="0.25">
      <c r="A394" s="437" t="e">
        <f>INDEX(Оглавление, ROW())</f>
        <v>#REF!</v>
      </c>
    </row>
    <row r="395" spans="1:1" ht="15.75" x14ac:dyDescent="0.25">
      <c r="A395" s="437" t="e">
        <f>INDEX(Оглавление, ROW())</f>
        <v>#REF!</v>
      </c>
    </row>
    <row r="396" spans="1:1" ht="15.75" x14ac:dyDescent="0.25">
      <c r="A396" s="437" t="e">
        <f>INDEX(Оглавление, ROW())</f>
        <v>#REF!</v>
      </c>
    </row>
    <row r="397" spans="1:1" ht="15.75" x14ac:dyDescent="0.25">
      <c r="A397" s="437" t="e">
        <f>INDEX(Оглавление, ROW())</f>
        <v>#REF!</v>
      </c>
    </row>
    <row r="398" spans="1:1" ht="15.75" x14ac:dyDescent="0.25">
      <c r="A398" s="437" t="e">
        <f>INDEX(Оглавление, ROW())</f>
        <v>#REF!</v>
      </c>
    </row>
    <row r="399" spans="1:1" ht="15.75" x14ac:dyDescent="0.25">
      <c r="A399" s="437" t="e">
        <f>INDEX(Оглавление, ROW())</f>
        <v>#REF!</v>
      </c>
    </row>
    <row r="400" spans="1:1" ht="15.75" x14ac:dyDescent="0.25">
      <c r="A400" s="437" t="e">
        <f>INDEX(Оглавление, ROW())</f>
        <v>#REF!</v>
      </c>
    </row>
    <row r="401" spans="1:1" ht="15.75" x14ac:dyDescent="0.25">
      <c r="A401" s="437" t="e">
        <f>INDEX(Оглавление, ROW())</f>
        <v>#REF!</v>
      </c>
    </row>
    <row r="402" spans="1:1" ht="15.75" x14ac:dyDescent="0.25">
      <c r="A402" s="437" t="e">
        <f>INDEX(Оглавление, ROW())</f>
        <v>#REF!</v>
      </c>
    </row>
    <row r="403" spans="1:1" ht="15.75" x14ac:dyDescent="0.25">
      <c r="A403" s="437" t="e">
        <f>INDEX(Оглавление, ROW())</f>
        <v>#REF!</v>
      </c>
    </row>
    <row r="404" spans="1:1" ht="15.75" x14ac:dyDescent="0.25">
      <c r="A404" s="437" t="e">
        <f>INDEX(Оглавление, ROW())</f>
        <v>#REF!</v>
      </c>
    </row>
    <row r="405" spans="1:1" ht="15.75" x14ac:dyDescent="0.25">
      <c r="A405" s="437" t="e">
        <f>INDEX(Оглавление, ROW())</f>
        <v>#REF!</v>
      </c>
    </row>
    <row r="406" spans="1:1" ht="15.75" x14ac:dyDescent="0.25">
      <c r="A406" s="437" t="e">
        <f>INDEX(Оглавление, ROW())</f>
        <v>#REF!</v>
      </c>
    </row>
    <row r="407" spans="1:1" ht="15.75" x14ac:dyDescent="0.25">
      <c r="A407" s="437" t="e">
        <f>INDEX(Оглавление, ROW())</f>
        <v>#REF!</v>
      </c>
    </row>
    <row r="408" spans="1:1" ht="15.75" x14ac:dyDescent="0.25">
      <c r="A408" s="437" t="e">
        <f>INDEX(Оглавление, ROW())</f>
        <v>#REF!</v>
      </c>
    </row>
    <row r="409" spans="1:1" ht="15.75" x14ac:dyDescent="0.25">
      <c r="A409" s="437" t="e">
        <f>INDEX(Оглавление, ROW())</f>
        <v>#REF!</v>
      </c>
    </row>
    <row r="410" spans="1:1" ht="15.75" x14ac:dyDescent="0.25">
      <c r="A410" s="437" t="e">
        <f>INDEX(Оглавление, ROW())</f>
        <v>#REF!</v>
      </c>
    </row>
    <row r="411" spans="1:1" ht="15.75" x14ac:dyDescent="0.25">
      <c r="A411" s="437" t="e">
        <f>INDEX(Оглавление, ROW())</f>
        <v>#REF!</v>
      </c>
    </row>
    <row r="412" spans="1:1" ht="15.75" x14ac:dyDescent="0.25">
      <c r="A412" s="437" t="e">
        <f>INDEX(Оглавление, ROW())</f>
        <v>#REF!</v>
      </c>
    </row>
    <row r="413" spans="1:1" ht="15.75" x14ac:dyDescent="0.25">
      <c r="A413" s="437" t="e">
        <f>INDEX(Оглавление, ROW())</f>
        <v>#REF!</v>
      </c>
    </row>
    <row r="414" spans="1:1" ht="15.75" x14ac:dyDescent="0.25">
      <c r="A414" s="437" t="e">
        <f>INDEX(Оглавление, ROW())</f>
        <v>#REF!</v>
      </c>
    </row>
    <row r="415" spans="1:1" ht="15.75" x14ac:dyDescent="0.25">
      <c r="A415" s="437" t="e">
        <f>INDEX(Оглавление, ROW())</f>
        <v>#REF!</v>
      </c>
    </row>
    <row r="416" spans="1:1" ht="15.75" x14ac:dyDescent="0.25">
      <c r="A416" s="437" t="e">
        <f>INDEX(Оглавление, ROW())</f>
        <v>#REF!</v>
      </c>
    </row>
    <row r="417" spans="1:1" ht="15.75" x14ac:dyDescent="0.25">
      <c r="A417" s="437" t="e">
        <f>INDEX(Оглавление, ROW())</f>
        <v>#REF!</v>
      </c>
    </row>
    <row r="418" spans="1:1" ht="15.75" x14ac:dyDescent="0.25">
      <c r="A418" s="437" t="e">
        <f>INDEX(Оглавление, ROW())</f>
        <v>#REF!</v>
      </c>
    </row>
    <row r="419" spans="1:1" ht="15.75" x14ac:dyDescent="0.25">
      <c r="A419" s="437" t="e">
        <f>INDEX(Оглавление, ROW())</f>
        <v>#REF!</v>
      </c>
    </row>
    <row r="420" spans="1:1" ht="15.75" x14ac:dyDescent="0.25">
      <c r="A420" s="437" t="e">
        <f>INDEX(Оглавление, ROW())</f>
        <v>#REF!</v>
      </c>
    </row>
    <row r="421" spans="1:1" ht="15.75" x14ac:dyDescent="0.25">
      <c r="A421" s="437" t="e">
        <f>INDEX(Оглавление, ROW())</f>
        <v>#REF!</v>
      </c>
    </row>
    <row r="422" spans="1:1" ht="15.75" x14ac:dyDescent="0.25">
      <c r="A422" s="437" t="e">
        <f>INDEX(Оглавление, ROW())</f>
        <v>#REF!</v>
      </c>
    </row>
    <row r="423" spans="1:1" ht="15.75" x14ac:dyDescent="0.25">
      <c r="A423" s="437" t="e">
        <f>INDEX(Оглавление, ROW())</f>
        <v>#REF!</v>
      </c>
    </row>
    <row r="424" spans="1:1" ht="15.75" x14ac:dyDescent="0.25">
      <c r="A424" s="437" t="e">
        <f>INDEX(Оглавление, ROW())</f>
        <v>#REF!</v>
      </c>
    </row>
    <row r="425" spans="1:1" ht="15.75" x14ac:dyDescent="0.25">
      <c r="A425" s="437" t="e">
        <f>INDEX(Оглавление, ROW())</f>
        <v>#REF!</v>
      </c>
    </row>
    <row r="426" spans="1:1" ht="15.75" x14ac:dyDescent="0.25">
      <c r="A426" s="437" t="e">
        <f>INDEX(Оглавление, ROW())</f>
        <v>#REF!</v>
      </c>
    </row>
    <row r="427" spans="1:1" ht="15.75" x14ac:dyDescent="0.25">
      <c r="A427" s="437" t="e">
        <f>INDEX(Оглавление, ROW())</f>
        <v>#REF!</v>
      </c>
    </row>
    <row r="428" spans="1:1" ht="15.75" x14ac:dyDescent="0.25">
      <c r="A428" s="437" t="e">
        <f>INDEX(Оглавление, ROW())</f>
        <v>#REF!</v>
      </c>
    </row>
    <row r="429" spans="1:1" ht="15.75" x14ac:dyDescent="0.25">
      <c r="A429" s="437" t="e">
        <f>INDEX(Оглавление, ROW())</f>
        <v>#REF!</v>
      </c>
    </row>
    <row r="430" spans="1:1" ht="15.75" x14ac:dyDescent="0.25">
      <c r="A430" s="437" t="e">
        <f>INDEX(Оглавление, ROW())</f>
        <v>#REF!</v>
      </c>
    </row>
    <row r="431" spans="1:1" ht="15.75" x14ac:dyDescent="0.25">
      <c r="A431" s="437" t="e">
        <f>INDEX(Оглавление, ROW())</f>
        <v>#REF!</v>
      </c>
    </row>
    <row r="432" spans="1:1" ht="15.75" x14ac:dyDescent="0.25">
      <c r="A432" s="437" t="e">
        <f>INDEX(Оглавление, ROW())</f>
        <v>#REF!</v>
      </c>
    </row>
    <row r="433" spans="1:1" ht="15.75" x14ac:dyDescent="0.25">
      <c r="A433" s="437" t="e">
        <f>INDEX(Оглавление, ROW())</f>
        <v>#REF!</v>
      </c>
    </row>
    <row r="434" spans="1:1" ht="15.75" x14ac:dyDescent="0.25">
      <c r="A434" s="437" t="e">
        <f>INDEX(Оглавление, ROW())</f>
        <v>#REF!</v>
      </c>
    </row>
    <row r="435" spans="1:1" ht="15.75" x14ac:dyDescent="0.25">
      <c r="A435" s="437" t="e">
        <f>INDEX(Оглавление, ROW())</f>
        <v>#REF!</v>
      </c>
    </row>
    <row r="436" spans="1:1" ht="15.75" x14ac:dyDescent="0.25">
      <c r="A436" s="437" t="e">
        <f>INDEX(Оглавление, ROW())</f>
        <v>#REF!</v>
      </c>
    </row>
    <row r="437" spans="1:1" ht="15.75" x14ac:dyDescent="0.25">
      <c r="A437" s="437" t="e">
        <f>INDEX(Оглавление, ROW())</f>
        <v>#REF!</v>
      </c>
    </row>
    <row r="438" spans="1:1" ht="15.75" x14ac:dyDescent="0.25">
      <c r="A438" s="437" t="e">
        <f>INDEX(Оглавление, ROW())</f>
        <v>#REF!</v>
      </c>
    </row>
    <row r="439" spans="1:1" ht="15.75" x14ac:dyDescent="0.25">
      <c r="A439" s="437" t="e">
        <f>INDEX(Оглавление, ROW())</f>
        <v>#REF!</v>
      </c>
    </row>
    <row r="440" spans="1:1" ht="15.75" x14ac:dyDescent="0.25">
      <c r="A440" s="437" t="e">
        <f>INDEX(Оглавление, ROW())</f>
        <v>#REF!</v>
      </c>
    </row>
    <row r="441" spans="1:1" ht="15.75" x14ac:dyDescent="0.25">
      <c r="A441" s="437" t="e">
        <f>INDEX(Оглавление, ROW())</f>
        <v>#REF!</v>
      </c>
    </row>
    <row r="442" spans="1:1" ht="15.75" x14ac:dyDescent="0.25">
      <c r="A442" s="437" t="e">
        <f>INDEX(Оглавление, ROW())</f>
        <v>#REF!</v>
      </c>
    </row>
    <row r="443" spans="1:1" ht="15.75" x14ac:dyDescent="0.25">
      <c r="A443" s="437" t="e">
        <f>INDEX(Оглавление, ROW())</f>
        <v>#REF!</v>
      </c>
    </row>
    <row r="444" spans="1:1" ht="15.75" x14ac:dyDescent="0.25">
      <c r="A444" s="437" t="e">
        <f>INDEX(Оглавление, ROW())</f>
        <v>#REF!</v>
      </c>
    </row>
    <row r="445" spans="1:1" ht="15.75" x14ac:dyDescent="0.25">
      <c r="A445" s="437" t="e">
        <f>INDEX(Оглавление, ROW())</f>
        <v>#REF!</v>
      </c>
    </row>
    <row r="446" spans="1:1" ht="15.75" x14ac:dyDescent="0.25">
      <c r="A446" s="437" t="e">
        <f>INDEX(Оглавление, ROW())</f>
        <v>#REF!</v>
      </c>
    </row>
    <row r="447" spans="1:1" ht="15.75" x14ac:dyDescent="0.25">
      <c r="A447" s="437" t="e">
        <f>INDEX(Оглавление, ROW())</f>
        <v>#REF!</v>
      </c>
    </row>
    <row r="448" spans="1:1" ht="15.75" x14ac:dyDescent="0.25">
      <c r="A448" s="437" t="e">
        <f>INDEX(Оглавление, ROW())</f>
        <v>#REF!</v>
      </c>
    </row>
    <row r="449" spans="1:1" ht="15.75" x14ac:dyDescent="0.25">
      <c r="A449" s="437" t="e">
        <f>INDEX(Оглавление, ROW())</f>
        <v>#REF!</v>
      </c>
    </row>
    <row r="450" spans="1:1" ht="15.75" x14ac:dyDescent="0.25">
      <c r="A450" s="437" t="e">
        <f>INDEX(Оглавление, ROW())</f>
        <v>#REF!</v>
      </c>
    </row>
    <row r="451" spans="1:1" ht="15.75" x14ac:dyDescent="0.25">
      <c r="A451" s="437" t="e">
        <f>INDEX(Оглавление, ROW())</f>
        <v>#REF!</v>
      </c>
    </row>
    <row r="452" spans="1:1" ht="15.75" x14ac:dyDescent="0.25">
      <c r="A452" s="437" t="e">
        <f>INDEX(Оглавление, ROW())</f>
        <v>#REF!</v>
      </c>
    </row>
    <row r="453" spans="1:1" ht="15.75" x14ac:dyDescent="0.25">
      <c r="A453" s="437" t="e">
        <f>INDEX(Оглавление, ROW())</f>
        <v>#REF!</v>
      </c>
    </row>
    <row r="454" spans="1:1" ht="15.75" x14ac:dyDescent="0.25">
      <c r="A454" s="437" t="e">
        <f>INDEX(Оглавление, ROW())</f>
        <v>#REF!</v>
      </c>
    </row>
    <row r="455" spans="1:1" ht="15.75" x14ac:dyDescent="0.25">
      <c r="A455" s="437" t="e">
        <f>INDEX(Оглавление, ROW())</f>
        <v>#REF!</v>
      </c>
    </row>
    <row r="456" spans="1:1" ht="15.75" x14ac:dyDescent="0.25">
      <c r="A456" s="437" t="e">
        <f>INDEX(Оглавление, ROW())</f>
        <v>#REF!</v>
      </c>
    </row>
    <row r="457" spans="1:1" ht="15.75" x14ac:dyDescent="0.25">
      <c r="A457" s="437" t="e">
        <f>INDEX(Оглавление, ROW())</f>
        <v>#REF!</v>
      </c>
    </row>
    <row r="458" spans="1:1" ht="15.75" x14ac:dyDescent="0.25">
      <c r="A458" s="437" t="e">
        <f>INDEX(Оглавление, ROW())</f>
        <v>#REF!</v>
      </c>
    </row>
    <row r="459" spans="1:1" ht="15.75" x14ac:dyDescent="0.25">
      <c r="A459" s="437" t="e">
        <f>INDEX(Оглавление, ROW())</f>
        <v>#REF!</v>
      </c>
    </row>
    <row r="460" spans="1:1" ht="15.75" x14ac:dyDescent="0.25">
      <c r="A460" s="437" t="e">
        <f>INDEX(Оглавление, ROW())</f>
        <v>#REF!</v>
      </c>
    </row>
    <row r="461" spans="1:1" ht="15.75" x14ac:dyDescent="0.25">
      <c r="A461" s="437" t="e">
        <f>INDEX(Оглавление, ROW())</f>
        <v>#REF!</v>
      </c>
    </row>
    <row r="462" spans="1:1" ht="15.75" x14ac:dyDescent="0.25">
      <c r="A462" s="437" t="e">
        <f>INDEX(Оглавление, ROW())</f>
        <v>#REF!</v>
      </c>
    </row>
    <row r="463" spans="1:1" ht="15.75" x14ac:dyDescent="0.25">
      <c r="A463" s="437" t="e">
        <f>INDEX(Оглавление, ROW())</f>
        <v>#REF!</v>
      </c>
    </row>
    <row r="464" spans="1:1" ht="15.75" x14ac:dyDescent="0.25">
      <c r="A464" s="437" t="e">
        <f>INDEX(Оглавление, ROW())</f>
        <v>#REF!</v>
      </c>
    </row>
    <row r="465" spans="1:1" ht="15.75" x14ac:dyDescent="0.25">
      <c r="A465" s="437" t="e">
        <f>INDEX(Оглавление, ROW())</f>
        <v>#REF!</v>
      </c>
    </row>
    <row r="466" spans="1:1" ht="15.75" x14ac:dyDescent="0.25">
      <c r="A466" s="437" t="e">
        <f>INDEX(Оглавление, ROW())</f>
        <v>#REF!</v>
      </c>
    </row>
    <row r="467" spans="1:1" ht="15.75" x14ac:dyDescent="0.25">
      <c r="A467" s="437" t="e">
        <f>INDEX(Оглавление, ROW())</f>
        <v>#REF!</v>
      </c>
    </row>
    <row r="468" spans="1:1" ht="15.75" x14ac:dyDescent="0.25">
      <c r="A468" s="437" t="e">
        <f>INDEX(Оглавление, ROW())</f>
        <v>#REF!</v>
      </c>
    </row>
    <row r="469" spans="1:1" ht="15.75" x14ac:dyDescent="0.25">
      <c r="A469" s="437" t="e">
        <f>INDEX(Оглавление, ROW())</f>
        <v>#REF!</v>
      </c>
    </row>
    <row r="470" spans="1:1" ht="15.75" x14ac:dyDescent="0.25">
      <c r="A470" s="437" t="e">
        <f>INDEX(Оглавление, ROW())</f>
        <v>#REF!</v>
      </c>
    </row>
    <row r="471" spans="1:1" ht="15.75" x14ac:dyDescent="0.25">
      <c r="A471" s="437" t="e">
        <f>INDEX(Оглавление, ROW())</f>
        <v>#REF!</v>
      </c>
    </row>
    <row r="472" spans="1:1" ht="15.75" x14ac:dyDescent="0.25">
      <c r="A472" s="437" t="e">
        <f>INDEX(Оглавление, ROW())</f>
        <v>#REF!</v>
      </c>
    </row>
    <row r="473" spans="1:1" ht="15.75" x14ac:dyDescent="0.25">
      <c r="A473" s="437" t="e">
        <f>INDEX(Оглавление, ROW())</f>
        <v>#REF!</v>
      </c>
    </row>
    <row r="474" spans="1:1" ht="15.75" x14ac:dyDescent="0.25">
      <c r="A474" s="437" t="e">
        <f>INDEX(Оглавление, ROW())</f>
        <v>#REF!</v>
      </c>
    </row>
    <row r="475" spans="1:1" ht="15.75" x14ac:dyDescent="0.25">
      <c r="A475" s="437" t="e">
        <f>INDEX(Оглавление, ROW())</f>
        <v>#REF!</v>
      </c>
    </row>
    <row r="476" spans="1:1" ht="15.75" x14ac:dyDescent="0.25">
      <c r="A476" s="437" t="e">
        <f>INDEX(Оглавление, ROW())</f>
        <v>#REF!</v>
      </c>
    </row>
    <row r="477" spans="1:1" ht="15.75" x14ac:dyDescent="0.25">
      <c r="A477" s="437" t="e">
        <f>INDEX(Оглавление, ROW())</f>
        <v>#REF!</v>
      </c>
    </row>
    <row r="478" spans="1:1" ht="15.75" x14ac:dyDescent="0.25">
      <c r="A478" s="437" t="e">
        <f>INDEX(Оглавление, ROW())</f>
        <v>#REF!</v>
      </c>
    </row>
    <row r="479" spans="1:1" ht="15.75" x14ac:dyDescent="0.25">
      <c r="A479" s="437" t="e">
        <f>INDEX(Оглавление, ROW())</f>
        <v>#REF!</v>
      </c>
    </row>
    <row r="480" spans="1:1" ht="15.75" x14ac:dyDescent="0.25">
      <c r="A480" s="437" t="e">
        <f>INDEX(Оглавление, ROW())</f>
        <v>#REF!</v>
      </c>
    </row>
    <row r="481" spans="1:1" ht="15.75" x14ac:dyDescent="0.25">
      <c r="A481" s="437" t="e">
        <f>INDEX(Оглавление, ROW())</f>
        <v>#REF!</v>
      </c>
    </row>
    <row r="482" spans="1:1" ht="15.75" x14ac:dyDescent="0.25">
      <c r="A482" s="437" t="e">
        <f>INDEX(Оглавление, ROW())</f>
        <v>#REF!</v>
      </c>
    </row>
    <row r="483" spans="1:1" ht="15.75" x14ac:dyDescent="0.25">
      <c r="A483" s="437" t="e">
        <f>INDEX(Оглавление, ROW())</f>
        <v>#REF!</v>
      </c>
    </row>
    <row r="484" spans="1:1" ht="15.75" x14ac:dyDescent="0.25">
      <c r="A484" s="437" t="e">
        <f>INDEX(Оглавление, ROW())</f>
        <v>#REF!</v>
      </c>
    </row>
    <row r="485" spans="1:1" ht="15.75" x14ac:dyDescent="0.25">
      <c r="A485" s="437" t="e">
        <f>INDEX(Оглавление, ROW())</f>
        <v>#REF!</v>
      </c>
    </row>
    <row r="486" spans="1:1" ht="15.75" x14ac:dyDescent="0.25">
      <c r="A486" s="437" t="e">
        <f>INDEX(Оглавление, ROW())</f>
        <v>#REF!</v>
      </c>
    </row>
    <row r="487" spans="1:1" ht="15.75" x14ac:dyDescent="0.25">
      <c r="A487" s="437" t="e">
        <f>INDEX(Оглавление, ROW())</f>
        <v>#REF!</v>
      </c>
    </row>
    <row r="488" spans="1:1" ht="15.75" x14ac:dyDescent="0.25">
      <c r="A488" s="437" t="e">
        <f>INDEX(Оглавление, ROW())</f>
        <v>#REF!</v>
      </c>
    </row>
    <row r="489" spans="1:1" ht="15.75" x14ac:dyDescent="0.25">
      <c r="A489" s="437" t="e">
        <f>INDEX(Оглавление, ROW())</f>
        <v>#REF!</v>
      </c>
    </row>
    <row r="490" spans="1:1" ht="15.75" x14ac:dyDescent="0.25">
      <c r="A490" s="437" t="e">
        <f>INDEX(Оглавление, ROW())</f>
        <v>#REF!</v>
      </c>
    </row>
    <row r="491" spans="1:1" ht="15.75" x14ac:dyDescent="0.25">
      <c r="A491" s="437" t="e">
        <f>INDEX(Оглавление, ROW())</f>
        <v>#REF!</v>
      </c>
    </row>
    <row r="492" spans="1:1" ht="15.75" x14ac:dyDescent="0.25">
      <c r="A492" s="437" t="e">
        <f>INDEX(Оглавление, ROW())</f>
        <v>#REF!</v>
      </c>
    </row>
    <row r="493" spans="1:1" ht="15.75" x14ac:dyDescent="0.25">
      <c r="A493" s="437" t="e">
        <f>INDEX(Оглавление, ROW())</f>
        <v>#REF!</v>
      </c>
    </row>
    <row r="494" spans="1:1" ht="15.75" x14ac:dyDescent="0.25">
      <c r="A494" s="437" t="e">
        <f>INDEX(Оглавление, ROW())</f>
        <v>#REF!</v>
      </c>
    </row>
    <row r="495" spans="1:1" ht="15.75" x14ac:dyDescent="0.25">
      <c r="A495" s="437" t="e">
        <f>INDEX(Оглавление, ROW())</f>
        <v>#REF!</v>
      </c>
    </row>
    <row r="496" spans="1:1" ht="15.75" x14ac:dyDescent="0.25">
      <c r="A496" s="437" t="e">
        <f>INDEX(Оглавление, ROW())</f>
        <v>#REF!</v>
      </c>
    </row>
    <row r="497" spans="1:1" ht="15.75" x14ac:dyDescent="0.25">
      <c r="A497" s="437" t="e">
        <f>INDEX(Оглавление, ROW())</f>
        <v>#REF!</v>
      </c>
    </row>
    <row r="498" spans="1:1" ht="15.75" x14ac:dyDescent="0.25">
      <c r="A498" s="437" t="e">
        <f>INDEX(Оглавление, ROW())</f>
        <v>#REF!</v>
      </c>
    </row>
    <row r="499" spans="1:1" ht="15.75" x14ac:dyDescent="0.25">
      <c r="A499" s="437" t="e">
        <f>INDEX(Оглавление, ROW())</f>
        <v>#REF!</v>
      </c>
    </row>
    <row r="500" spans="1:1" ht="15.75" x14ac:dyDescent="0.25">
      <c r="A500" s="437" t="e">
        <f>INDEX(Оглавление, ROW())</f>
        <v>#REF!</v>
      </c>
    </row>
    <row r="501" spans="1:1" ht="15.75" x14ac:dyDescent="0.25">
      <c r="A501" s="437" t="e">
        <f>INDEX(Оглавление, ROW())</f>
        <v>#REF!</v>
      </c>
    </row>
    <row r="502" spans="1:1" ht="15.75" x14ac:dyDescent="0.25">
      <c r="A502" s="437" t="e">
        <f>INDEX(Оглавление, ROW())</f>
        <v>#REF!</v>
      </c>
    </row>
    <row r="503" spans="1:1" ht="15.75" x14ac:dyDescent="0.25">
      <c r="A503" s="437" t="e">
        <f>INDEX(Оглавление, ROW())</f>
        <v>#REF!</v>
      </c>
    </row>
    <row r="504" spans="1:1" ht="15.75" x14ac:dyDescent="0.25">
      <c r="A504" s="437" t="e">
        <f>INDEX(Оглавление, ROW())</f>
        <v>#REF!</v>
      </c>
    </row>
    <row r="505" spans="1:1" ht="15.75" x14ac:dyDescent="0.25">
      <c r="A505" s="437" t="e">
        <f>INDEX(Оглавление, ROW())</f>
        <v>#REF!</v>
      </c>
    </row>
    <row r="506" spans="1:1" ht="15.75" x14ac:dyDescent="0.25">
      <c r="A506" s="437" t="e">
        <f>INDEX(Оглавление, ROW())</f>
        <v>#REF!</v>
      </c>
    </row>
    <row r="507" spans="1:1" ht="15.75" x14ac:dyDescent="0.25">
      <c r="A507" s="437" t="e">
        <f>INDEX(Оглавление, ROW())</f>
        <v>#REF!</v>
      </c>
    </row>
    <row r="508" spans="1:1" ht="15.75" x14ac:dyDescent="0.25">
      <c r="A508" s="437" t="e">
        <f>INDEX(Оглавление, ROW())</f>
        <v>#REF!</v>
      </c>
    </row>
    <row r="509" spans="1:1" ht="15.75" x14ac:dyDescent="0.25">
      <c r="A509" s="437" t="e">
        <f>INDEX(Оглавление, ROW())</f>
        <v>#REF!</v>
      </c>
    </row>
    <row r="510" spans="1:1" ht="15.75" x14ac:dyDescent="0.25">
      <c r="A510" s="437" t="e">
        <f>INDEX(Оглавление, ROW())</f>
        <v>#REF!</v>
      </c>
    </row>
    <row r="511" spans="1:1" ht="15.75" x14ac:dyDescent="0.25">
      <c r="A511" s="437" t="e">
        <f>INDEX(Оглавление, ROW())</f>
        <v>#REF!</v>
      </c>
    </row>
    <row r="512" spans="1:1" ht="15.75" x14ac:dyDescent="0.25">
      <c r="A512" s="437" t="e">
        <f>INDEX(Оглавление, ROW())</f>
        <v>#REF!</v>
      </c>
    </row>
    <row r="513" spans="1:1" ht="15.75" x14ac:dyDescent="0.25">
      <c r="A513" s="437" t="e">
        <f>INDEX(Оглавление, ROW())</f>
        <v>#REF!</v>
      </c>
    </row>
    <row r="514" spans="1:1" ht="15.75" x14ac:dyDescent="0.25">
      <c r="A514" s="437" t="e">
        <f>INDEX(Оглавление, ROW())</f>
        <v>#REF!</v>
      </c>
    </row>
    <row r="515" spans="1:1" ht="15.75" x14ac:dyDescent="0.25">
      <c r="A515" s="437" t="e">
        <f>INDEX(Оглавление, ROW())</f>
        <v>#REF!</v>
      </c>
    </row>
    <row r="516" spans="1:1" ht="15.75" x14ac:dyDescent="0.25">
      <c r="A516" s="437" t="e">
        <f>INDEX(Оглавление, ROW())</f>
        <v>#REF!</v>
      </c>
    </row>
    <row r="517" spans="1:1" ht="15.75" x14ac:dyDescent="0.25">
      <c r="A517" s="437" t="e">
        <f>INDEX(Оглавление, ROW())</f>
        <v>#REF!</v>
      </c>
    </row>
    <row r="518" spans="1:1" ht="15.75" x14ac:dyDescent="0.25">
      <c r="A518" s="437" t="e">
        <f>INDEX(Оглавление, ROW())</f>
        <v>#REF!</v>
      </c>
    </row>
    <row r="519" spans="1:1" ht="15.75" x14ac:dyDescent="0.25">
      <c r="A519" s="437" t="e">
        <f>INDEX(Оглавление, ROW())</f>
        <v>#REF!</v>
      </c>
    </row>
    <row r="520" spans="1:1" ht="15.75" x14ac:dyDescent="0.25">
      <c r="A520" s="437" t="e">
        <f>INDEX(Оглавление, ROW())</f>
        <v>#REF!</v>
      </c>
    </row>
    <row r="521" spans="1:1" ht="15.75" x14ac:dyDescent="0.25">
      <c r="A521" s="437" t="e">
        <f>INDEX(Оглавление, ROW())</f>
        <v>#REF!</v>
      </c>
    </row>
    <row r="522" spans="1:1" ht="15.75" x14ac:dyDescent="0.25">
      <c r="A522" s="437" t="e">
        <f>INDEX(Оглавление, ROW())</f>
        <v>#REF!</v>
      </c>
    </row>
    <row r="523" spans="1:1" ht="15.75" x14ac:dyDescent="0.25">
      <c r="A523" s="437" t="e">
        <f>INDEX(Оглавление, ROW())</f>
        <v>#REF!</v>
      </c>
    </row>
    <row r="524" spans="1:1" ht="15.75" x14ac:dyDescent="0.25">
      <c r="A524" s="437" t="e">
        <f>INDEX(Оглавление, ROW())</f>
        <v>#REF!</v>
      </c>
    </row>
    <row r="525" spans="1:1" ht="15.75" x14ac:dyDescent="0.25">
      <c r="A525" s="437" t="e">
        <f>INDEX(Оглавление, ROW())</f>
        <v>#REF!</v>
      </c>
    </row>
    <row r="526" spans="1:1" ht="15.75" x14ac:dyDescent="0.25">
      <c r="A526" s="437" t="e">
        <f>INDEX(Оглавление, ROW())</f>
        <v>#REF!</v>
      </c>
    </row>
    <row r="527" spans="1:1" ht="15.75" x14ac:dyDescent="0.25">
      <c r="A527" s="437" t="e">
        <f>INDEX(Оглавление, ROW())</f>
        <v>#REF!</v>
      </c>
    </row>
    <row r="528" spans="1:1" ht="15.75" x14ac:dyDescent="0.25">
      <c r="A528" s="437" t="e">
        <f>INDEX(Оглавление, ROW())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185</vt:i4>
      </vt:variant>
      <vt:variant>
        <vt:lpstr>Именованные диапазоны</vt:lpstr>
      </vt:variant>
      <vt:variant>
        <vt:i4>61</vt:i4>
      </vt:variant>
    </vt:vector>
  </HeadingPairs>
  <TitlesOfParts>
    <vt:vector size="246" baseType="lpstr">
      <vt:lpstr>Цены на 13.01.2017</vt:lpstr>
      <vt:lpstr>Цены на 01.02.2017</vt:lpstr>
      <vt:lpstr>Цены на 01.03.2017</vt:lpstr>
      <vt:lpstr>Цены на 13.03.2017</vt:lpstr>
      <vt:lpstr>Цены на 26.03.2017</vt:lpstr>
      <vt:lpstr>Цены на 03.04.2017</vt:lpstr>
      <vt:lpstr>Цены на 11.04.2017</vt:lpstr>
      <vt:lpstr>Цены на 17.04.2017</vt:lpstr>
      <vt:lpstr>Цены на 18.05.2017</vt:lpstr>
      <vt:lpstr>Цены на 02.06.2017</vt:lpstr>
      <vt:lpstr>Цены на 06.07.2017</vt:lpstr>
      <vt:lpstr>Цены на 07.08.2017</vt:lpstr>
      <vt:lpstr>Цены на 31.08.2017</vt:lpstr>
      <vt:lpstr>Цены на 25.09.2017</vt:lpstr>
      <vt:lpstr>Цены на 12.10.2017</vt:lpstr>
      <vt:lpstr>Цены на 15.11.2017</vt:lpstr>
      <vt:lpstr>Цены на 22.11.2017</vt:lpstr>
      <vt:lpstr>Цены на 27.11.2017</vt:lpstr>
      <vt:lpstr>Цены на 04.12.2017</vt:lpstr>
      <vt:lpstr>Цены на 11.12.2017</vt:lpstr>
      <vt:lpstr>Цены на 18.12.2017</vt:lpstr>
      <vt:lpstr>Цены на 26.12.2017</vt:lpstr>
      <vt:lpstr>Цены на 03.01.2018</vt:lpstr>
      <vt:lpstr>Цены на 08.01.2018</vt:lpstr>
      <vt:lpstr>Цены на 15.01.2018</vt:lpstr>
      <vt:lpstr>Цены на 22.01.2018</vt:lpstr>
      <vt:lpstr>Цены на 29.01.2018</vt:lpstr>
      <vt:lpstr>Цены на 05.02.2018</vt:lpstr>
      <vt:lpstr>Цены на 12.02.2018</vt:lpstr>
      <vt:lpstr>Цены на 19.02.2018</vt:lpstr>
      <vt:lpstr>Цены на 26.02.2018</vt:lpstr>
      <vt:lpstr>Цены на 05.03.2018</vt:lpstr>
      <vt:lpstr>Цены на 12.03.2018</vt:lpstr>
      <vt:lpstr>Цены на 19.03.2018 (2)</vt:lpstr>
      <vt:lpstr>Цены на 26.03.2018 (3)</vt:lpstr>
      <vt:lpstr>Цены на 02.04.2018</vt:lpstr>
      <vt:lpstr>Цены на 09.04.2018</vt:lpstr>
      <vt:lpstr>Цены на 13.04.2018</vt:lpstr>
      <vt:lpstr>Цены на 18.04.2018</vt:lpstr>
      <vt:lpstr>Цены на 20.04.2018</vt:lpstr>
      <vt:lpstr>Цены на 23.04.2018</vt:lpstr>
      <vt:lpstr>Цены на 25.04.2018</vt:lpstr>
      <vt:lpstr>Цены на 02.05.2018</vt:lpstr>
      <vt:lpstr>Цены на 07.05.2018</vt:lpstr>
      <vt:lpstr>Цены на 14.05.2018</vt:lpstr>
      <vt:lpstr>Цены на 17.05.2018</vt:lpstr>
      <vt:lpstr>Цены на 21.05.2018</vt:lpstr>
      <vt:lpstr>Цены на 28.05.2018</vt:lpstr>
      <vt:lpstr>Цены на 31.05.2018</vt:lpstr>
      <vt:lpstr>Цены на 03.06.2018</vt:lpstr>
      <vt:lpstr>Цены на 11.06.2018</vt:lpstr>
      <vt:lpstr>Цены на 18.06.2018</vt:lpstr>
      <vt:lpstr>Цены на 25.06.2018</vt:lpstr>
      <vt:lpstr>Цены на 04.07.2018</vt:lpstr>
      <vt:lpstr>Цены на 09.07.2018</vt:lpstr>
      <vt:lpstr>Цены на 16.07.2018</vt:lpstr>
      <vt:lpstr>Цены на 23.07.2018</vt:lpstr>
      <vt:lpstr>Цены на 30.07.2018</vt:lpstr>
      <vt:lpstr>Цены на 06.08.2018</vt:lpstr>
      <vt:lpstr>Цены на 13.08.2018</vt:lpstr>
      <vt:lpstr>Цены на 20.08.2018</vt:lpstr>
      <vt:lpstr>Цены на 27.08.2018</vt:lpstr>
      <vt:lpstr>Цены на 03.09.2018</vt:lpstr>
      <vt:lpstr>Цены  на 10.09.2018</vt:lpstr>
      <vt:lpstr>Цены на 17.09.2018</vt:lpstr>
      <vt:lpstr>Цены на 24.09.2018</vt:lpstr>
      <vt:lpstr>Цены на 01.10.2018</vt:lpstr>
      <vt:lpstr>Цены на 08.10.2018</vt:lpstr>
      <vt:lpstr>Цены на 15.10.2018</vt:lpstr>
      <vt:lpstr>Цены на 22.10.2018</vt:lpstr>
      <vt:lpstr>Цены на 29.10.2018</vt:lpstr>
      <vt:lpstr>Цены на 05.11.2018</vt:lpstr>
      <vt:lpstr>Цены на 12.11.2018</vt:lpstr>
      <vt:lpstr>Цены на 19.11.2018</vt:lpstr>
      <vt:lpstr>Цены на 26.11.2018</vt:lpstr>
      <vt:lpstr>Цены на 03.12.2018</vt:lpstr>
      <vt:lpstr>Цены на 10.12.2018</vt:lpstr>
      <vt:lpstr>Цены на 17.12.2018</vt:lpstr>
      <vt:lpstr>Цены на 27.12.2018</vt:lpstr>
      <vt:lpstr>Цены на 02.01.2019</vt:lpstr>
      <vt:lpstr>Цены на 08.01.2019</vt:lpstr>
      <vt:lpstr>Цены на 14.01.2019</vt:lpstr>
      <vt:lpstr>Цены на 21.01.2019</vt:lpstr>
      <vt:lpstr>Цены на 28.01.2019</vt:lpstr>
      <vt:lpstr>Цены на 04.02.2019</vt:lpstr>
      <vt:lpstr>Цены на 11.02.2019</vt:lpstr>
      <vt:lpstr>Цены на 18.02.2019</vt:lpstr>
      <vt:lpstr>Цены на 25.02.2019</vt:lpstr>
      <vt:lpstr>Цены на 04.03.2019</vt:lpstr>
      <vt:lpstr>Цены на 11.03.2019</vt:lpstr>
      <vt:lpstr>Цены на 18.03.2019</vt:lpstr>
      <vt:lpstr>Цены на 25.03.2019</vt:lpstr>
      <vt:lpstr>Цены на 01.04.2019</vt:lpstr>
      <vt:lpstr>Цены на 08.04.2019</vt:lpstr>
      <vt:lpstr>Цены на 15.04.2019</vt:lpstr>
      <vt:lpstr>Цены на 22.04.2019</vt:lpstr>
      <vt:lpstr>Цены на 29.04.2019</vt:lpstr>
      <vt:lpstr>Цены на 10.05.2019</vt:lpstr>
      <vt:lpstr>Цены на 20.05.2019</vt:lpstr>
      <vt:lpstr>Цены на 27.05.2019</vt:lpstr>
      <vt:lpstr>Цены на 03.06.2019</vt:lpstr>
      <vt:lpstr>Цены на 10.06.2019</vt:lpstr>
      <vt:lpstr>Цены на 17.06.2019</vt:lpstr>
      <vt:lpstr>Цены на 24.06.2019</vt:lpstr>
      <vt:lpstr>Цены на 01.07.2019</vt:lpstr>
      <vt:lpstr>Цены на 08.07.2019</vt:lpstr>
      <vt:lpstr>Цены на 15.07.2019</vt:lpstr>
      <vt:lpstr>Цены на 22.07.2019</vt:lpstr>
      <vt:lpstr>Цены на 29.07.2019</vt:lpstr>
      <vt:lpstr>Цены на 05.08.2019</vt:lpstr>
      <vt:lpstr>Цены на 12.08.2019</vt:lpstr>
      <vt:lpstr>Цены на 19.08.2019</vt:lpstr>
      <vt:lpstr>Цены на 26.08.2019</vt:lpstr>
      <vt:lpstr>Цены на 02.09.2019</vt:lpstr>
      <vt:lpstr>Цены на 09.09.2019</vt:lpstr>
      <vt:lpstr>Цены на 16.09.2019</vt:lpstr>
      <vt:lpstr>Цены на 22.09.2019</vt:lpstr>
      <vt:lpstr>Цены на 29.09.2019</vt:lpstr>
      <vt:lpstr>Цены на 07.10.2019</vt:lpstr>
      <vt:lpstr>Цены на 14.10.2019</vt:lpstr>
      <vt:lpstr>Цены на 21.10.2019</vt:lpstr>
      <vt:lpstr>Цены на 28.10.2019</vt:lpstr>
      <vt:lpstr>Цены на 04.11.2019</vt:lpstr>
      <vt:lpstr>Цены на 11.11.2019</vt:lpstr>
      <vt:lpstr>Цены на 18.11.2019</vt:lpstr>
      <vt:lpstr>Цены на 25.11.2019</vt:lpstr>
      <vt:lpstr>Цены на 02.12.2019</vt:lpstr>
      <vt:lpstr>Цены на 09.12.2019</vt:lpstr>
      <vt:lpstr>Цены на 16.12.2019</vt:lpstr>
      <vt:lpstr>Цены на 23.12.2019</vt:lpstr>
      <vt:lpstr>Цены на 30.12.2019</vt:lpstr>
      <vt:lpstr>Цены на 08.01.2020</vt:lpstr>
      <vt:lpstr>Цены на 13.01.2020</vt:lpstr>
      <vt:lpstr>Цены на 20.01.2020</vt:lpstr>
      <vt:lpstr>Цены на 27.01.2020</vt:lpstr>
      <vt:lpstr>Цены на 03.02.2020</vt:lpstr>
      <vt:lpstr>Цены на 10.02.2020</vt:lpstr>
      <vt:lpstr>Цены на 17.02.2020</vt:lpstr>
      <vt:lpstr>Цены на 24.02.2020</vt:lpstr>
      <vt:lpstr>Цены на 02.03.2020</vt:lpstr>
      <vt:lpstr>Цены на 09.03.2020</vt:lpstr>
      <vt:lpstr>Цены на 10.03.2020</vt:lpstr>
      <vt:lpstr>Цены на 16.03.2020</vt:lpstr>
      <vt:lpstr>Цены на 23.03.2020</vt:lpstr>
      <vt:lpstr>Цены на 30.03.2020</vt:lpstr>
      <vt:lpstr>Цены на 06.04.2020</vt:lpstr>
      <vt:lpstr>Цены на 13.04.2020</vt:lpstr>
      <vt:lpstr>Цены на 20.04.2020</vt:lpstr>
      <vt:lpstr>Цены на 29.04.2020</vt:lpstr>
      <vt:lpstr>Цены на 04.05.2020</vt:lpstr>
      <vt:lpstr>Цены на 11.05.2020</vt:lpstr>
      <vt:lpstr>Цены на 18.05.2020</vt:lpstr>
      <vt:lpstr>Цены на 25.05.2020</vt:lpstr>
      <vt:lpstr>Цены на 01.06.2020</vt:lpstr>
      <vt:lpstr>Цены на 08.06.2020</vt:lpstr>
      <vt:lpstr>Цены на 15.06.2020</vt:lpstr>
      <vt:lpstr>Цены на 22.06.2020</vt:lpstr>
      <vt:lpstr>Цены на 29.06.2020</vt:lpstr>
      <vt:lpstr>Цены на 06.07.2020</vt:lpstr>
      <vt:lpstr>Цены на 13.07.2020</vt:lpstr>
      <vt:lpstr>Цены на 20.07.2020</vt:lpstr>
      <vt:lpstr>Цены на 27.07.2020</vt:lpstr>
      <vt:lpstr>Цены на 03.08.2020</vt:lpstr>
      <vt:lpstr>Цены на 10.08.2020</vt:lpstr>
      <vt:lpstr>Цены на 17.08.2020</vt:lpstr>
      <vt:lpstr>Цены на 24.08.2020</vt:lpstr>
      <vt:lpstr>Цены на 31.08.2020</vt:lpstr>
      <vt:lpstr>Цены на 07.09.2020</vt:lpstr>
      <vt:lpstr>Цены на 14.09.2020</vt:lpstr>
      <vt:lpstr>Цены на 21.09.2020</vt:lpstr>
      <vt:lpstr>Цены на 28.09.2020</vt:lpstr>
      <vt:lpstr>Цены на 05.10.2020</vt:lpstr>
      <vt:lpstr>Цены на 12.10.2020</vt:lpstr>
      <vt:lpstr>Цены на 19.10.2020</vt:lpstr>
      <vt:lpstr>Цены на 26.10.2020</vt:lpstr>
      <vt:lpstr>Цены на 02.11.2020</vt:lpstr>
      <vt:lpstr>Цены на 09.11.2020</vt:lpstr>
      <vt:lpstr>Цены на 16.11.2020</vt:lpstr>
      <vt:lpstr>Цены на 23.11.2020</vt:lpstr>
      <vt:lpstr>Цены на 30.11.2020</vt:lpstr>
      <vt:lpstr>Цены на 07.12.2020</vt:lpstr>
      <vt:lpstr>Цены на 14.12.2020</vt:lpstr>
      <vt:lpstr>Цены на 21.12.2020</vt:lpstr>
      <vt:lpstr>Цены на 28.12.2020</vt:lpstr>
      <vt:lpstr>Свод</vt:lpstr>
      <vt:lpstr>'Цены на 01.02.2017'!Область_печати</vt:lpstr>
      <vt:lpstr>'Цены на 01.03.2017'!Область_печати</vt:lpstr>
      <vt:lpstr>'Цены на 02.04.2018'!Область_печати</vt:lpstr>
      <vt:lpstr>'Цены на 02.05.2018'!Область_печати</vt:lpstr>
      <vt:lpstr>'Цены на 02.06.2017'!Область_печати</vt:lpstr>
      <vt:lpstr>'Цены на 03.01.2018'!Область_печати</vt:lpstr>
      <vt:lpstr>'Цены на 03.04.2017'!Область_печати</vt:lpstr>
      <vt:lpstr>'Цены на 03.06.2018'!Область_печати</vt:lpstr>
      <vt:lpstr>'Цены на 04.07.2018'!Область_печати</vt:lpstr>
      <vt:lpstr>'Цены на 04.12.2017'!Область_печати</vt:lpstr>
      <vt:lpstr>'Цены на 05.02.2018'!Область_печати</vt:lpstr>
      <vt:lpstr>'Цены на 05.03.2018'!Область_печати</vt:lpstr>
      <vt:lpstr>'Цены на 06.07.2017'!Область_печати</vt:lpstr>
      <vt:lpstr>'Цены на 06.08.2018'!Область_печати</vt:lpstr>
      <vt:lpstr>'Цены на 07.05.2018'!Область_печати</vt:lpstr>
      <vt:lpstr>'Цены на 07.08.2017'!Область_печати</vt:lpstr>
      <vt:lpstr>'Цены на 08.01.2018'!Область_печати</vt:lpstr>
      <vt:lpstr>'Цены на 09.04.2018'!Область_печати</vt:lpstr>
      <vt:lpstr>'Цены на 09.07.2018'!Область_печати</vt:lpstr>
      <vt:lpstr>'Цены на 11.04.2017'!Область_печати</vt:lpstr>
      <vt:lpstr>'Цены на 11.06.2018'!Область_печати</vt:lpstr>
      <vt:lpstr>'Цены на 11.12.2017'!Область_печати</vt:lpstr>
      <vt:lpstr>'Цены на 12.02.2018'!Область_печати</vt:lpstr>
      <vt:lpstr>'Цены на 12.03.2018'!Область_печати</vt:lpstr>
      <vt:lpstr>'Цены на 12.10.2017'!Область_печати</vt:lpstr>
      <vt:lpstr>'Цены на 13.01.2017'!Область_печати</vt:lpstr>
      <vt:lpstr>'Цены на 13.03.2017'!Область_печати</vt:lpstr>
      <vt:lpstr>'Цены на 13.04.2018'!Область_печати</vt:lpstr>
      <vt:lpstr>'Цены на 13.08.2018'!Область_печати</vt:lpstr>
      <vt:lpstr>'Цены на 14.05.2018'!Область_печати</vt:lpstr>
      <vt:lpstr>'Цены на 15.01.2018'!Область_печати</vt:lpstr>
      <vt:lpstr>'Цены на 15.11.2017'!Область_печати</vt:lpstr>
      <vt:lpstr>'Цены на 16.07.2018'!Область_печати</vt:lpstr>
      <vt:lpstr>'Цены на 17.04.2017'!Область_печати</vt:lpstr>
      <vt:lpstr>'Цены на 17.05.2018'!Область_печати</vt:lpstr>
      <vt:lpstr>'Цены на 18.04.2018'!Область_печати</vt:lpstr>
      <vt:lpstr>'Цены на 18.05.2017'!Область_печати</vt:lpstr>
      <vt:lpstr>'Цены на 18.06.2018'!Область_печати</vt:lpstr>
      <vt:lpstr>'Цены на 18.12.2017'!Область_печати</vt:lpstr>
      <vt:lpstr>'Цены на 19.02.2018'!Область_печати</vt:lpstr>
      <vt:lpstr>'Цены на 19.03.2018 (2)'!Область_печати</vt:lpstr>
      <vt:lpstr>'Цены на 20.04.2018'!Область_печати</vt:lpstr>
      <vt:lpstr>'Цены на 20.08.2018'!Область_печати</vt:lpstr>
      <vt:lpstr>'Цены на 21.05.2018'!Область_печати</vt:lpstr>
      <vt:lpstr>'Цены на 22.01.2018'!Область_печати</vt:lpstr>
      <vt:lpstr>'Цены на 22.11.2017'!Область_печати</vt:lpstr>
      <vt:lpstr>'Цены на 23.04.2018'!Область_печати</vt:lpstr>
      <vt:lpstr>'Цены на 23.07.2018'!Область_печати</vt:lpstr>
      <vt:lpstr>'Цены на 25.04.2018'!Область_печати</vt:lpstr>
      <vt:lpstr>'Цены на 25.06.2018'!Область_печати</vt:lpstr>
      <vt:lpstr>'Цены на 25.09.2017'!Область_печати</vt:lpstr>
      <vt:lpstr>'Цены на 26.02.2018'!Область_печати</vt:lpstr>
      <vt:lpstr>'Цены на 26.03.2017'!Область_печати</vt:lpstr>
      <vt:lpstr>'Цены на 26.03.2018 (3)'!Область_печати</vt:lpstr>
      <vt:lpstr>'Цены на 26.12.2017'!Область_печати</vt:lpstr>
      <vt:lpstr>'Цены на 27.11.2017'!Область_печати</vt:lpstr>
      <vt:lpstr>'Цены на 28.05.2018'!Область_печати</vt:lpstr>
      <vt:lpstr>'Цены на 29.01.2018'!Область_печати</vt:lpstr>
      <vt:lpstr>'Цены на 30.07.2018'!Область_печати</vt:lpstr>
      <vt:lpstr>'Цены на 31.05.2018'!Область_печати</vt:lpstr>
      <vt:lpstr>'Цены на 31.08.2017'!Область_печати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Поташенко Александр Михайлович</dc:creator>
  <cp:lastModifiedBy>Екименко Алексей Николаевич</cp:lastModifiedBy>
  <cp:lastPrinted>2020-04-13T07:02:24Z</cp:lastPrinted>
  <dcterms:created xsi:type="dcterms:W3CDTF">2018-10-22T07:52:03Z</dcterms:created>
  <dcterms:modified xsi:type="dcterms:W3CDTF">2020-12-31T06:32:03Z</dcterms:modified>
</cp:coreProperties>
</file>