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Blad1!$B$2:$J$67</definedName>
  </definedNames>
  <calcPr calcId="145621"/>
</workbook>
</file>

<file path=xl/calcChain.xml><?xml version="1.0" encoding="utf-8"?>
<calcChain xmlns="http://schemas.openxmlformats.org/spreadsheetml/2006/main">
  <c r="H56" i="1" l="1"/>
  <c r="F65" i="1" l="1"/>
  <c r="I65" i="1"/>
  <c r="I61" i="1"/>
  <c r="G50" i="1" l="1"/>
  <c r="G49" i="1" s="1"/>
  <c r="F50" i="1"/>
  <c r="G43" i="1"/>
  <c r="G42" i="1" s="1"/>
  <c r="F43" i="1"/>
  <c r="F42" i="1" s="1"/>
  <c r="H42" i="1" s="1"/>
  <c r="G27" i="1"/>
  <c r="G26" i="1"/>
  <c r="F27" i="1"/>
  <c r="F26" i="1"/>
  <c r="F24" i="1"/>
  <c r="G5" i="1"/>
  <c r="F5" i="1"/>
  <c r="F4" i="1" s="1"/>
  <c r="G4" i="1"/>
  <c r="I42" i="1"/>
  <c r="G25" i="1" l="1"/>
  <c r="F63" i="1"/>
  <c r="H61" i="1" l="1"/>
  <c r="F58" i="1"/>
  <c r="I56" i="1" s="1"/>
  <c r="F51" i="1"/>
  <c r="F37" i="1"/>
  <c r="F28" i="1"/>
  <c r="G56" i="1"/>
  <c r="H23" i="2"/>
  <c r="G23" i="2"/>
  <c r="H20" i="2"/>
  <c r="H19" i="2" s="1"/>
  <c r="G19" i="2"/>
  <c r="H16" i="2"/>
  <c r="H15" i="2"/>
  <c r="G15" i="2"/>
  <c r="G11" i="2"/>
  <c r="H8" i="2"/>
  <c r="H7" i="2"/>
  <c r="H6" i="2" s="1"/>
  <c r="G6" i="2"/>
  <c r="F56" i="1"/>
  <c r="E25" i="1"/>
  <c r="E35" i="1"/>
  <c r="E49" i="1"/>
  <c r="E42" i="1"/>
  <c r="I49" i="1" l="1"/>
  <c r="F49" i="1"/>
  <c r="H49" i="1" s="1"/>
  <c r="I25" i="1"/>
  <c r="F25" i="1"/>
  <c r="H25" i="1" s="1"/>
  <c r="H35" i="1"/>
  <c r="I35" i="1"/>
  <c r="E56" i="1"/>
  <c r="E4" i="1"/>
  <c r="F7" i="1"/>
  <c r="I4" i="1" l="1"/>
  <c r="I1" i="1" s="1"/>
  <c r="H4" i="1"/>
</calcChain>
</file>

<file path=xl/comments1.xml><?xml version="1.0" encoding="utf-8"?>
<comments xmlns="http://schemas.openxmlformats.org/spreadsheetml/2006/main">
  <authors>
    <author>Author</author>
  </authors>
  <commentLis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APIS/DAVIS/VIP</t>
        </r>
      </text>
    </comment>
    <comment ref="F10" authorId="0">
      <text>
        <r>
          <rPr>
            <b/>
            <sz val="9"/>
            <color indexed="81"/>
            <rFont val="Tahoma"/>
            <family val="2"/>
            <charset val="238"/>
          </rPr>
          <t>Author:
It can be done together with Redesign! The effort is about 2 Sprints. But rather should be covered by Redesign or together with redesign.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Would be good to contact Bastian (15-20)
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Maybe we won't need to do it (10-40)
</t>
        </r>
      </text>
    </comment>
    <comment ref="D15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Not sure how to estimate that
</t>
        </r>
      </text>
    </comment>
    <comment ref="D2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Could be Technical improvenet issue</t>
        </r>
      </text>
    </comment>
    <comment ref="F2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Uncertain</t>
        </r>
      </text>
    </comment>
    <comment ref="F23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(15-20)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Ovehead of all activities around
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15% of the time
</t>
        </r>
      </text>
    </comment>
    <comment ref="F2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We can rely on iPass initial implementation</t>
        </r>
      </text>
    </comment>
    <comment ref="F32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Big Effort - it will be ongoing in next years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It is hard to estimate - it is a 21 processes that need to be done. Architecture need to be defined. 1 process could be delivered even in 6 Sprints.</t>
        </r>
      </text>
    </comment>
    <comment ref="F3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Rely on iPas implementation</t>
        </r>
      </text>
    </comment>
    <comment ref="F3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waiting and communication, testing
 time</t>
        </r>
      </text>
    </comment>
    <comment ref="F4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Assumption: model and response stays the same.
If we need to also reimplement endpoints - so 60.</t>
        </r>
      </text>
    </comment>
    <comment ref="F44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We have 1 process almost ready, we need to implement 3 more, it is based on experience. (collaboration and overhead icluded)</t>
        </r>
      </text>
    </comment>
    <comment ref="F54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Hard to estimate. Need to contact T.Zachar, M. Fahnrich, how many changes can affect the processes - what is the impact ? 
</t>
        </r>
      </text>
    </comment>
    <comment ref="I65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Guestimation - don't know the real scope. Consulted with Marcel Fahnrich - it his estimation
</t>
        </r>
      </text>
    </comment>
    <comment ref="F67" authorId="0">
      <text>
        <r>
          <rPr>
            <b/>
            <sz val="9"/>
            <color indexed="81"/>
            <rFont val="Tahoma"/>
            <family val="2"/>
            <charset val="238"/>
          </rPr>
          <t>Author:
It can be done together with Redesign! The effort is about 2 Sprints. But rather should be covered by Redesign or together with redesign.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<sst xmlns="http://schemas.openxmlformats.org/spreadsheetml/2006/main" count="108" uniqueCount="74">
  <si>
    <t>Epic names</t>
  </si>
  <si>
    <t>WebCon 2017</t>
  </si>
  <si>
    <t>Technical Improvements</t>
  </si>
  <si>
    <t>Prio</t>
  </si>
  <si>
    <t>DAVIS</t>
  </si>
  <si>
    <t>Customer Journey</t>
  </si>
  <si>
    <t>Rebranding</t>
  </si>
  <si>
    <t>iService</t>
  </si>
  <si>
    <t>The Rest</t>
  </si>
  <si>
    <t>Features</t>
  </si>
  <si>
    <t>Standard</t>
  </si>
  <si>
    <t>Refactoring</t>
  </si>
  <si>
    <t xml:space="preserve">Mobile App </t>
  </si>
  <si>
    <t>Apps Factory</t>
  </si>
  <si>
    <t>AVG. Team Speed</t>
  </si>
  <si>
    <t>FrontEnd Rebrush</t>
  </si>
  <si>
    <t>Customer Journey Issues</t>
  </si>
  <si>
    <t>WebKon 2017 BE</t>
  </si>
  <si>
    <t>WebKon 2017 FE</t>
  </si>
  <si>
    <t>ALL Features</t>
  </si>
  <si>
    <t>All Features</t>
  </si>
  <si>
    <t>Number of User Stories so far</t>
  </si>
  <si>
    <t>WebService Connections</t>
  </si>
  <si>
    <t>Current Progress (%)</t>
  </si>
  <si>
    <t>WebTracking ( Views)</t>
  </si>
  <si>
    <t>Common FE for VF.de/KSO</t>
  </si>
  <si>
    <t>DB Connections</t>
  </si>
  <si>
    <t>Security</t>
  </si>
  <si>
    <t>Application Server</t>
  </si>
  <si>
    <t>DB Migration</t>
  </si>
  <si>
    <t>Local Development Env.</t>
  </si>
  <si>
    <t>Jira -&gt; VSTS Board</t>
  </si>
  <si>
    <t>Create Build Pipelines ( CI / CD )</t>
  </si>
  <si>
    <t>Quality Measurements and Assurence ( New Relic/Application Insights)</t>
  </si>
  <si>
    <t>Exchange IDP ( WSO2 )</t>
  </si>
  <si>
    <t>Automated Test Env.</t>
  </si>
  <si>
    <t>Autoscalling Infrastructure</t>
  </si>
  <si>
    <t>CMS Replacement ( Reddot by Hippo )</t>
  </si>
  <si>
    <t>Wiki (Documentation)</t>
  </si>
  <si>
    <t>Workflow</t>
  </si>
  <si>
    <t>Exchange SoapMock with WireMock</t>
  </si>
  <si>
    <t>Soap to REST for Webservices</t>
  </si>
  <si>
    <t>Exchange Stripes/JSP to REST/VUE</t>
  </si>
  <si>
    <t>Microservices Creation ( Configuration Service, Contract Service)</t>
  </si>
  <si>
    <t>Async. XML to Sync. DAVIS</t>
  </si>
  <si>
    <t>Integration in CEP</t>
  </si>
  <si>
    <t>VIP ( SAP CRM/ISU ) to DAVIS</t>
  </si>
  <si>
    <t>MeterReading Service</t>
  </si>
  <si>
    <t>Authorisation Service ( OAUTH2/WSO2)</t>
  </si>
  <si>
    <t>ConsumptionOverview Service</t>
  </si>
  <si>
    <t>AD Connection</t>
  </si>
  <si>
    <t>Smart FAQ</t>
  </si>
  <si>
    <t>Mails via APIS Communication Framework</t>
  </si>
  <si>
    <t>Expected Features</t>
  </si>
  <si>
    <t>Features so Far - based on Jira</t>
  </si>
  <si>
    <t>Estimation (Architect View)</t>
  </si>
  <si>
    <t>Estimation (Second Expert)</t>
  </si>
  <si>
    <t>Expected features</t>
  </si>
  <si>
    <t>FrontEnd Rebrush for this year</t>
  </si>
  <si>
    <t>Features So Far - based on Jira</t>
  </si>
  <si>
    <t>Quality Measurements and Assurence (Sonar/Xray)</t>
  </si>
  <si>
    <t>CSO 3.0 recreation - new layout</t>
  </si>
  <si>
    <t>-</t>
  </si>
  <si>
    <t>Rebrush</t>
  </si>
  <si>
    <t>Redesign</t>
  </si>
  <si>
    <t>Changing layout according to requirements</t>
  </si>
  <si>
    <t>XL</t>
  </si>
  <si>
    <t>L</t>
  </si>
  <si>
    <t>M</t>
  </si>
  <si>
    <t>S</t>
  </si>
  <si>
    <t>The Size</t>
  </si>
  <si>
    <t>Sprints</t>
  </si>
  <si>
    <t>Total:</t>
  </si>
  <si>
    <t>Predicted number of Sprints to Deliver ( 1 Sprint = avg Team spead in SP - C1 )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</si>
</sst>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20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5" fillId="2" borderId="1" applyNumberFormat="0" applyAlignment="0" applyProtection="0"/>
    <xf numFmtId="0" fontId="8" fillId="4" borderId="0" applyNumberFormat="0" applyBorder="0" applyAlignment="0" applyProtection="0"/>
  </cellStyleXfs>
  <cellXfs count="45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8" fillId="4" borderId="0" xfId="2" applyAlignment="1">
      <alignment horizontal="center" vertical="center"/>
    </xf>
    <xf numFmtId="0" fontId="8" fillId="4" borderId="0" xfId="2" applyAlignment="1">
      <alignment horizontal="center"/>
    </xf>
    <xf numFmtId="0" fontId="8" fillId="4" borderId="0" xfId="2"/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horizontal="center"/>
    </xf>
    <xf numFmtId="0" fontId="8" fillId="4" borderId="0" xfId="2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4" borderId="0" xfId="2" applyAlignment="1">
      <alignment vertical="center"/>
    </xf>
    <xf numFmtId="0" fontId="6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5" fillId="3" borderId="1" xfId="1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11" fillId="4" borderId="0" xfId="2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7" fillId="10" borderId="0" xfId="0" applyFont="1" applyFill="1" applyAlignment="1">
      <alignment vertical="center"/>
    </xf>
    <xf numFmtId="0" fontId="13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vertical="center" wrapText="1"/>
    </xf>
    <xf numFmtId="0" fontId="13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vertical="center"/>
    </xf>
  </cellXfs>
  <cellStyles count="3">
    <cellStyle name="Accent1" xfId="2" builtinId="29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Blad1!$I$3</c:f>
              <c:strCache>
                <c:ptCount val="1"/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pl-PL"/>
                      <a:t>XL</a:t>
                    </a:r>
                  </a:p>
                  <a:p>
                    <a:r>
                      <a:rPr lang="pl-PL"/>
                      <a:t>WebKon</a:t>
                    </a:r>
                    <a:r>
                      <a:rPr lang="en-US"/>
                      <a:t>
</a:t>
                    </a:r>
                    <a:r>
                      <a:rPr lang="pl-PL"/>
                      <a:t>26</a:t>
                    </a:r>
                    <a:r>
                      <a:rPr lang="en-US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pl-PL"/>
                      <a:t>M</a:t>
                    </a:r>
                  </a:p>
                  <a:p>
                    <a:r>
                      <a:rPr lang="pl-PL"/>
                      <a:t>Tech</a:t>
                    </a:r>
                    <a:r>
                      <a:rPr lang="pl-PL" baseline="0"/>
                      <a:t> Imp.</a:t>
                    </a:r>
                    <a:r>
                      <a:rPr lang="en-US"/>
                      <a:t>
1</a:t>
                    </a:r>
                    <a:r>
                      <a:rPr lang="pl-PL"/>
                      <a:t>2</a:t>
                    </a:r>
                    <a:r>
                      <a:rPr lang="en-US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1"/>
              <c:layout>
                <c:manualLayout>
                  <c:x val="1.725437445319335E-2"/>
                  <c:y val="1.5220545348498104E-2"/>
                </c:manualLayout>
              </c:layout>
              <c:tx>
                <c:rich>
                  <a:bodyPr/>
                  <a:lstStyle/>
                  <a:p>
                    <a:r>
                      <a:rPr lang="pl-PL"/>
                      <a:t>S</a:t>
                    </a:r>
                  </a:p>
                  <a:p>
                    <a:r>
                      <a:rPr lang="pl-PL"/>
                      <a:t>DAVIS</a:t>
                    </a:r>
                    <a:r>
                      <a:rPr lang="en-US"/>
                      <a:t>
</a:t>
                    </a:r>
                    <a:r>
                      <a:rPr lang="pl-PL"/>
                      <a:t>3</a:t>
                    </a:r>
                    <a:r>
                      <a:rPr lang="en-US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pl-PL"/>
                      <a:t>L</a:t>
                    </a:r>
                  </a:p>
                  <a:p>
                    <a:r>
                      <a:rPr lang="pl-PL"/>
                      <a:t>Mobile</a:t>
                    </a:r>
                    <a:r>
                      <a:rPr lang="pl-PL" baseline="0"/>
                      <a:t> App</a:t>
                    </a:r>
                    <a:r>
                      <a:rPr lang="en-US"/>
                      <a:t>
</a:t>
                    </a:r>
                    <a:r>
                      <a:rPr lang="pl-PL"/>
                      <a:t>19</a:t>
                    </a:r>
                    <a:r>
                      <a:rPr lang="en-US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5"/>
              <c:layout>
                <c:manualLayout>
                  <c:x val="-0.17435375368091921"/>
                  <c:y val="-1.9936053447864471E-3"/>
                </c:manualLayout>
              </c:layout>
              <c:tx>
                <c:rich>
                  <a:bodyPr/>
                  <a:lstStyle/>
                  <a:p>
                    <a:r>
                      <a:rPr lang="pl-PL"/>
                      <a:t>M</a:t>
                    </a:r>
                  </a:p>
                  <a:p>
                    <a:r>
                      <a:rPr lang="pl-PL"/>
                      <a:t>Customer</a:t>
                    </a:r>
                    <a:r>
                      <a:rPr lang="pl-PL" baseline="0"/>
                      <a:t> Journey</a:t>
                    </a:r>
                    <a:r>
                      <a:rPr lang="en-US"/>
                      <a:t>
</a:t>
                    </a:r>
                    <a:r>
                      <a:rPr lang="pl-PL"/>
                      <a:t>8</a:t>
                    </a:r>
                    <a:r>
                      <a:rPr lang="en-US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2"/>
              <c:layout>
                <c:manualLayout>
                  <c:x val="-1.3471854410456301E-2"/>
                  <c:y val="-4.7142543545693152E-2"/>
                </c:manualLayout>
              </c:layout>
              <c:tx>
                <c:rich>
                  <a:bodyPr/>
                  <a:lstStyle/>
                  <a:p>
                    <a:r>
                      <a:rPr lang="pl-PL"/>
                      <a:t>S</a:t>
                    </a:r>
                  </a:p>
                  <a:p>
                    <a:r>
                      <a:rPr lang="pl-PL"/>
                      <a:t>Rebrush</a:t>
                    </a:r>
                    <a:r>
                      <a:rPr lang="en-US"/>
                      <a:t>
</a:t>
                    </a:r>
                    <a:r>
                      <a:rPr lang="pl-PL"/>
                      <a:t>0,2</a:t>
                    </a:r>
                    <a:r>
                      <a:rPr lang="en-US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7"/>
              <c:layout>
                <c:manualLayout>
                  <c:x val="9.1766041662768139E-2"/>
                  <c:y val="7.3325507038892859E-2"/>
                </c:manualLayout>
              </c:layout>
              <c:tx>
                <c:rich>
                  <a:bodyPr/>
                  <a:lstStyle/>
                  <a:p>
                    <a:r>
                      <a:rPr lang="pl-PL"/>
                      <a:t>S</a:t>
                    </a:r>
                  </a:p>
                  <a:p>
                    <a:r>
                      <a:rPr lang="pl-PL"/>
                      <a:t>iService</a:t>
                    </a:r>
                    <a:r>
                      <a:rPr lang="en-US"/>
                      <a:t>
</a:t>
                    </a:r>
                    <a:r>
                      <a:rPr lang="pl-PL"/>
                      <a:t>3</a:t>
                    </a:r>
                    <a:r>
                      <a:rPr lang="en-US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pl-PL"/>
                      <a:t> XL</a:t>
                    </a:r>
                  </a:p>
                  <a:p>
                    <a:r>
                      <a:rPr lang="pl-PL"/>
                      <a:t>Redesign</a:t>
                    </a:r>
                    <a:r>
                      <a:rPr lang="en-US"/>
                      <a:t>
</a:t>
                    </a:r>
                    <a:r>
                      <a:rPr lang="pl-PL"/>
                      <a:t>28</a:t>
                    </a:r>
                    <a:r>
                      <a:rPr lang="en-US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Blad1!$I$4:$I$67</c:f>
              <c:numCache>
                <c:formatCode>General</c:formatCode>
                <c:ptCount val="64"/>
                <c:pt idx="0">
                  <c:v>9.1999999999999993</c:v>
                </c:pt>
                <c:pt idx="21">
                  <c:v>4.0999999999999996</c:v>
                </c:pt>
                <c:pt idx="31">
                  <c:v>1.2000000000000002</c:v>
                </c:pt>
                <c:pt idx="38">
                  <c:v>6.6999999999999993</c:v>
                </c:pt>
                <c:pt idx="45">
                  <c:v>2.9</c:v>
                </c:pt>
                <c:pt idx="52">
                  <c:v>0.2</c:v>
                </c:pt>
                <c:pt idx="57">
                  <c:v>0.9</c:v>
                </c:pt>
                <c:pt idx="61">
                  <c:v>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42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4</xdr:col>
      <xdr:colOff>1724026</xdr:colOff>
      <xdr:row>0</xdr:row>
      <xdr:rowOff>2657475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69"/>
  <sheetViews>
    <sheetView tabSelected="1" zoomScaleNormal="100" workbookViewId="0">
      <selection activeCell="F33" sqref="F33"/>
    </sheetView>
  </sheetViews>
  <sheetFormatPr defaultRowHeight="15" x14ac:dyDescent="0.25"/>
  <cols>
    <col min="2" max="2" width="9.140625" customWidth="1"/>
    <col min="3" max="3" width="19.5703125" customWidth="1"/>
    <col min="4" max="4" width="35.85546875" customWidth="1"/>
    <col min="5" max="5" width="26.140625" bestFit="1" customWidth="1"/>
    <col min="6" max="7" width="17.7109375" customWidth="1"/>
    <col min="8" max="8" width="21.5703125" customWidth="1"/>
    <col min="9" max="9" width="20" customWidth="1"/>
    <col min="10" max="10" width="12.42578125" customWidth="1"/>
  </cols>
  <sheetData>
    <row r="1" spans="2:10" ht="210.75" customHeight="1" thickBot="1" x14ac:dyDescent="0.45">
      <c r="B1" s="12" t="s">
        <v>14</v>
      </c>
      <c r="C1" s="37">
        <v>30</v>
      </c>
      <c r="H1" s="15" t="s">
        <v>72</v>
      </c>
      <c r="I1" s="38">
        <f>SUM(I3:I69)</f>
        <v>35.199999999999996</v>
      </c>
      <c r="J1" s="39" t="s">
        <v>71</v>
      </c>
    </row>
    <row r="2" spans="2:10" ht="55.5" customHeight="1" thickTop="1" thickBot="1" x14ac:dyDescent="0.3">
      <c r="B2" s="32" t="s">
        <v>3</v>
      </c>
      <c r="C2" s="33" t="s">
        <v>0</v>
      </c>
      <c r="D2" s="32" t="s">
        <v>9</v>
      </c>
      <c r="E2" s="32" t="s">
        <v>21</v>
      </c>
      <c r="F2" s="32" t="s">
        <v>55</v>
      </c>
      <c r="G2" s="32" t="s">
        <v>56</v>
      </c>
      <c r="H2" s="34" t="s">
        <v>23</v>
      </c>
      <c r="I2" s="35" t="s">
        <v>73</v>
      </c>
      <c r="J2" s="13" t="s">
        <v>70</v>
      </c>
    </row>
    <row r="3" spans="2:10" ht="15.75" thickTop="1" x14ac:dyDescent="0.25">
      <c r="B3" s="6"/>
      <c r="C3" s="40"/>
      <c r="D3" s="16"/>
      <c r="E3" s="16"/>
      <c r="F3" s="16"/>
      <c r="G3" s="16"/>
      <c r="H3" s="23"/>
      <c r="I3" s="23"/>
      <c r="J3" s="10"/>
    </row>
    <row r="4" spans="2:10" ht="30" customHeight="1" x14ac:dyDescent="0.25">
      <c r="B4" s="6">
        <v>1</v>
      </c>
      <c r="C4" s="41" t="s">
        <v>1</v>
      </c>
      <c r="D4" s="24" t="s">
        <v>54</v>
      </c>
      <c r="E4" s="24">
        <f>SUM(E5:E11)</f>
        <v>50</v>
      </c>
      <c r="F4" s="24">
        <f>ROUNDUP(SUM(F5:F6),1)</f>
        <v>84.4</v>
      </c>
      <c r="G4" s="24">
        <f>ROUNDUP(SUM(G5:G6),1)</f>
        <v>84.4</v>
      </c>
      <c r="H4" s="21">
        <f>ROUNDUP((F4/(F4+F7))*100,1)</f>
        <v>23.6</v>
      </c>
      <c r="I4" s="30">
        <f>ROUNDUP(F7/C1,1)</f>
        <v>9.1999999999999993</v>
      </c>
      <c r="J4" s="14" t="s">
        <v>66</v>
      </c>
    </row>
    <row r="5" spans="2:10" x14ac:dyDescent="0.25">
      <c r="B5" s="6"/>
      <c r="C5" s="42"/>
      <c r="D5" s="25" t="s">
        <v>17</v>
      </c>
      <c r="E5" s="25">
        <v>38</v>
      </c>
      <c r="F5" s="25">
        <f>ROUNDUP(45+13*(45/38),1)</f>
        <v>60.4</v>
      </c>
      <c r="G5" s="25">
        <f>ROUNDUP(45+13*(45/38),1)</f>
        <v>60.4</v>
      </c>
      <c r="H5" s="22"/>
      <c r="I5" s="23"/>
      <c r="J5" s="10"/>
    </row>
    <row r="6" spans="2:10" x14ac:dyDescent="0.25">
      <c r="B6" s="6"/>
      <c r="C6" s="42"/>
      <c r="D6" s="25" t="s">
        <v>18</v>
      </c>
      <c r="E6" s="25">
        <v>12</v>
      </c>
      <c r="F6" s="25">
        <v>24</v>
      </c>
      <c r="G6" s="25">
        <v>24</v>
      </c>
      <c r="H6" s="22"/>
      <c r="I6" s="23"/>
      <c r="J6" s="10"/>
    </row>
    <row r="7" spans="2:10" x14ac:dyDescent="0.25">
      <c r="B7" s="6"/>
      <c r="C7" s="40"/>
      <c r="D7" s="19" t="s">
        <v>53</v>
      </c>
      <c r="E7" s="16"/>
      <c r="F7" s="19">
        <f>SUM(F8:F24)</f>
        <v>274.3</v>
      </c>
      <c r="G7" s="16"/>
      <c r="H7" s="16"/>
      <c r="I7" s="23"/>
      <c r="J7" s="10"/>
    </row>
    <row r="8" spans="2:10" x14ac:dyDescent="0.25">
      <c r="B8" s="6"/>
      <c r="C8" s="42"/>
      <c r="D8" s="16" t="s">
        <v>22</v>
      </c>
      <c r="E8" s="16"/>
      <c r="F8" s="16">
        <v>30</v>
      </c>
      <c r="G8" s="16"/>
      <c r="H8" s="22"/>
      <c r="I8" s="23"/>
      <c r="J8" s="10"/>
    </row>
    <row r="9" spans="2:10" x14ac:dyDescent="0.25">
      <c r="B9" s="6"/>
      <c r="C9" s="42"/>
      <c r="D9" s="16" t="s">
        <v>24</v>
      </c>
      <c r="E9" s="16"/>
      <c r="F9" s="16">
        <v>10</v>
      </c>
      <c r="G9" s="16"/>
      <c r="H9" s="22"/>
      <c r="I9" s="23"/>
      <c r="J9" s="10"/>
    </row>
    <row r="10" spans="2:10" x14ac:dyDescent="0.25">
      <c r="B10" s="6"/>
      <c r="C10" s="42"/>
      <c r="D10" s="20" t="s">
        <v>25</v>
      </c>
      <c r="E10" s="20"/>
      <c r="F10" s="20"/>
      <c r="G10" s="16"/>
      <c r="H10" s="22"/>
      <c r="I10" s="23"/>
      <c r="J10" s="10"/>
    </row>
    <row r="11" spans="2:10" ht="30" x14ac:dyDescent="0.25">
      <c r="B11" s="6"/>
      <c r="C11" s="42"/>
      <c r="D11" s="17" t="s">
        <v>33</v>
      </c>
      <c r="E11" s="16"/>
      <c r="F11" s="16">
        <v>20</v>
      </c>
      <c r="G11" s="16"/>
      <c r="H11" s="22"/>
      <c r="I11" s="23"/>
      <c r="J11" s="10"/>
    </row>
    <row r="12" spans="2:10" x14ac:dyDescent="0.25">
      <c r="B12" s="18"/>
      <c r="C12" s="40"/>
      <c r="D12" s="16" t="s">
        <v>26</v>
      </c>
      <c r="E12" s="16"/>
      <c r="F12" s="16">
        <v>5</v>
      </c>
      <c r="G12" s="16"/>
      <c r="H12" s="23"/>
      <c r="I12" s="23"/>
      <c r="J12" s="10"/>
    </row>
    <row r="13" spans="2:10" x14ac:dyDescent="0.25">
      <c r="B13" s="18"/>
      <c r="C13" s="40"/>
      <c r="D13" s="16" t="s">
        <v>27</v>
      </c>
      <c r="E13" s="16"/>
      <c r="F13" s="16">
        <v>20</v>
      </c>
      <c r="G13" s="16"/>
      <c r="H13" s="23"/>
      <c r="I13" s="23"/>
      <c r="J13" s="10"/>
    </row>
    <row r="14" spans="2:10" x14ac:dyDescent="0.25">
      <c r="B14" s="18"/>
      <c r="C14" s="40"/>
      <c r="D14" s="16" t="s">
        <v>34</v>
      </c>
      <c r="E14" s="16"/>
      <c r="F14" s="16">
        <v>40</v>
      </c>
      <c r="G14" s="16"/>
      <c r="H14" s="23"/>
      <c r="I14" s="23"/>
      <c r="J14" s="10"/>
    </row>
    <row r="15" spans="2:10" x14ac:dyDescent="0.25">
      <c r="B15" s="18"/>
      <c r="C15" s="40"/>
      <c r="D15" s="20" t="s">
        <v>28</v>
      </c>
      <c r="E15" s="20"/>
      <c r="F15" s="20"/>
      <c r="G15" s="16"/>
      <c r="H15" s="23"/>
      <c r="I15" s="23"/>
      <c r="J15" s="10"/>
    </row>
    <row r="16" spans="2:10" x14ac:dyDescent="0.25">
      <c r="B16" s="18"/>
      <c r="C16" s="40"/>
      <c r="D16" s="16" t="s">
        <v>35</v>
      </c>
      <c r="E16" s="16"/>
      <c r="F16" s="16">
        <v>10</v>
      </c>
      <c r="G16" s="16"/>
      <c r="H16" s="23"/>
      <c r="I16" s="23"/>
      <c r="J16" s="10"/>
    </row>
    <row r="17" spans="2:10" x14ac:dyDescent="0.25">
      <c r="B17" s="18"/>
      <c r="C17" s="40"/>
      <c r="D17" s="16" t="s">
        <v>36</v>
      </c>
      <c r="E17" s="16"/>
      <c r="F17" s="16">
        <v>15</v>
      </c>
      <c r="G17" s="16"/>
      <c r="H17" s="23"/>
      <c r="I17" s="23"/>
      <c r="J17" s="10"/>
    </row>
    <row r="18" spans="2:10" x14ac:dyDescent="0.25">
      <c r="B18" s="18"/>
      <c r="C18" s="40"/>
      <c r="D18" s="16" t="s">
        <v>29</v>
      </c>
      <c r="E18" s="16"/>
      <c r="F18" s="16">
        <v>15</v>
      </c>
      <c r="G18" s="16"/>
      <c r="H18" s="23"/>
      <c r="I18" s="23"/>
      <c r="J18" s="10"/>
    </row>
    <row r="19" spans="2:10" x14ac:dyDescent="0.25">
      <c r="B19" s="18"/>
      <c r="C19" s="40"/>
      <c r="D19" s="16" t="s">
        <v>37</v>
      </c>
      <c r="E19" s="16"/>
      <c r="F19" s="16">
        <v>10</v>
      </c>
      <c r="G19" s="16"/>
      <c r="H19" s="23"/>
      <c r="I19" s="23"/>
      <c r="J19" s="10"/>
    </row>
    <row r="20" spans="2:10" x14ac:dyDescent="0.25">
      <c r="B20" s="18"/>
      <c r="C20" s="40"/>
      <c r="D20" s="16" t="s">
        <v>38</v>
      </c>
      <c r="E20" s="16"/>
      <c r="F20" s="16">
        <v>20</v>
      </c>
      <c r="G20" s="16"/>
      <c r="H20" s="23"/>
      <c r="I20" s="23"/>
      <c r="J20" s="10"/>
    </row>
    <row r="21" spans="2:10" x14ac:dyDescent="0.25">
      <c r="B21" s="18"/>
      <c r="C21" s="40"/>
      <c r="D21" s="16" t="s">
        <v>30</v>
      </c>
      <c r="E21" s="16"/>
      <c r="F21" s="16">
        <v>15</v>
      </c>
      <c r="G21" s="16"/>
      <c r="H21" s="23"/>
      <c r="I21" s="23"/>
      <c r="J21" s="10"/>
    </row>
    <row r="22" spans="2:10" x14ac:dyDescent="0.25">
      <c r="B22" s="18"/>
      <c r="C22" s="40"/>
      <c r="D22" s="16" t="s">
        <v>31</v>
      </c>
      <c r="E22" s="16"/>
      <c r="F22" s="16">
        <v>10</v>
      </c>
      <c r="G22" s="16"/>
      <c r="H22" s="23"/>
      <c r="I22" s="23"/>
      <c r="J22" s="10"/>
    </row>
    <row r="23" spans="2:10" x14ac:dyDescent="0.25">
      <c r="B23" s="18"/>
      <c r="C23" s="40"/>
      <c r="D23" s="16" t="s">
        <v>32</v>
      </c>
      <c r="E23" s="16"/>
      <c r="F23" s="16">
        <v>20</v>
      </c>
      <c r="G23" s="16"/>
      <c r="H23" s="23"/>
      <c r="I23" s="23"/>
      <c r="J23" s="10"/>
    </row>
    <row r="24" spans="2:10" x14ac:dyDescent="0.25">
      <c r="B24" s="18"/>
      <c r="C24" s="40"/>
      <c r="D24" s="16" t="s">
        <v>39</v>
      </c>
      <c r="E24" s="16"/>
      <c r="F24" s="16">
        <f>ROUNDUP((240/35)*5,1)</f>
        <v>34.300000000000004</v>
      </c>
      <c r="G24" s="16"/>
      <c r="H24" s="23"/>
      <c r="I24" s="23"/>
      <c r="J24" s="10"/>
    </row>
    <row r="25" spans="2:10" ht="30" x14ac:dyDescent="0.25">
      <c r="B25" s="6">
        <v>2</v>
      </c>
      <c r="C25" s="41" t="s">
        <v>2</v>
      </c>
      <c r="D25" s="24" t="s">
        <v>54</v>
      </c>
      <c r="E25" s="24">
        <f>SUM(E26:E29)</f>
        <v>148</v>
      </c>
      <c r="F25" s="24">
        <f>ROUNDUP(SUM(F26:F30),1)</f>
        <v>425.2</v>
      </c>
      <c r="G25" s="24">
        <f>ROUNDUP(SUM(G26:G30),1)</f>
        <v>279.2</v>
      </c>
      <c r="H25" s="21">
        <f>ROUNDUP((F25/(F25+F28))*100,1)</f>
        <v>77.599999999999994</v>
      </c>
      <c r="I25" s="30">
        <f>ROUNDUP(F28/C1,1)</f>
        <v>4.0999999999999996</v>
      </c>
      <c r="J25" s="14" t="s">
        <v>68</v>
      </c>
    </row>
    <row r="26" spans="2:10" x14ac:dyDescent="0.25">
      <c r="B26" s="6"/>
      <c r="C26" s="42"/>
      <c r="D26" s="25" t="s">
        <v>10</v>
      </c>
      <c r="E26" s="26">
        <v>51</v>
      </c>
      <c r="F26" s="25">
        <f>ROUNDUP(65+13*(65/40),1)</f>
        <v>86.199999999999989</v>
      </c>
      <c r="G26" s="25">
        <f>ROUNDUP(65+13*(65/40),1)</f>
        <v>86.199999999999989</v>
      </c>
      <c r="H26" s="22"/>
      <c r="I26" s="23"/>
      <c r="J26" s="10"/>
    </row>
    <row r="27" spans="2:10" x14ac:dyDescent="0.25">
      <c r="B27" s="6"/>
      <c r="C27" s="42"/>
      <c r="D27" s="25" t="s">
        <v>11</v>
      </c>
      <c r="E27" s="26">
        <v>97</v>
      </c>
      <c r="F27" s="25">
        <f>ROUNDUP(189+2*(189/95),1)</f>
        <v>193</v>
      </c>
      <c r="G27" s="25">
        <f>ROUNDUP(189+2*(189/95),1)</f>
        <v>193</v>
      </c>
      <c r="H27" s="22"/>
      <c r="I27" s="23"/>
      <c r="J27" s="10"/>
    </row>
    <row r="28" spans="2:10" x14ac:dyDescent="0.25">
      <c r="B28" s="6"/>
      <c r="C28" s="40"/>
      <c r="D28" s="19" t="s">
        <v>53</v>
      </c>
      <c r="E28" s="16"/>
      <c r="F28" s="16">
        <f>SUM(F29:F33)</f>
        <v>123</v>
      </c>
      <c r="G28" s="16"/>
      <c r="H28" s="16"/>
      <c r="I28" s="23"/>
      <c r="J28" s="10"/>
    </row>
    <row r="29" spans="2:10" x14ac:dyDescent="0.25">
      <c r="B29" s="6"/>
      <c r="C29" s="42"/>
      <c r="D29" s="16" t="s">
        <v>40</v>
      </c>
      <c r="E29" s="16"/>
      <c r="F29" s="16">
        <v>8</v>
      </c>
      <c r="G29" s="16"/>
      <c r="H29" s="22"/>
      <c r="I29" s="23"/>
      <c r="J29" s="10"/>
    </row>
    <row r="30" spans="2:10" ht="35.25" customHeight="1" x14ac:dyDescent="0.25">
      <c r="B30" s="6"/>
      <c r="C30" s="40"/>
      <c r="D30" s="17" t="s">
        <v>60</v>
      </c>
      <c r="E30" s="19"/>
      <c r="F30" s="19">
        <v>15</v>
      </c>
      <c r="G30" s="19"/>
      <c r="H30" s="22"/>
      <c r="I30" s="23"/>
      <c r="J30" s="10"/>
    </row>
    <row r="31" spans="2:10" x14ac:dyDescent="0.25">
      <c r="B31" s="6"/>
      <c r="C31" s="40"/>
      <c r="D31" s="16" t="s">
        <v>41</v>
      </c>
      <c r="E31" s="16"/>
      <c r="F31" s="16"/>
      <c r="G31" s="16"/>
      <c r="H31" s="22"/>
      <c r="I31" s="23"/>
      <c r="J31" s="10"/>
    </row>
    <row r="32" spans="2:10" x14ac:dyDescent="0.25">
      <c r="B32" s="6"/>
      <c r="C32" s="40"/>
      <c r="D32" s="16" t="s">
        <v>42</v>
      </c>
      <c r="E32" s="16"/>
      <c r="F32" s="16">
        <v>100</v>
      </c>
      <c r="G32" s="16"/>
      <c r="H32" s="23"/>
      <c r="I32" s="23"/>
      <c r="J32" s="10"/>
    </row>
    <row r="33" spans="2:10" ht="30" x14ac:dyDescent="0.25">
      <c r="B33" s="6"/>
      <c r="C33" s="40"/>
      <c r="D33" s="36" t="s">
        <v>43</v>
      </c>
      <c r="E33" s="20"/>
      <c r="F33" s="20"/>
      <c r="G33" s="16"/>
      <c r="H33" s="23"/>
      <c r="I33" s="23"/>
      <c r="J33" s="10"/>
    </row>
    <row r="34" spans="2:10" x14ac:dyDescent="0.25">
      <c r="B34" s="6"/>
      <c r="C34" s="40"/>
      <c r="D34" s="16"/>
      <c r="E34" s="16"/>
      <c r="F34" s="16"/>
      <c r="G34" s="16"/>
      <c r="H34" s="22"/>
      <c r="I34" s="23"/>
      <c r="J34" s="10"/>
    </row>
    <row r="35" spans="2:10" ht="27.75" customHeight="1" x14ac:dyDescent="0.25">
      <c r="B35" s="6">
        <v>1</v>
      </c>
      <c r="C35" s="41" t="s">
        <v>4</v>
      </c>
      <c r="D35" s="24" t="s">
        <v>54</v>
      </c>
      <c r="E35" s="24">
        <f>SUM(E36:E38)</f>
        <v>3</v>
      </c>
      <c r="F35" s="25">
        <v>0</v>
      </c>
      <c r="G35" s="25"/>
      <c r="H35" s="21">
        <f>(F35/(F35+F37))*100</f>
        <v>0</v>
      </c>
      <c r="I35" s="30">
        <f>ROUNDUP(F37/C1,1)</f>
        <v>1.2000000000000002</v>
      </c>
      <c r="J35" s="14" t="s">
        <v>69</v>
      </c>
    </row>
    <row r="36" spans="2:10" x14ac:dyDescent="0.25">
      <c r="B36" s="6"/>
      <c r="C36" s="42"/>
      <c r="D36" s="25" t="s">
        <v>10</v>
      </c>
      <c r="E36" s="25">
        <v>3</v>
      </c>
      <c r="F36" s="25"/>
      <c r="G36" s="25"/>
      <c r="H36" s="22"/>
      <c r="I36" s="23"/>
      <c r="J36" s="10"/>
    </row>
    <row r="37" spans="2:10" x14ac:dyDescent="0.25">
      <c r="B37" s="6"/>
      <c r="C37" s="40"/>
      <c r="D37" s="19" t="s">
        <v>57</v>
      </c>
      <c r="E37" s="16"/>
      <c r="F37" s="16">
        <f>SUM(F38:F40)</f>
        <v>35</v>
      </c>
      <c r="G37" s="16"/>
      <c r="H37" s="16"/>
      <c r="I37" s="23"/>
      <c r="J37" s="10"/>
    </row>
    <row r="38" spans="2:10" x14ac:dyDescent="0.25">
      <c r="B38" s="6"/>
      <c r="C38" s="40"/>
      <c r="D38" s="16" t="s">
        <v>44</v>
      </c>
      <c r="E38" s="16"/>
      <c r="F38" s="16">
        <v>20</v>
      </c>
      <c r="G38" s="16"/>
      <c r="H38" s="22"/>
      <c r="I38" s="23"/>
      <c r="J38" s="10"/>
    </row>
    <row r="39" spans="2:10" x14ac:dyDescent="0.25">
      <c r="B39" s="6"/>
      <c r="C39" s="40"/>
      <c r="D39" s="16" t="s">
        <v>45</v>
      </c>
      <c r="E39" s="19"/>
      <c r="F39" s="19">
        <v>5</v>
      </c>
      <c r="G39" s="19"/>
      <c r="H39" s="22"/>
      <c r="I39" s="23"/>
      <c r="J39" s="10"/>
    </row>
    <row r="40" spans="2:10" x14ac:dyDescent="0.25">
      <c r="B40" s="6"/>
      <c r="C40" s="40"/>
      <c r="D40" s="16" t="s">
        <v>46</v>
      </c>
      <c r="E40" s="16"/>
      <c r="F40" s="16">
        <v>10</v>
      </c>
      <c r="G40" s="16"/>
      <c r="H40" s="23"/>
      <c r="I40" s="23"/>
      <c r="J40" s="10"/>
    </row>
    <row r="41" spans="2:10" x14ac:dyDescent="0.25">
      <c r="B41" s="6"/>
      <c r="C41" s="40"/>
      <c r="D41" s="16"/>
      <c r="E41" s="16"/>
      <c r="F41" s="16"/>
      <c r="G41" s="16"/>
      <c r="H41" s="22"/>
      <c r="I41" s="23"/>
      <c r="J41" s="10"/>
    </row>
    <row r="42" spans="2:10" ht="33" customHeight="1" x14ac:dyDescent="0.25">
      <c r="B42" s="6">
        <v>1</v>
      </c>
      <c r="C42" s="41" t="s">
        <v>12</v>
      </c>
      <c r="D42" s="24" t="s">
        <v>54</v>
      </c>
      <c r="E42" s="24">
        <f>SUM(E43:E48)</f>
        <v>51</v>
      </c>
      <c r="F42" s="24">
        <f>ROUNDUP(SUM(F43:F48),1)</f>
        <v>304.2</v>
      </c>
      <c r="G42" s="24">
        <f>ROUNDUP(SUM(G43:G48),1)</f>
        <v>104.2</v>
      </c>
      <c r="H42" s="21">
        <f>ROUNDUP((F42/(F42+F44))*100,1)</f>
        <v>60.4</v>
      </c>
      <c r="I42" s="30">
        <f>ROUNDUP(F44/C1,1)</f>
        <v>6.6999999999999993</v>
      </c>
      <c r="J42" s="14" t="s">
        <v>67</v>
      </c>
    </row>
    <row r="43" spans="2:10" x14ac:dyDescent="0.25">
      <c r="B43" s="6"/>
      <c r="C43" s="42"/>
      <c r="D43" s="25" t="s">
        <v>13</v>
      </c>
      <c r="E43" s="25">
        <v>51</v>
      </c>
      <c r="F43" s="25">
        <f xml:space="preserve"> ROUNDUP(98 + 3 * (98 / 48 ),1)</f>
        <v>104.19999999999999</v>
      </c>
      <c r="G43" s="25">
        <f>ROUNDUP(98+3*(98 / 48 ),1)</f>
        <v>104.19999999999999</v>
      </c>
      <c r="H43" s="22"/>
      <c r="I43" s="23"/>
      <c r="J43" s="10"/>
    </row>
    <row r="44" spans="2:10" x14ac:dyDescent="0.25">
      <c r="B44" s="6"/>
      <c r="C44" s="40"/>
      <c r="D44" s="19" t="s">
        <v>57</v>
      </c>
      <c r="E44" s="16"/>
      <c r="F44" s="16">
        <v>200</v>
      </c>
      <c r="G44" s="16"/>
      <c r="H44" s="16"/>
      <c r="I44" s="23"/>
      <c r="J44" s="10"/>
    </row>
    <row r="45" spans="2:10" x14ac:dyDescent="0.25">
      <c r="B45" s="6"/>
      <c r="C45" s="42"/>
      <c r="D45" s="16" t="s">
        <v>47</v>
      </c>
      <c r="E45" s="19"/>
      <c r="G45" s="19"/>
      <c r="H45" s="23"/>
      <c r="I45" s="23"/>
      <c r="J45" s="10"/>
    </row>
    <row r="46" spans="2:10" x14ac:dyDescent="0.25">
      <c r="B46" s="6"/>
      <c r="C46" s="40"/>
      <c r="D46" s="16" t="s">
        <v>48</v>
      </c>
      <c r="E46" s="16"/>
      <c r="G46" s="16"/>
      <c r="H46" s="23"/>
      <c r="I46" s="23"/>
      <c r="J46" s="10"/>
    </row>
    <row r="47" spans="2:10" x14ac:dyDescent="0.25">
      <c r="B47" s="6"/>
      <c r="C47" s="40"/>
      <c r="D47" s="16" t="s">
        <v>49</v>
      </c>
      <c r="E47" s="16"/>
      <c r="G47" s="16"/>
      <c r="H47" s="23"/>
      <c r="I47" s="23"/>
      <c r="J47" s="10"/>
    </row>
    <row r="48" spans="2:10" x14ac:dyDescent="0.25">
      <c r="B48" s="6"/>
      <c r="C48" s="40"/>
      <c r="D48" s="16"/>
      <c r="E48" s="27"/>
      <c r="F48" s="16"/>
      <c r="G48" s="16"/>
      <c r="H48" s="23"/>
      <c r="I48" s="23"/>
      <c r="J48" s="10"/>
    </row>
    <row r="49" spans="2:10" ht="31.5" customHeight="1" x14ac:dyDescent="0.25">
      <c r="B49" s="6">
        <v>1</v>
      </c>
      <c r="C49" s="41" t="s">
        <v>5</v>
      </c>
      <c r="D49" s="24" t="s">
        <v>54</v>
      </c>
      <c r="E49" s="24">
        <f>SUM(E50:E53)</f>
        <v>376</v>
      </c>
      <c r="F49" s="24">
        <f>ROUND(SUM(F50:F53),1)</f>
        <v>1088.5999999999999</v>
      </c>
      <c r="G49" s="24">
        <f>ROUND(SUM(G50:G53),1)</f>
        <v>978.6</v>
      </c>
      <c r="H49" s="21">
        <f>ROUNDUP((F49/(F49+F51))*100,1)</f>
        <v>92.8</v>
      </c>
      <c r="I49" s="30">
        <f>ROUNDUP(F51/C1,1)</f>
        <v>2.9</v>
      </c>
      <c r="J49" s="14" t="s">
        <v>68</v>
      </c>
    </row>
    <row r="50" spans="2:10" x14ac:dyDescent="0.25">
      <c r="B50" s="6"/>
      <c r="C50" s="42"/>
      <c r="D50" s="25" t="s">
        <v>16</v>
      </c>
      <c r="E50" s="25">
        <v>376</v>
      </c>
      <c r="F50" s="28">
        <f>ROUND(950+11*(950/365),1)</f>
        <v>978.6</v>
      </c>
      <c r="G50" s="28">
        <f>ROUND(950+11*(950/365),1)</f>
        <v>978.6</v>
      </c>
      <c r="H50" s="23"/>
      <c r="I50" s="23"/>
      <c r="J50" s="10"/>
    </row>
    <row r="51" spans="2:10" x14ac:dyDescent="0.25">
      <c r="B51" s="6"/>
      <c r="C51" s="40"/>
      <c r="D51" s="19" t="s">
        <v>57</v>
      </c>
      <c r="E51" s="16"/>
      <c r="F51" s="16">
        <f>SUM(F52:F54)</f>
        <v>85</v>
      </c>
      <c r="G51" s="16"/>
      <c r="H51" s="16"/>
      <c r="I51" s="23"/>
      <c r="J51" s="10"/>
    </row>
    <row r="52" spans="2:10" x14ac:dyDescent="0.25">
      <c r="B52" s="6"/>
      <c r="C52" s="40"/>
      <c r="D52" s="16" t="s">
        <v>50</v>
      </c>
      <c r="E52" s="27"/>
      <c r="F52" s="19">
        <v>15</v>
      </c>
      <c r="G52" s="19"/>
      <c r="H52" s="23"/>
      <c r="I52" s="23"/>
      <c r="J52" s="10"/>
    </row>
    <row r="53" spans="2:10" x14ac:dyDescent="0.25">
      <c r="B53" s="6"/>
      <c r="C53" s="40"/>
      <c r="D53" s="16" t="s">
        <v>51</v>
      </c>
      <c r="E53" s="19"/>
      <c r="F53" s="19">
        <v>10</v>
      </c>
      <c r="G53" s="19"/>
      <c r="H53" s="23"/>
      <c r="I53" s="23"/>
      <c r="J53" s="10"/>
    </row>
    <row r="54" spans="2:10" x14ac:dyDescent="0.25">
      <c r="B54" s="6"/>
      <c r="C54" s="40"/>
      <c r="D54" s="16" t="s">
        <v>61</v>
      </c>
      <c r="E54" s="16"/>
      <c r="F54" s="16">
        <v>60</v>
      </c>
      <c r="G54" s="16"/>
      <c r="H54" s="23"/>
      <c r="I54" s="23"/>
      <c r="J54" s="10"/>
    </row>
    <row r="55" spans="2:10" x14ac:dyDescent="0.25">
      <c r="B55" s="6"/>
      <c r="C55" s="40"/>
      <c r="D55" s="16"/>
      <c r="E55" s="16"/>
      <c r="F55" s="16"/>
      <c r="G55" s="16"/>
      <c r="H55" s="23"/>
      <c r="I55" s="23"/>
      <c r="J55" s="10"/>
    </row>
    <row r="56" spans="2:10" ht="32.25" customHeight="1" x14ac:dyDescent="0.25">
      <c r="B56" s="6">
        <v>1</v>
      </c>
      <c r="C56" s="41" t="s">
        <v>63</v>
      </c>
      <c r="D56" s="24" t="s">
        <v>54</v>
      </c>
      <c r="E56" s="24">
        <f>SUM(E57:E60)</f>
        <v>2</v>
      </c>
      <c r="F56" s="24">
        <f>SUM(F57)</f>
        <v>8</v>
      </c>
      <c r="G56" s="24">
        <f>SUM(G57)</f>
        <v>8</v>
      </c>
      <c r="H56" s="21">
        <f>ROUNDUP((F56/(F56+G58))*100,1)</f>
        <v>88.899999999999991</v>
      </c>
      <c r="I56" s="30">
        <f>ROUNDUP(F58/C1,1)</f>
        <v>0.2</v>
      </c>
      <c r="J56" s="14" t="s">
        <v>69</v>
      </c>
    </row>
    <row r="57" spans="2:10" x14ac:dyDescent="0.25">
      <c r="B57" s="6"/>
      <c r="C57" s="42"/>
      <c r="D57" s="25" t="s">
        <v>15</v>
      </c>
      <c r="E57" s="25">
        <v>2</v>
      </c>
      <c r="F57" s="25">
        <v>8</v>
      </c>
      <c r="G57" s="25">
        <v>8</v>
      </c>
      <c r="H57" s="23"/>
      <c r="I57" s="23"/>
      <c r="J57" s="10"/>
    </row>
    <row r="58" spans="2:10" x14ac:dyDescent="0.25">
      <c r="B58" s="6"/>
      <c r="C58" s="40"/>
      <c r="D58" s="19" t="s">
        <v>57</v>
      </c>
      <c r="E58" s="16"/>
      <c r="F58" s="16">
        <f>SUM(F59)</f>
        <v>5</v>
      </c>
      <c r="G58" s="16">
        <v>1</v>
      </c>
      <c r="H58" s="16"/>
      <c r="I58" s="23"/>
      <c r="J58" s="10"/>
    </row>
    <row r="59" spans="2:10" x14ac:dyDescent="0.25">
      <c r="B59" s="6"/>
      <c r="C59" s="40"/>
      <c r="D59" s="16" t="s">
        <v>58</v>
      </c>
      <c r="E59" s="16"/>
      <c r="F59" s="16">
        <v>5</v>
      </c>
      <c r="G59" s="16">
        <v>0</v>
      </c>
      <c r="H59" s="23"/>
      <c r="I59" s="23"/>
      <c r="J59" s="10"/>
    </row>
    <row r="60" spans="2:10" x14ac:dyDescent="0.25">
      <c r="B60" s="6"/>
      <c r="C60" s="40"/>
      <c r="D60" s="16"/>
      <c r="E60" s="16"/>
      <c r="F60" s="16"/>
      <c r="G60" s="16"/>
      <c r="H60" s="23"/>
      <c r="I60" s="23"/>
      <c r="J60" s="10"/>
    </row>
    <row r="61" spans="2:10" ht="30.75" customHeight="1" x14ac:dyDescent="0.25">
      <c r="B61" s="6">
        <v>1</v>
      </c>
      <c r="C61" s="41" t="s">
        <v>7</v>
      </c>
      <c r="D61" s="24" t="s">
        <v>59</v>
      </c>
      <c r="E61" s="25"/>
      <c r="F61" s="25">
        <v>0</v>
      </c>
      <c r="G61" s="25">
        <v>0</v>
      </c>
      <c r="H61" s="21">
        <f>(F61/(F61+F63))*100</f>
        <v>0</v>
      </c>
      <c r="I61" s="30">
        <f>ROUNDUP(F63/C1,1)</f>
        <v>0.9</v>
      </c>
      <c r="J61" s="14" t="s">
        <v>69</v>
      </c>
    </row>
    <row r="62" spans="2:10" x14ac:dyDescent="0.25">
      <c r="B62" s="6"/>
      <c r="C62" s="40"/>
      <c r="D62" s="16" t="s">
        <v>62</v>
      </c>
      <c r="E62" s="16"/>
      <c r="F62" s="16" t="s">
        <v>62</v>
      </c>
      <c r="G62" s="16" t="s">
        <v>62</v>
      </c>
      <c r="H62" s="23"/>
      <c r="I62" s="23"/>
      <c r="J62" s="10"/>
    </row>
    <row r="63" spans="2:10" x14ac:dyDescent="0.25">
      <c r="B63" s="6"/>
      <c r="C63" s="40"/>
      <c r="D63" s="19" t="s">
        <v>57</v>
      </c>
      <c r="E63" s="16"/>
      <c r="F63" s="16">
        <f>SUM(F64)</f>
        <v>25</v>
      </c>
      <c r="G63" s="16"/>
      <c r="H63" s="23"/>
      <c r="I63" s="23"/>
      <c r="J63" s="10"/>
    </row>
    <row r="64" spans="2:10" x14ac:dyDescent="0.25">
      <c r="B64" s="6"/>
      <c r="C64" s="40"/>
      <c r="D64" s="16" t="s">
        <v>52</v>
      </c>
      <c r="E64" s="16"/>
      <c r="F64" s="16">
        <v>25</v>
      </c>
      <c r="G64" s="16"/>
      <c r="H64" s="23"/>
      <c r="I64" s="23"/>
      <c r="J64" s="10"/>
    </row>
    <row r="65" spans="2:10" ht="32.25" customHeight="1" x14ac:dyDescent="0.25">
      <c r="B65" s="6">
        <v>1</v>
      </c>
      <c r="C65" s="43" t="s">
        <v>64</v>
      </c>
      <c r="D65" s="24" t="s">
        <v>57</v>
      </c>
      <c r="E65" s="25"/>
      <c r="F65" s="25">
        <f>SUM(F66)</f>
        <v>300</v>
      </c>
      <c r="G65" s="25"/>
      <c r="H65" s="21">
        <v>0</v>
      </c>
      <c r="I65" s="31">
        <f>ROUNDUP(F65/C1,1)</f>
        <v>10</v>
      </c>
      <c r="J65" s="14" t="s">
        <v>66</v>
      </c>
    </row>
    <row r="66" spans="2:10" ht="30" x14ac:dyDescent="0.25">
      <c r="B66" s="7"/>
      <c r="C66" s="44"/>
      <c r="D66" s="29" t="s">
        <v>65</v>
      </c>
      <c r="E66" s="16"/>
      <c r="F66">
        <v>300</v>
      </c>
      <c r="G66" s="16"/>
      <c r="H66" s="23"/>
      <c r="I66" s="23"/>
      <c r="J66" s="10"/>
    </row>
    <row r="67" spans="2:10" x14ac:dyDescent="0.25">
      <c r="B67" s="7"/>
      <c r="C67" s="44"/>
      <c r="D67" s="20" t="s">
        <v>25</v>
      </c>
      <c r="E67" s="20"/>
      <c r="F67" s="20"/>
      <c r="G67" s="16"/>
      <c r="H67" s="23"/>
      <c r="I67" s="23"/>
      <c r="J67" s="10"/>
    </row>
    <row r="68" spans="2:10" x14ac:dyDescent="0.25">
      <c r="B68" s="8"/>
      <c r="C68" s="10"/>
      <c r="D68" s="10"/>
      <c r="E68" s="10"/>
      <c r="F68" s="10"/>
      <c r="G68" s="10"/>
      <c r="H68" s="11"/>
      <c r="I68" s="10"/>
      <c r="J68" s="10"/>
    </row>
    <row r="69" spans="2:10" x14ac:dyDescent="0.25">
      <c r="B69" s="8"/>
      <c r="C69" s="10"/>
      <c r="D69" s="10"/>
      <c r="E69" s="10"/>
      <c r="F69" s="10"/>
      <c r="G69" s="10"/>
      <c r="H69" s="10"/>
      <c r="I69" s="10"/>
      <c r="J69" s="10"/>
    </row>
  </sheetData>
  <autoFilter ref="B2:J67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31"/>
  <sheetViews>
    <sheetView workbookViewId="0">
      <selection activeCell="D6" sqref="D6:I31"/>
    </sheetView>
  </sheetViews>
  <sheetFormatPr defaultRowHeight="15" x14ac:dyDescent="0.25"/>
  <sheetData>
    <row r="6" spans="4:9" ht="60" x14ac:dyDescent="0.25">
      <c r="D6" s="7">
        <v>2</v>
      </c>
      <c r="E6" s="3" t="s">
        <v>2</v>
      </c>
      <c r="F6" s="1" t="s">
        <v>19</v>
      </c>
      <c r="G6" s="1">
        <f>SUM(G7:G9)</f>
        <v>148</v>
      </c>
      <c r="H6" s="1">
        <f>SUM(H7:H10)</f>
        <v>279.10394736842102</v>
      </c>
      <c r="I6" s="1"/>
    </row>
    <row r="7" spans="4:9" x14ac:dyDescent="0.25">
      <c r="D7" s="7"/>
      <c r="E7" s="2"/>
      <c r="F7" t="s">
        <v>10</v>
      </c>
      <c r="G7" s="5">
        <v>51</v>
      </c>
      <c r="H7">
        <f>65+13*(65/40)</f>
        <v>86.125</v>
      </c>
      <c r="I7" s="1"/>
    </row>
    <row r="8" spans="4:9" x14ac:dyDescent="0.25">
      <c r="D8" s="7"/>
      <c r="E8" s="2"/>
      <c r="F8" t="s">
        <v>11</v>
      </c>
      <c r="G8" s="5">
        <v>97</v>
      </c>
      <c r="H8">
        <f>189+2*(189/95)</f>
        <v>192.97894736842105</v>
      </c>
      <c r="I8" s="1"/>
    </row>
    <row r="9" spans="4:9" x14ac:dyDescent="0.25">
      <c r="D9" s="7"/>
      <c r="E9" s="2"/>
      <c r="I9" s="1"/>
    </row>
    <row r="10" spans="4:9" x14ac:dyDescent="0.25">
      <c r="D10" s="7"/>
      <c r="G10" s="1"/>
      <c r="H10" s="1"/>
      <c r="I10" s="1"/>
    </row>
    <row r="11" spans="4:9" x14ac:dyDescent="0.25">
      <c r="D11" s="7">
        <v>1</v>
      </c>
      <c r="E11" s="3" t="s">
        <v>4</v>
      </c>
      <c r="F11" s="1" t="s">
        <v>19</v>
      </c>
      <c r="G11" s="1">
        <f>SUM(G12:G13)</f>
        <v>3</v>
      </c>
      <c r="I11" s="1"/>
    </row>
    <row r="12" spans="4:9" x14ac:dyDescent="0.25">
      <c r="D12" s="7"/>
      <c r="E12" s="2"/>
      <c r="F12" t="s">
        <v>10</v>
      </c>
      <c r="G12">
        <v>3</v>
      </c>
    </row>
    <row r="13" spans="4:9" x14ac:dyDescent="0.25">
      <c r="D13" s="7"/>
    </row>
    <row r="14" spans="4:9" x14ac:dyDescent="0.25">
      <c r="D14" s="7"/>
      <c r="G14" s="1"/>
      <c r="H14" s="1"/>
      <c r="I14" s="1"/>
    </row>
    <row r="15" spans="4:9" ht="30" x14ac:dyDescent="0.25">
      <c r="D15" s="7">
        <v>1</v>
      </c>
      <c r="E15" s="3" t="s">
        <v>12</v>
      </c>
      <c r="F15" s="1" t="s">
        <v>19</v>
      </c>
      <c r="G15" s="1">
        <f>SUM(G16:G18)</f>
        <v>51</v>
      </c>
      <c r="H15" s="1">
        <f>SUM(H16:H18)</f>
        <v>104.125</v>
      </c>
      <c r="I15" s="1"/>
    </row>
    <row r="16" spans="4:9" x14ac:dyDescent="0.25">
      <c r="D16" s="7"/>
      <c r="E16" s="2"/>
      <c r="F16" t="s">
        <v>13</v>
      </c>
      <c r="G16">
        <v>51</v>
      </c>
      <c r="H16">
        <f xml:space="preserve"> 98 + 3 * (98 / 48 )</f>
        <v>104.125</v>
      </c>
      <c r="I16" s="1"/>
    </row>
    <row r="17" spans="4:9" x14ac:dyDescent="0.25">
      <c r="D17" s="7"/>
      <c r="E17" s="2"/>
      <c r="G17" s="1"/>
      <c r="H17" s="1"/>
      <c r="I17" s="1"/>
    </row>
    <row r="18" spans="4:9" x14ac:dyDescent="0.25">
      <c r="D18" s="7"/>
      <c r="G18" s="4"/>
      <c r="I18" s="1"/>
    </row>
    <row r="19" spans="4:9" ht="30" x14ac:dyDescent="0.25">
      <c r="D19" s="7">
        <v>1</v>
      </c>
      <c r="E19" s="3" t="s">
        <v>5</v>
      </c>
      <c r="F19" s="1" t="s">
        <v>19</v>
      </c>
      <c r="G19" s="1">
        <f>SUM(G20:G22)</f>
        <v>376</v>
      </c>
      <c r="H19" s="1">
        <f>SUM(H20:H22)</f>
        <v>978.63013698630141</v>
      </c>
    </row>
    <row r="20" spans="4:9" x14ac:dyDescent="0.25">
      <c r="D20" s="7"/>
      <c r="E20" s="2"/>
      <c r="F20" t="s">
        <v>16</v>
      </c>
      <c r="G20">
        <v>376</v>
      </c>
      <c r="H20" s="9">
        <f>950+11*(950/365)</f>
        <v>978.63013698630141</v>
      </c>
      <c r="I20" s="1"/>
    </row>
    <row r="21" spans="4:9" x14ac:dyDescent="0.25">
      <c r="D21" s="7"/>
      <c r="G21" s="4"/>
      <c r="H21" s="1"/>
      <c r="I21" s="1"/>
    </row>
    <row r="22" spans="4:9" x14ac:dyDescent="0.25">
      <c r="D22" s="7"/>
      <c r="G22" s="1"/>
      <c r="H22" s="1"/>
      <c r="I22" s="1"/>
    </row>
    <row r="23" spans="4:9" ht="30" x14ac:dyDescent="0.25">
      <c r="D23" s="7">
        <v>1</v>
      </c>
      <c r="E23" s="3" t="s">
        <v>6</v>
      </c>
      <c r="F23" s="1" t="s">
        <v>19</v>
      </c>
      <c r="G23" s="1">
        <f>SUM(G24:G26)</f>
        <v>2</v>
      </c>
      <c r="H23" s="1">
        <f>SUM(H24)</f>
        <v>8</v>
      </c>
    </row>
    <row r="24" spans="4:9" x14ac:dyDescent="0.25">
      <c r="D24" s="7"/>
      <c r="E24" s="2"/>
      <c r="F24" t="s">
        <v>15</v>
      </c>
      <c r="G24">
        <v>2</v>
      </c>
      <c r="H24">
        <v>8</v>
      </c>
    </row>
    <row r="25" spans="4:9" x14ac:dyDescent="0.25">
      <c r="D25" s="7"/>
    </row>
    <row r="26" spans="4:9" x14ac:dyDescent="0.25">
      <c r="D26" s="7"/>
    </row>
    <row r="27" spans="4:9" x14ac:dyDescent="0.25">
      <c r="D27" s="7">
        <v>1</v>
      </c>
      <c r="E27" s="3" t="s">
        <v>7</v>
      </c>
      <c r="F27" s="1" t="s">
        <v>20</v>
      </c>
    </row>
    <row r="28" spans="4:9" x14ac:dyDescent="0.25">
      <c r="D28" s="7"/>
    </row>
    <row r="29" spans="4:9" x14ac:dyDescent="0.25">
      <c r="D29" s="7">
        <v>3</v>
      </c>
      <c r="E29" s="1" t="s">
        <v>8</v>
      </c>
    </row>
    <row r="30" spans="4:9" x14ac:dyDescent="0.25">
      <c r="D30" s="8"/>
    </row>
    <row r="31" spans="4:9" x14ac:dyDescent="0.25">
      <c r="D3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2018-03-14T12:36:44Z</dcterms:modified>
</cp:coreProperties>
</file>