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embeddings/oleObject9.bin" ContentType="application/vnd.openxmlformats-officedocument.oleObject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300" windowWidth="18735" windowHeight="11700" activeTab="1"/>
  </bookViews>
  <sheets>
    <sheet name="Roadway Deck Rating" sheetId="1" r:id="rId1"/>
    <sheet name="Sidewalk Deck Rating" sheetId="10" r:id="rId2"/>
  </sheets>
  <definedNames>
    <definedName name="a_conc" localSheetId="1">'Sidewalk Deck Rating'!$L$88</definedName>
    <definedName name="a_conc">'Roadway Deck Rating'!$L$88</definedName>
    <definedName name="As" localSheetId="1">'Sidewalk Deck Rating'!$M$14</definedName>
    <definedName name="As">'Roadway Deck Rating'!$M$14</definedName>
    <definedName name="As_1" localSheetId="1">'Sidewalk Deck Rating'!$M$24</definedName>
    <definedName name="As_1">'Roadway Deck Rating'!$M$24</definedName>
    <definedName name="b_eff" localSheetId="1">'Sidewalk Deck Rating'!$L$80</definedName>
    <definedName name="b_eff">'Roadway Deck Rating'!$L$80</definedName>
    <definedName name="beta_1" localSheetId="1">'Sidewalk Deck Rating'!$L$81</definedName>
    <definedName name="beta_1">'Roadway Deck Rating'!$L$81</definedName>
    <definedName name="bfc_end" localSheetId="1">#REF!</definedName>
    <definedName name="bfc_end">#REF!</definedName>
    <definedName name="bft_end" localSheetId="1">#REF!</definedName>
    <definedName name="bft_end">#REF!</definedName>
    <definedName name="conc_c" localSheetId="1">'Sidewalk Deck Rating'!$L$87</definedName>
    <definedName name="conc_c">'Roadway Deck Rating'!$L$87</definedName>
    <definedName name="D" localSheetId="1">#REF!</definedName>
    <definedName name="D">#REF!</definedName>
    <definedName name="D0" localSheetId="1">#REF!</definedName>
    <definedName name="D0">#REF!</definedName>
    <definedName name="d0_end" localSheetId="1">#REF!</definedName>
    <definedName name="d0_end">#REF!</definedName>
    <definedName name="ds" localSheetId="1">'Sidewalk Deck Rating'!$L$92</definedName>
    <definedName name="ds">'Roadway Deck Rating'!$L$92</definedName>
    <definedName name="Ec" localSheetId="1">'Sidewalk Deck Rating'!#REF!</definedName>
    <definedName name="Ec">'Roadway Deck Rating'!#REF!</definedName>
    <definedName name="Es" localSheetId="1">'Sidewalk Deck Rating'!#REF!</definedName>
    <definedName name="Es">'Roadway Deck Rating'!#REF!</definedName>
    <definedName name="fc" localSheetId="1">'Sidewalk Deck Rating'!$C$29</definedName>
    <definedName name="fc">'Roadway Deck Rating'!$C$29</definedName>
    <definedName name="fy" localSheetId="1">'Sidewalk Deck Rating'!$C$34</definedName>
    <definedName name="fy">'Roadway Deck Rating'!$C$34</definedName>
    <definedName name="fyb" localSheetId="1">'Sidewalk Deck Rating'!#REF!</definedName>
    <definedName name="fyb">'Roadway Deck Rating'!#REF!</definedName>
    <definedName name="h" localSheetId="1">'Sidewalk Deck Rating'!$L$91</definedName>
    <definedName name="h">'Roadway Deck Rating'!$L$91</definedName>
    <definedName name="L" localSheetId="1">'Sidewalk Deck Rating'!#REF!</definedName>
    <definedName name="L">'Roadway Deck Rating'!#REF!</definedName>
    <definedName name="LL" localSheetId="1">'Sidewalk Deck Rating'!#REF!</definedName>
    <definedName name="LL">'Roadway Deck Rating'!#REF!</definedName>
    <definedName name="Mdc" localSheetId="1">'Sidewalk Deck Rating'!$C$40</definedName>
    <definedName name="Mdc">'Roadway Deck Rating'!$C$40</definedName>
    <definedName name="MLL" localSheetId="1">'Sidewalk Deck Rating'!#REF!</definedName>
    <definedName name="MLL">'Roadway Deck Rating'!$U$19</definedName>
    <definedName name="Mn" localSheetId="1">'Sidewalk Deck Rating'!$L$93</definedName>
    <definedName name="Mn">'Roadway Deck Rating'!$L$93</definedName>
    <definedName name="Mws" localSheetId="1">'Sidewalk Deck Rating'!$C$46</definedName>
    <definedName name="Mws">'Roadway Deck Rating'!$C$46</definedName>
    <definedName name="n" localSheetId="1">'Sidewalk Deck Rating'!$H$30</definedName>
    <definedName name="n">'Roadway Deck Rating'!$H$30</definedName>
    <definedName name="_xlnm.Print_Area" localSheetId="0">'Roadway Deck Rating'!$A$1:$AS$42</definedName>
    <definedName name="_xlnm.Print_Area" localSheetId="1">'Sidewalk Deck Rating'!$A$1:$AA$42</definedName>
    <definedName name="S" localSheetId="1">'Sidewalk Deck Rating'!#REF!</definedName>
    <definedName name="S">'Roadway Deck Rating'!#REF!</definedName>
    <definedName name="SSS" localSheetId="1">'Sidewalk Deck Rating'!#REF!</definedName>
    <definedName name="SSS">'Roadway Deck Rating'!#REF!</definedName>
    <definedName name="temp" localSheetId="1">#REF!</definedName>
    <definedName name="temp">#REF!</definedName>
    <definedName name="tfc" localSheetId="1">#REF!</definedName>
    <definedName name="tfc">#REF!</definedName>
    <definedName name="tfc_end" localSheetId="1">#REF!</definedName>
    <definedName name="tfc_end">#REF!</definedName>
    <definedName name="tft" localSheetId="1">#REF!</definedName>
    <definedName name="tft">#REF!</definedName>
    <definedName name="tft_end" localSheetId="1">#REF!</definedName>
    <definedName name="tft_end">#REF!</definedName>
    <definedName name="ts" localSheetId="1">'Sidewalk Deck Rating'!#REF!</definedName>
    <definedName name="ts">'Roadway Deck Rating'!#REF!</definedName>
    <definedName name="tw" localSheetId="1">#REF!</definedName>
    <definedName name="tw">#REF!</definedName>
    <definedName name="Y" localSheetId="1">'Sidewalk Deck Rating'!$L$90</definedName>
    <definedName name="Y">'Roadway Deck Rating'!$L$90</definedName>
  </definedNames>
  <calcPr calcId="125725"/>
</workbook>
</file>

<file path=xl/calcChain.xml><?xml version="1.0" encoding="utf-8"?>
<calcChain xmlns="http://schemas.openxmlformats.org/spreadsheetml/2006/main">
  <c r="AQ39" i="1"/>
  <c r="AM39"/>
  <c r="AL39"/>
  <c r="AP39"/>
  <c r="AN35"/>
  <c r="AN33"/>
  <c r="AN24"/>
  <c r="AN20"/>
  <c r="AN16"/>
  <c r="AN14"/>
  <c r="M26"/>
  <c r="M25"/>
  <c r="AI13"/>
  <c r="AF9"/>
  <c r="AI25"/>
  <c r="AI19"/>
  <c r="C41" i="10"/>
  <c r="M16"/>
  <c r="M14"/>
  <c r="C21" i="1"/>
  <c r="C23" i="10" l="1"/>
  <c r="M27" s="1"/>
  <c r="L91"/>
  <c r="L83"/>
  <c r="L90" s="1"/>
  <c r="K97" s="1"/>
  <c r="L81"/>
  <c r="C40"/>
  <c r="V21" s="1"/>
  <c r="V22" s="1"/>
  <c r="M21"/>
  <c r="M26" s="1"/>
  <c r="Y10"/>
  <c r="M11"/>
  <c r="Y9"/>
  <c r="K4"/>
  <c r="T4" s="1"/>
  <c r="F4"/>
  <c r="O4" s="1"/>
  <c r="X4" s="1"/>
  <c r="R3"/>
  <c r="AA3" s="1"/>
  <c r="O3"/>
  <c r="X3" s="1"/>
  <c r="K3"/>
  <c r="T3" s="1"/>
  <c r="K2"/>
  <c r="T2" s="1"/>
  <c r="K1"/>
  <c r="T1" s="1"/>
  <c r="K97" i="1"/>
  <c r="M10"/>
  <c r="M11" s="1"/>
  <c r="M13"/>
  <c r="M17"/>
  <c r="M20"/>
  <c r="M21"/>
  <c r="M22"/>
  <c r="M23"/>
  <c r="M24"/>
  <c r="M27"/>
  <c r="L92"/>
  <c r="L91"/>
  <c r="L81"/>
  <c r="L83"/>
  <c r="L90" s="1"/>
  <c r="AF25"/>
  <c r="AF19"/>
  <c r="V26"/>
  <c r="V25"/>
  <c r="V24"/>
  <c r="C41"/>
  <c r="C40"/>
  <c r="AL4"/>
  <c r="AS3"/>
  <c r="AP3"/>
  <c r="AL3"/>
  <c r="AS2"/>
  <c r="AL2"/>
  <c r="AL1"/>
  <c r="Y11"/>
  <c r="Y10"/>
  <c r="O3"/>
  <c r="X3" s="1"/>
  <c r="AG3" s="1"/>
  <c r="K4"/>
  <c r="T4" s="1"/>
  <c r="AC4" s="1"/>
  <c r="F4"/>
  <c r="O4" s="1"/>
  <c r="X4" s="1"/>
  <c r="AG4" s="1"/>
  <c r="AP4" s="1"/>
  <c r="R2"/>
  <c r="AA2" s="1"/>
  <c r="AJ2" s="1"/>
  <c r="M22" i="10" l="1"/>
  <c r="M24" s="1"/>
  <c r="M17"/>
  <c r="L92"/>
  <c r="M25"/>
  <c r="M12"/>
  <c r="L84"/>
  <c r="L86" s="1"/>
  <c r="M15" i="1"/>
  <c r="M12"/>
  <c r="M14" s="1"/>
  <c r="M16"/>
  <c r="L87"/>
  <c r="L88" s="1"/>
  <c r="L93" s="1"/>
  <c r="L95" s="1"/>
  <c r="L84"/>
  <c r="L86" s="1"/>
  <c r="K1"/>
  <c r="T1" s="1"/>
  <c r="AC1" s="1"/>
  <c r="K2"/>
  <c r="T2" s="1"/>
  <c r="AC2" s="1"/>
  <c r="K3"/>
  <c r="T3" s="1"/>
  <c r="AC3" s="1"/>
  <c r="R3"/>
  <c r="AA3" s="1"/>
  <c r="AJ3" s="1"/>
  <c r="P18" i="10" l="1"/>
  <c r="M29"/>
  <c r="M31"/>
  <c r="L87"/>
  <c r="L88" s="1"/>
  <c r="L93" s="1"/>
  <c r="L95" s="1"/>
  <c r="M31" i="1"/>
  <c r="AN10"/>
  <c r="AN12" s="1"/>
  <c r="M29"/>
  <c r="M33" s="1"/>
  <c r="V10" s="1"/>
  <c r="X10" s="1"/>
  <c r="M33" i="10" l="1"/>
  <c r="V11" i="1"/>
  <c r="X11" s="1"/>
  <c r="U13" s="1"/>
  <c r="Q35"/>
  <c r="Q36"/>
  <c r="Q37" s="1"/>
  <c r="V9" i="10" l="1"/>
  <c r="X9" s="1"/>
  <c r="V10"/>
  <c r="X10" s="1"/>
  <c r="Q35"/>
  <c r="Q36"/>
  <c r="Q37" s="1"/>
  <c r="M40" i="1"/>
  <c r="M38" s="1"/>
  <c r="U12" i="10" l="1"/>
  <c r="M40"/>
  <c r="M42" s="1"/>
  <c r="M42" i="1"/>
  <c r="V18" l="1"/>
  <c r="V31" s="1"/>
  <c r="AH35" s="1"/>
  <c r="V17"/>
  <c r="V30" s="1"/>
  <c r="V15" i="10"/>
  <c r="M38"/>
  <c r="AD37" i="1" l="1"/>
  <c r="AD35"/>
  <c r="AD41"/>
  <c r="AD39"/>
  <c r="V40" i="10"/>
  <c r="X40" s="1"/>
  <c r="V42"/>
  <c r="X42" s="1"/>
  <c r="Y42" s="1"/>
  <c r="AH39" i="1"/>
  <c r="AH41"/>
  <c r="AH37"/>
</calcChain>
</file>

<file path=xl/sharedStrings.xml><?xml version="1.0" encoding="utf-8"?>
<sst xmlns="http://schemas.openxmlformats.org/spreadsheetml/2006/main" count="498" uniqueCount="187">
  <si>
    <t>CLIENT</t>
  </si>
  <si>
    <t>STV Incorporated</t>
  </si>
  <si>
    <t>PROJECT</t>
  </si>
  <si>
    <t xml:space="preserve">MADE </t>
  </si>
  <si>
    <t xml:space="preserve">CHK. </t>
  </si>
  <si>
    <t>REV.</t>
  </si>
  <si>
    <t>SUBJECT</t>
  </si>
  <si>
    <t>NKN</t>
  </si>
  <si>
    <t>MassDOT</t>
  </si>
  <si>
    <t>ft</t>
  </si>
  <si>
    <t>in</t>
  </si>
  <si>
    <t>L=</t>
  </si>
  <si>
    <t>kips</t>
  </si>
  <si>
    <t>Westfield Great River Sister Bridge</t>
  </si>
  <si>
    <r>
      <t>in</t>
    </r>
    <r>
      <rPr>
        <vertAlign val="superscript"/>
        <sz val="10"/>
        <color theme="1"/>
        <rFont val="Calibri"/>
        <family val="2"/>
        <scheme val="minor"/>
      </rPr>
      <t>2</t>
    </r>
  </si>
  <si>
    <r>
      <t>kip/ft</t>
    </r>
    <r>
      <rPr>
        <vertAlign val="superscript"/>
        <sz val="10"/>
        <color theme="1"/>
        <rFont val="Calibri"/>
        <family val="2"/>
        <scheme val="minor"/>
      </rPr>
      <t>2</t>
    </r>
  </si>
  <si>
    <t>w=</t>
  </si>
  <si>
    <t>Rating for Deck and Sidewalk</t>
  </si>
  <si>
    <t>Concrete Slab Rating</t>
  </si>
  <si>
    <t>Bottom Cover (Bc) =</t>
  </si>
  <si>
    <t>Thickness(t) =</t>
  </si>
  <si>
    <t>Top Cover (Tc) =</t>
  </si>
  <si>
    <t xml:space="preserve">Effective Span Length(S)= </t>
  </si>
  <si>
    <t>Bottom Bar Size</t>
  </si>
  <si>
    <t>Concrete:</t>
  </si>
  <si>
    <t>f'c=</t>
  </si>
  <si>
    <t>ksi</t>
  </si>
  <si>
    <t>Operating fc =</t>
  </si>
  <si>
    <t>Inventory fc =</t>
  </si>
  <si>
    <t>Reinforcing:</t>
  </si>
  <si>
    <t>Operating fs =</t>
  </si>
  <si>
    <t>fy =</t>
  </si>
  <si>
    <t>Inventory fs =</t>
  </si>
  <si>
    <t>Bit. Wearing Surface   Thickness =</t>
  </si>
  <si>
    <t>Wc=</t>
  </si>
  <si>
    <r>
      <t>kip/ft</t>
    </r>
    <r>
      <rPr>
        <vertAlign val="superscript"/>
        <sz val="10"/>
        <color theme="1"/>
        <rFont val="Calibri"/>
        <family val="2"/>
        <scheme val="minor"/>
      </rPr>
      <t>3</t>
    </r>
  </si>
  <si>
    <t>Moment Capacity</t>
  </si>
  <si>
    <t>Positive Moment:</t>
  </si>
  <si>
    <t>Bottom Bars</t>
  </si>
  <si>
    <t>Bar #</t>
  </si>
  <si>
    <t>Bar dia.</t>
  </si>
  <si>
    <t>spacing =</t>
  </si>
  <si>
    <t>Bar Area</t>
  </si>
  <si>
    <t>d' =</t>
  </si>
  <si>
    <t>As =</t>
  </si>
  <si>
    <t>s =</t>
  </si>
  <si>
    <t>d =</t>
  </si>
  <si>
    <t>Top Bars</t>
  </si>
  <si>
    <t>m=</t>
  </si>
  <si>
    <t>q=</t>
  </si>
  <si>
    <t>k=</t>
  </si>
  <si>
    <t>A=</t>
  </si>
  <si>
    <t>B=</t>
  </si>
  <si>
    <t>C=</t>
  </si>
  <si>
    <t>Z=</t>
  </si>
  <si>
    <t>J=</t>
  </si>
  <si>
    <t>J=1-Z*k</t>
  </si>
  <si>
    <r>
      <t>IF B</t>
    </r>
    <r>
      <rPr>
        <sz val="10"/>
        <color theme="1"/>
        <rFont val="Calibri"/>
        <family val="2"/>
      </rPr>
      <t>≥</t>
    </r>
    <r>
      <rPr>
        <sz val="11"/>
        <color theme="1"/>
        <rFont val="Calibri"/>
        <family val="2"/>
      </rPr>
      <t>1;   Z=</t>
    </r>
  </si>
  <si>
    <t>Inventory</t>
  </si>
  <si>
    <t>fc=</t>
  </si>
  <si>
    <t>Allowable</t>
  </si>
  <si>
    <t>Bottom Bar Spacing</t>
  </si>
  <si>
    <t>Operating</t>
  </si>
  <si>
    <t>Check Concrete Stress :</t>
  </si>
  <si>
    <t>Steel Moment Capacity</t>
  </si>
  <si>
    <t xml:space="preserve">Steel Moment Capacity: </t>
  </si>
  <si>
    <r>
      <t>M</t>
    </r>
    <r>
      <rPr>
        <vertAlign val="subscript"/>
        <sz val="10"/>
        <color theme="1"/>
        <rFont val="Calibri"/>
        <family val="2"/>
        <scheme val="minor"/>
      </rPr>
      <t>cap</t>
    </r>
    <r>
      <rPr>
        <sz val="10"/>
        <color theme="1"/>
        <rFont val="Calibri"/>
        <family val="2"/>
        <scheme val="minor"/>
      </rPr>
      <t>=</t>
    </r>
  </si>
  <si>
    <t>Dead Load Moment:</t>
  </si>
  <si>
    <r>
      <t>M</t>
    </r>
    <r>
      <rPr>
        <vertAlign val="subscript"/>
        <sz val="10"/>
        <color theme="1"/>
        <rFont val="Calibri"/>
        <family val="2"/>
        <scheme val="minor"/>
      </rPr>
      <t>DL</t>
    </r>
    <r>
      <rPr>
        <sz val="10"/>
        <color theme="1"/>
        <rFont val="Calibri"/>
        <family val="2"/>
        <scheme val="minor"/>
      </rPr>
      <t>=</t>
    </r>
  </si>
  <si>
    <r>
      <t>M</t>
    </r>
    <r>
      <rPr>
        <vertAlign val="subscript"/>
        <sz val="10"/>
        <color theme="1"/>
        <rFont val="Calibri"/>
        <family val="2"/>
        <scheme val="minor"/>
      </rPr>
      <t>DL</t>
    </r>
    <r>
      <rPr>
        <sz val="10"/>
        <color theme="1"/>
        <rFont val="Calibri"/>
        <family val="2"/>
        <scheme val="minor"/>
      </rPr>
      <t>=continuity*wl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/8</t>
    </r>
  </si>
  <si>
    <t xml:space="preserve">number of spans = </t>
  </si>
  <si>
    <t>continuity=</t>
  </si>
  <si>
    <t>Moment Available for Live Load</t>
  </si>
  <si>
    <r>
      <t>M</t>
    </r>
    <r>
      <rPr>
        <vertAlign val="subscript"/>
        <sz val="10"/>
        <color theme="1"/>
        <rFont val="Calibri"/>
        <family val="2"/>
        <scheme val="minor"/>
      </rPr>
      <t>av</t>
    </r>
    <r>
      <rPr>
        <sz val="10"/>
        <color theme="1"/>
        <rFont val="Calibri"/>
        <family val="2"/>
        <scheme val="minor"/>
      </rPr>
      <t>=</t>
    </r>
  </si>
  <si>
    <t>kip*ft</t>
  </si>
  <si>
    <r>
      <t>M</t>
    </r>
    <r>
      <rPr>
        <vertAlign val="subscript"/>
        <sz val="10"/>
        <color theme="1"/>
        <rFont val="Calibri"/>
        <family val="2"/>
        <scheme val="minor"/>
      </rPr>
      <t>av</t>
    </r>
    <r>
      <rPr>
        <sz val="10"/>
        <color theme="1"/>
        <rFont val="Calibri"/>
        <family val="2"/>
        <scheme val="minor"/>
      </rPr>
      <t>=M</t>
    </r>
    <r>
      <rPr>
        <vertAlign val="subscript"/>
        <sz val="10"/>
        <color theme="1"/>
        <rFont val="Calibri"/>
        <family val="2"/>
        <scheme val="minor"/>
      </rPr>
      <t>cap</t>
    </r>
    <r>
      <rPr>
        <sz val="10"/>
        <color theme="1"/>
        <rFont val="Calibri"/>
        <family val="2"/>
        <scheme val="minor"/>
      </rPr>
      <t>-M</t>
    </r>
    <r>
      <rPr>
        <vertAlign val="subscript"/>
        <sz val="10"/>
        <color theme="1"/>
        <rFont val="Calibri"/>
        <family val="2"/>
        <scheme val="minor"/>
      </rPr>
      <t>DL</t>
    </r>
  </si>
  <si>
    <t>Live Load Moment:</t>
  </si>
  <si>
    <t>Impact Factor:</t>
  </si>
  <si>
    <t>I=</t>
  </si>
  <si>
    <t>To check IM for LRFR</t>
  </si>
  <si>
    <t>P=</t>
  </si>
  <si>
    <t>E=</t>
  </si>
  <si>
    <r>
      <t>M</t>
    </r>
    <r>
      <rPr>
        <vertAlign val="subscript"/>
        <sz val="10"/>
        <color theme="1"/>
        <rFont val="Calibri"/>
        <family val="2"/>
        <scheme val="minor"/>
      </rPr>
      <t>LL</t>
    </r>
    <r>
      <rPr>
        <sz val="10"/>
        <color theme="1"/>
        <rFont val="Calibri"/>
        <family val="2"/>
        <scheme val="minor"/>
      </rPr>
      <t>=</t>
    </r>
  </si>
  <si>
    <t>Type 3</t>
  </si>
  <si>
    <t>Type 3S2</t>
  </si>
  <si>
    <t>H20</t>
  </si>
  <si>
    <t>W=</t>
  </si>
  <si>
    <t>HS20</t>
  </si>
  <si>
    <t>TYPE 3</t>
  </si>
  <si>
    <t>TYPE 3S2</t>
  </si>
  <si>
    <t>tons</t>
  </si>
  <si>
    <t>Metric LRFR Deck Rating</t>
  </si>
  <si>
    <t>T=</t>
  </si>
  <si>
    <r>
      <t>A</t>
    </r>
    <r>
      <rPr>
        <vertAlign val="subscript"/>
        <sz val="10"/>
        <color theme="1"/>
        <rFont val="Calibri"/>
        <family val="2"/>
        <scheme val="minor"/>
      </rPr>
      <t>s</t>
    </r>
    <r>
      <rPr>
        <sz val="10"/>
        <color theme="1"/>
        <rFont val="Calibri"/>
        <family val="2"/>
        <scheme val="minor"/>
      </rPr>
      <t>*f</t>
    </r>
    <r>
      <rPr>
        <vertAlign val="subscript"/>
        <sz val="10"/>
        <color theme="1"/>
        <rFont val="Calibri"/>
        <family val="2"/>
        <scheme val="minor"/>
      </rPr>
      <t>y</t>
    </r>
  </si>
  <si>
    <t>0.85*f'c*b*a</t>
  </si>
  <si>
    <t>a=</t>
  </si>
  <si>
    <t>ФMn=</t>
  </si>
  <si>
    <t>C = T</t>
  </si>
  <si>
    <t>Dead Load Moment</t>
  </si>
  <si>
    <t>(from above)</t>
  </si>
  <si>
    <t>Live Load Moment</t>
  </si>
  <si>
    <t>(for HS20 from above)</t>
  </si>
  <si>
    <t>Rating Factor</t>
  </si>
  <si>
    <t>RF=</t>
  </si>
  <si>
    <t>A1</t>
  </si>
  <si>
    <t>A2</t>
  </si>
  <si>
    <t>Item 66</t>
  </si>
  <si>
    <t>Capacity of the member</t>
  </si>
  <si>
    <t>D=</t>
  </si>
  <si>
    <t>Dead Load Effect on the member</t>
  </si>
  <si>
    <t>Live Load Effect on the member</t>
  </si>
  <si>
    <t>The Impact factor to be used with the live load</t>
  </si>
  <si>
    <t>References:</t>
  </si>
  <si>
    <t>[2] AASHTO Manual for Bridge Evaluation, First Edition, 2008</t>
  </si>
  <si>
    <t>[2] 6B.7.4</t>
  </si>
  <si>
    <t>[2] 6B.5.3</t>
  </si>
  <si>
    <t>[2] Table 6B.6.2.4.1-1</t>
  </si>
  <si>
    <t>[2] Table 6B.6.2.3-1</t>
  </si>
  <si>
    <t xml:space="preserve">MCEB 6.6.2.4                n=   </t>
  </si>
  <si>
    <t>See Drawings, Sheet 28</t>
  </si>
  <si>
    <t>(1/2 from 2" SIP form and 1"cl), Sheet 34</t>
  </si>
  <si>
    <t>AASHTO LRFD 9.7.2.3</t>
  </si>
  <si>
    <t>See Drawings, Sheet 34</t>
  </si>
  <si>
    <t>As' =</t>
  </si>
  <si>
    <r>
      <t>M</t>
    </r>
    <r>
      <rPr>
        <vertAlign val="subscript"/>
        <sz val="10"/>
        <color theme="1"/>
        <rFont val="Calibri"/>
        <family val="2"/>
        <scheme val="minor"/>
      </rPr>
      <t>cap</t>
    </r>
    <r>
      <rPr>
        <sz val="10"/>
        <color theme="1"/>
        <rFont val="Calibri"/>
        <family val="2"/>
        <scheme val="minor"/>
      </rPr>
      <t>=f</t>
    </r>
    <r>
      <rPr>
        <vertAlign val="subscript"/>
        <sz val="10"/>
        <color theme="1"/>
        <rFont val="Calibri"/>
        <family val="2"/>
        <scheme val="minor"/>
      </rPr>
      <t>s</t>
    </r>
    <r>
      <rPr>
        <sz val="10"/>
        <color theme="1"/>
        <rFont val="Calibri"/>
        <family val="2"/>
        <scheme val="minor"/>
      </rPr>
      <t>*A</t>
    </r>
    <r>
      <rPr>
        <vertAlign val="subscript"/>
        <sz val="10"/>
        <color theme="1"/>
        <rFont val="Calibri"/>
        <family val="2"/>
        <scheme val="minor"/>
      </rPr>
      <t>s</t>
    </r>
    <r>
      <rPr>
        <sz val="10"/>
        <color theme="1"/>
        <rFont val="Calibri"/>
        <family val="2"/>
        <scheme val="minor"/>
      </rPr>
      <t>*J*d</t>
    </r>
  </si>
  <si>
    <t>check min reinforcement</t>
  </si>
  <si>
    <t>different load factors for different loads and conditions</t>
  </si>
  <si>
    <t>DC=</t>
  </si>
  <si>
    <t>DW=</t>
  </si>
  <si>
    <t>[2] 6B.7.4.</t>
  </si>
  <si>
    <t>(Use I according to AASHTO Standartd Specs)</t>
  </si>
  <si>
    <t>E=0.063S+4.65; Span &gt;7'</t>
  </si>
  <si>
    <t>(Formulas from MassDOT Bridge Manual, 7.2.4.10, 2007)</t>
  </si>
  <si>
    <t>kip-ft</t>
  </si>
  <si>
    <r>
      <rPr>
        <sz val="10"/>
        <color theme="1"/>
        <rFont val="Verdana"/>
        <family val="2"/>
      </rPr>
      <t>φ</t>
    </r>
    <r>
      <rPr>
        <vertAlign val="subscript"/>
        <sz val="10"/>
        <color theme="1"/>
        <rFont val="Calibri"/>
        <family val="2"/>
      </rPr>
      <t>f</t>
    </r>
    <r>
      <rPr>
        <sz val="10"/>
        <color theme="1"/>
        <rFont val="Calibri"/>
        <family val="2"/>
      </rPr>
      <t>=</t>
    </r>
  </si>
  <si>
    <r>
      <t>Mr=</t>
    </r>
    <r>
      <rPr>
        <sz val="10"/>
        <color theme="1"/>
        <rFont val="Verdana"/>
        <family val="2"/>
      </rPr>
      <t>φ</t>
    </r>
    <r>
      <rPr>
        <vertAlign val="subscript"/>
        <sz val="10"/>
        <color theme="1"/>
        <rFont val="Calibri"/>
        <family val="2"/>
      </rPr>
      <t>f</t>
    </r>
    <r>
      <rPr>
        <sz val="10"/>
        <color theme="1"/>
        <rFont val="Calibri"/>
        <family val="2"/>
      </rPr>
      <t>*M</t>
    </r>
    <r>
      <rPr>
        <vertAlign val="subscript"/>
        <sz val="10"/>
        <color theme="1"/>
        <rFont val="Calibri"/>
        <family val="2"/>
      </rPr>
      <t>n</t>
    </r>
    <r>
      <rPr>
        <sz val="10"/>
        <color theme="1"/>
        <rFont val="Calibri"/>
        <family val="2"/>
      </rPr>
      <t>=</t>
    </r>
  </si>
  <si>
    <r>
      <t>b</t>
    </r>
    <r>
      <rPr>
        <vertAlign val="subscript"/>
        <sz val="10"/>
        <color theme="1"/>
        <rFont val="Calibri"/>
        <family val="2"/>
        <scheme val="minor"/>
      </rPr>
      <t>eff</t>
    </r>
    <r>
      <rPr>
        <sz val="10"/>
        <color theme="1"/>
        <rFont val="Calibri"/>
        <family val="2"/>
        <scheme val="minor"/>
      </rPr>
      <t>=</t>
    </r>
  </si>
  <si>
    <t>4.2.</t>
  </si>
  <si>
    <t>Compute Distance to Neutral Axis, c</t>
  </si>
  <si>
    <r>
      <t>β</t>
    </r>
    <r>
      <rPr>
        <vertAlign val="subscript"/>
        <sz val="10"/>
        <color theme="1"/>
        <rFont val="Calibri"/>
        <family val="2"/>
      </rPr>
      <t>1</t>
    </r>
    <r>
      <rPr>
        <sz val="10"/>
        <color theme="1"/>
        <rFont val="Calibri"/>
        <family val="2"/>
      </rPr>
      <t>=</t>
    </r>
  </si>
  <si>
    <t>bar #</t>
  </si>
  <si>
    <r>
      <t>b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=</t>
    </r>
  </si>
  <si>
    <r>
      <t>A</t>
    </r>
    <r>
      <rPr>
        <vertAlign val="subscript"/>
        <sz val="10"/>
        <color theme="1"/>
        <rFont val="Calibri"/>
        <family val="2"/>
        <scheme val="minor"/>
      </rPr>
      <t>s,1</t>
    </r>
    <r>
      <rPr>
        <sz val="10"/>
        <color theme="1"/>
        <rFont val="Calibri"/>
        <family val="2"/>
        <scheme val="minor"/>
      </rPr>
      <t>=</t>
    </r>
  </si>
  <si>
    <t>As=</t>
  </si>
  <si>
    <t>c=</t>
  </si>
  <si>
    <t>a_cover=</t>
  </si>
  <si>
    <t>y1=</t>
  </si>
  <si>
    <t>Distance from bottom of section to CG of reinforcement, y1</t>
  </si>
  <si>
    <t>h=</t>
  </si>
  <si>
    <t>ds=</t>
  </si>
  <si>
    <r>
      <t>M</t>
    </r>
    <r>
      <rPr>
        <vertAlign val="subscript"/>
        <sz val="10"/>
        <color theme="1"/>
        <rFont val="Calibri"/>
        <family val="2"/>
        <scheme val="minor"/>
      </rPr>
      <t>n</t>
    </r>
    <r>
      <rPr>
        <sz val="10"/>
        <color theme="1"/>
        <rFont val="Calibri"/>
        <family val="2"/>
        <scheme val="minor"/>
      </rPr>
      <t>=</t>
    </r>
  </si>
  <si>
    <t>Rating</t>
  </si>
  <si>
    <t>Using MS18 (metric equivalent) =</t>
  </si>
  <si>
    <r>
      <t xml:space="preserve">E=0.36S+2.58; Span </t>
    </r>
    <r>
      <rPr>
        <sz val="10"/>
        <rFont val="Calibri"/>
        <family val="2"/>
      </rPr>
      <t>≤</t>
    </r>
    <r>
      <rPr>
        <sz val="10"/>
        <rFont val="Calibri"/>
        <family val="2"/>
        <scheme val="minor"/>
      </rPr>
      <t>7'</t>
    </r>
  </si>
  <si>
    <t>Item 64</t>
  </si>
  <si>
    <t>MS Equivalent</t>
  </si>
  <si>
    <t>[1] MassDOT BRIDGE MANUAL, 2007</t>
  </si>
  <si>
    <t>General Rating Equation</t>
  </si>
  <si>
    <t>RF   =</t>
  </si>
  <si>
    <r>
      <t>C-A</t>
    </r>
    <r>
      <rPr>
        <vertAlign val="subscript"/>
        <sz val="11"/>
        <color indexed="8"/>
        <rFont val="Calibri"/>
        <family val="2"/>
        <scheme val="minor"/>
      </rPr>
      <t>1</t>
    </r>
    <r>
      <rPr>
        <sz val="11"/>
        <color indexed="8"/>
        <rFont val="Calibri"/>
        <family val="2"/>
        <scheme val="minor"/>
      </rPr>
      <t>D</t>
    </r>
  </si>
  <si>
    <r>
      <t>A</t>
    </r>
    <r>
      <rPr>
        <vertAlign val="subscript"/>
        <sz val="11"/>
        <color indexed="8"/>
        <rFont val="Calibri"/>
        <family val="2"/>
        <scheme val="minor"/>
      </rPr>
      <t>2</t>
    </r>
    <r>
      <rPr>
        <sz val="11"/>
        <color indexed="8"/>
        <rFont val="Calibri"/>
        <family val="2"/>
        <scheme val="minor"/>
      </rPr>
      <t>L(1+I)</t>
    </r>
  </si>
  <si>
    <t>For ASD Rating A1=A2=</t>
  </si>
  <si>
    <t>For LFD Rating</t>
  </si>
  <si>
    <t>According to 3.8.1.1 Impact should not be included for sidewalk loads</t>
  </si>
  <si>
    <r>
      <t>M</t>
    </r>
    <r>
      <rPr>
        <vertAlign val="subscript"/>
        <sz val="11"/>
        <color theme="1"/>
        <rFont val="Calibri"/>
        <family val="2"/>
        <scheme val="minor"/>
      </rPr>
      <t>LL</t>
    </r>
    <r>
      <rPr>
        <sz val="11"/>
        <color theme="1"/>
        <rFont val="Calibri"/>
        <family val="2"/>
        <scheme val="minor"/>
      </rPr>
      <t>=</t>
    </r>
  </si>
  <si>
    <r>
      <t>kip/ft</t>
    </r>
    <r>
      <rPr>
        <vertAlign val="superscript"/>
        <sz val="11"/>
        <color theme="1"/>
        <rFont val="Calibri"/>
        <family val="2"/>
        <scheme val="minor"/>
      </rPr>
      <t>2</t>
    </r>
  </si>
  <si>
    <r>
      <t>in</t>
    </r>
    <r>
      <rPr>
        <vertAlign val="superscript"/>
        <sz val="11"/>
        <color theme="1"/>
        <rFont val="Calibri"/>
        <family val="2"/>
        <scheme val="minor"/>
      </rPr>
      <t>2</t>
    </r>
  </si>
  <si>
    <r>
      <t>M</t>
    </r>
    <r>
      <rPr>
        <vertAlign val="subscript"/>
        <sz val="11"/>
        <color theme="1"/>
        <rFont val="Calibri"/>
        <family val="2"/>
        <scheme val="minor"/>
      </rPr>
      <t>DL</t>
    </r>
    <r>
      <rPr>
        <sz val="11"/>
        <color theme="1"/>
        <rFont val="Calibri"/>
        <family val="2"/>
        <scheme val="minor"/>
      </rPr>
      <t>=</t>
    </r>
  </si>
  <si>
    <r>
      <t>kip/ft</t>
    </r>
    <r>
      <rPr>
        <vertAlign val="superscript"/>
        <sz val="11"/>
        <color theme="1"/>
        <rFont val="Calibri"/>
        <family val="2"/>
        <scheme val="minor"/>
      </rPr>
      <t>3</t>
    </r>
  </si>
  <si>
    <r>
      <t>(SW of SIP forms included - 5 lb/ft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)</t>
    </r>
  </si>
  <si>
    <r>
      <t>M</t>
    </r>
    <r>
      <rPr>
        <vertAlign val="subscript"/>
        <sz val="11"/>
        <color theme="1"/>
        <rFont val="Calibri"/>
        <family val="2"/>
        <scheme val="minor"/>
      </rPr>
      <t>cap</t>
    </r>
    <r>
      <rPr>
        <sz val="11"/>
        <color theme="1"/>
        <rFont val="Calibri"/>
        <family val="2"/>
        <scheme val="minor"/>
      </rPr>
      <t>=f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*A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*J*d</t>
    </r>
  </si>
  <si>
    <r>
      <t>M</t>
    </r>
    <r>
      <rPr>
        <vertAlign val="subscript"/>
        <sz val="11"/>
        <color theme="1"/>
        <rFont val="Calibri"/>
        <family val="2"/>
        <scheme val="minor"/>
      </rPr>
      <t>cap</t>
    </r>
    <r>
      <rPr>
        <sz val="11"/>
        <color theme="1"/>
        <rFont val="Calibri"/>
        <family val="2"/>
        <scheme val="minor"/>
      </rPr>
      <t>=</t>
    </r>
  </si>
  <si>
    <r>
      <t>M</t>
    </r>
    <r>
      <rPr>
        <vertAlign val="subscript"/>
        <sz val="11"/>
        <color theme="1"/>
        <rFont val="Calibri"/>
        <family val="2"/>
        <scheme val="minor"/>
      </rPr>
      <t>DL</t>
    </r>
    <r>
      <rPr>
        <sz val="11"/>
        <color theme="1"/>
        <rFont val="Calibri"/>
        <family val="2"/>
        <scheme val="minor"/>
      </rPr>
      <t>=continuity*wl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/8</t>
    </r>
  </si>
  <si>
    <r>
      <t>IF B≥</t>
    </r>
    <r>
      <rPr>
        <sz val="11"/>
        <color theme="1"/>
        <rFont val="Calibri"/>
        <family val="2"/>
        <scheme val="minor"/>
      </rPr>
      <t>1;   Z=</t>
    </r>
  </si>
  <si>
    <r>
      <t>b</t>
    </r>
    <r>
      <rPr>
        <vertAlign val="subscript"/>
        <sz val="11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>=</t>
    </r>
  </si>
  <si>
    <r>
      <t>β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</t>
    </r>
  </si>
  <si>
    <r>
      <t>b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=</t>
    </r>
  </si>
  <si>
    <r>
      <t>A</t>
    </r>
    <r>
      <rPr>
        <vertAlign val="subscript"/>
        <sz val="11"/>
        <color theme="1"/>
        <rFont val="Calibri"/>
        <family val="2"/>
        <scheme val="minor"/>
      </rPr>
      <t>s,1</t>
    </r>
    <r>
      <rPr>
        <sz val="11"/>
        <color theme="1"/>
        <rFont val="Calibri"/>
        <family val="2"/>
        <scheme val="minor"/>
      </rPr>
      <t>=</t>
    </r>
  </si>
  <si>
    <r>
      <t>M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=</t>
    </r>
  </si>
  <si>
    <r>
      <t>φ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=</t>
    </r>
  </si>
  <si>
    <r>
      <t>Mr=φ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*M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=</t>
    </r>
  </si>
  <si>
    <t xml:space="preserve">ASD Operating Rating = </t>
  </si>
  <si>
    <t xml:space="preserve">LFD Operating Rating = </t>
  </si>
  <si>
    <t>H20 and HS20</t>
  </si>
  <si>
    <t>(AASHTO Standard Specifications, 17th Ed. 3-15, use 0.8 for continuity factor)</t>
  </si>
  <si>
    <t>design for negative moment region, lesser d</t>
  </si>
  <si>
    <t>ARG</t>
  </si>
</sst>
</file>

<file path=xl/styles.xml><?xml version="1.0" encoding="utf-8"?>
<styleSheet xmlns="http://schemas.openxmlformats.org/spreadsheetml/2006/main">
  <numFmts count="8">
    <numFmt numFmtId="164" formatCode="0.000"/>
    <numFmt numFmtId="165" formatCode="&quot;SHT #&quot;\ 0"/>
    <numFmt numFmtId="166" formatCode="0.0"/>
    <numFmt numFmtId="167" formatCode="&quot;*&quot;\ General\ &quot;tons =&quot;"/>
    <numFmt numFmtId="168" formatCode="&quot;MS&quot;\ ##.0"/>
    <numFmt numFmtId="169" formatCode="0.00\ &quot;tons&quot;"/>
    <numFmt numFmtId="170" formatCode="0.00\ &quot;tons =&quot;"/>
    <numFmt numFmtId="171" formatCode="&quot;MS&quot;\ 0.00\ &quot;tons&quot;"/>
  </numFmts>
  <fonts count="36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theme="0"/>
      <name val="Times New Roman"/>
      <family val="1"/>
    </font>
    <font>
      <sz val="10"/>
      <name val="MS Sans Serif"/>
      <family val="2"/>
    </font>
    <font>
      <b/>
      <sz val="12"/>
      <color indexed="12"/>
      <name val="Times New Roman"/>
      <family val="1"/>
    </font>
    <font>
      <sz val="11"/>
      <color theme="1"/>
      <name val="Verdana"/>
      <family val="2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</font>
    <font>
      <u/>
      <sz val="10"/>
      <color theme="1"/>
      <name val="Calibri"/>
      <family val="2"/>
      <scheme val="minor"/>
    </font>
    <font>
      <b/>
      <u/>
      <sz val="11"/>
      <color theme="1"/>
      <name val="Verdana"/>
      <family val="2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</font>
    <font>
      <sz val="15"/>
      <color rgb="FFC0000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Verdana"/>
      <family val="2"/>
    </font>
    <font>
      <vertAlign val="subscript"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1"/>
      <color rgb="FFC00000"/>
      <name val="Verdana"/>
      <family val="2"/>
    </font>
    <font>
      <sz val="10"/>
      <name val="Calibri"/>
      <family val="2"/>
    </font>
    <font>
      <sz val="11"/>
      <name val="Verdan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gray06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auto="1"/>
      </bottom>
      <diagonal/>
    </border>
    <border>
      <left style="thin">
        <color indexed="64"/>
      </left>
      <right style="double">
        <color auto="1"/>
      </right>
      <top style="thin">
        <color indexed="64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auto="1"/>
      </right>
      <top style="thin">
        <color indexed="64"/>
      </top>
      <bottom/>
      <diagonal/>
    </border>
    <border>
      <left style="thin">
        <color indexed="64"/>
      </left>
      <right style="double">
        <color auto="1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3" borderId="0">
      <protection locked="0"/>
    </xf>
    <xf numFmtId="0" fontId="3" fillId="0" borderId="0"/>
    <xf numFmtId="9" fontId="16" fillId="0" borderId="0" applyFont="0" applyFill="0" applyBorder="0" applyAlignment="0" applyProtection="0"/>
  </cellStyleXfs>
  <cellXfs count="180">
    <xf numFmtId="0" fontId="0" fillId="0" borderId="0" xfId="0"/>
    <xf numFmtId="2" fontId="0" fillId="0" borderId="0" xfId="0" applyNumberFormat="1"/>
    <xf numFmtId="0" fontId="1" fillId="0" borderId="1" xfId="0" applyFont="1" applyBorder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165" fontId="1" fillId="0" borderId="1" xfId="0" applyNumberFormat="1" applyFont="1" applyBorder="1"/>
    <xf numFmtId="14" fontId="1" fillId="0" borderId="1" xfId="0" applyNumberFormat="1" applyFont="1" applyBorder="1"/>
    <xf numFmtId="0" fontId="5" fillId="0" borderId="0" xfId="0" applyFont="1"/>
    <xf numFmtId="0" fontId="6" fillId="0" borderId="0" xfId="0" applyFont="1" applyAlignment="1"/>
    <xf numFmtId="0" fontId="6" fillId="0" borderId="0" xfId="0" applyFont="1"/>
    <xf numFmtId="2" fontId="6" fillId="0" borderId="0" xfId="0" applyNumberFormat="1" applyFont="1" applyAlignment="1"/>
    <xf numFmtId="0" fontId="6" fillId="0" borderId="0" xfId="0" applyFont="1" applyAlignment="1">
      <alignment wrapText="1"/>
    </xf>
    <xf numFmtId="164" fontId="6" fillId="0" borderId="0" xfId="0" applyNumberFormat="1" applyFont="1" applyAlignment="1"/>
    <xf numFmtId="0" fontId="6" fillId="0" borderId="5" xfId="0" applyFont="1" applyBorder="1" applyAlignment="1"/>
    <xf numFmtId="0" fontId="6" fillId="0" borderId="0" xfId="0" applyFont="1" applyAlignment="1">
      <alignment horizontal="right"/>
    </xf>
    <xf numFmtId="2" fontId="6" fillId="0" borderId="0" xfId="0" applyNumberFormat="1" applyFont="1"/>
    <xf numFmtId="164" fontId="6" fillId="0" borderId="0" xfId="0" applyNumberFormat="1" applyFont="1"/>
    <xf numFmtId="0" fontId="9" fillId="0" borderId="0" xfId="0" applyFont="1" applyAlignment="1">
      <alignment horizontal="right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Border="1"/>
    <xf numFmtId="164" fontId="5" fillId="0" borderId="0" xfId="0" applyNumberFormat="1" applyFont="1"/>
    <xf numFmtId="0" fontId="5" fillId="0" borderId="0" xfId="0" applyFont="1" applyAlignment="1">
      <alignment horizontal="right"/>
    </xf>
    <xf numFmtId="0" fontId="11" fillId="0" borderId="0" xfId="0" applyFont="1"/>
    <xf numFmtId="0" fontId="6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6" fillId="0" borderId="19" xfId="0" applyFont="1" applyBorder="1"/>
    <xf numFmtId="0" fontId="6" fillId="0" borderId="2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right"/>
    </xf>
    <xf numFmtId="0" fontId="6" fillId="0" borderId="22" xfId="0" applyFont="1" applyBorder="1"/>
    <xf numFmtId="0" fontId="6" fillId="0" borderId="24" xfId="0" applyFont="1" applyBorder="1"/>
    <xf numFmtId="0" fontId="6" fillId="0" borderId="25" xfId="0" applyFont="1" applyBorder="1"/>
    <xf numFmtId="0" fontId="6" fillId="0" borderId="28" xfId="0" applyFont="1" applyBorder="1"/>
    <xf numFmtId="0" fontId="6" fillId="0" borderId="7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166" fontId="9" fillId="0" borderId="0" xfId="0" applyNumberFormat="1" applyFont="1" applyAlignment="1">
      <alignment horizontal="right"/>
    </xf>
    <xf numFmtId="0" fontId="9" fillId="0" borderId="0" xfId="0" applyFont="1"/>
    <xf numFmtId="2" fontId="6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2" fontId="9" fillId="0" borderId="0" xfId="0" applyNumberFormat="1" applyFont="1" applyFill="1" applyAlignment="1"/>
    <xf numFmtId="164" fontId="9" fillId="0" borderId="0" xfId="0" applyNumberFormat="1" applyFont="1" applyAlignment="1">
      <alignment horizontal="right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5" fillId="0" borderId="0" xfId="0" applyFont="1" applyFill="1"/>
    <xf numFmtId="0" fontId="6" fillId="0" borderId="0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17" fillId="0" borderId="0" xfId="0" applyFont="1" applyAlignment="1">
      <alignment horizontal="right"/>
    </xf>
    <xf numFmtId="0" fontId="17" fillId="0" borderId="0" xfId="0" applyFont="1" applyAlignment="1"/>
    <xf numFmtId="49" fontId="18" fillId="0" borderId="0" xfId="0" applyNumberFormat="1" applyFont="1" applyAlignment="1">
      <alignment horizontal="right"/>
    </xf>
    <xf numFmtId="0" fontId="18" fillId="0" borderId="0" xfId="0" applyFont="1"/>
    <xf numFmtId="49" fontId="19" fillId="0" borderId="0" xfId="0" applyNumberFormat="1" applyFont="1" applyAlignment="1">
      <alignment horizontal="right"/>
    </xf>
    <xf numFmtId="0" fontId="19" fillId="0" borderId="0" xfId="0" applyFont="1" applyAlignment="1"/>
    <xf numFmtId="0" fontId="14" fillId="0" borderId="0" xfId="0" applyFont="1" applyAlignment="1">
      <alignment horizontal="right"/>
    </xf>
    <xf numFmtId="9" fontId="6" fillId="0" borderId="0" xfId="4" applyFont="1"/>
    <xf numFmtId="0" fontId="22" fillId="0" borderId="0" xfId="0" applyFont="1"/>
    <xf numFmtId="0" fontId="6" fillId="0" borderId="6" xfId="0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164" fontId="9" fillId="0" borderId="0" xfId="0" applyNumberFormat="1" applyFont="1"/>
    <xf numFmtId="0" fontId="23" fillId="0" borderId="0" xfId="0" applyFont="1"/>
    <xf numFmtId="0" fontId="6" fillId="0" borderId="0" xfId="0" applyFont="1" applyAlignment="1">
      <alignment horizontal="right"/>
    </xf>
    <xf numFmtId="0" fontId="9" fillId="0" borderId="18" xfId="0" applyFont="1" applyBorder="1"/>
    <xf numFmtId="0" fontId="9" fillId="0" borderId="21" xfId="0" applyFont="1" applyBorder="1"/>
    <xf numFmtId="0" fontId="9" fillId="0" borderId="23" xfId="0" applyFont="1" applyBorder="1"/>
    <xf numFmtId="0" fontId="6" fillId="0" borderId="0" xfId="0" applyFont="1" applyAlignment="1">
      <alignment horizontal="center"/>
    </xf>
    <xf numFmtId="0" fontId="25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167" fontId="0" fillId="0" borderId="0" xfId="0" applyNumberFormat="1" applyFont="1" applyAlignment="1">
      <alignment horizontal="left"/>
    </xf>
    <xf numFmtId="0" fontId="27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0" xfId="0" applyFont="1" applyFill="1"/>
    <xf numFmtId="164" fontId="0" fillId="0" borderId="0" xfId="0" applyNumberFormat="1" applyFont="1"/>
    <xf numFmtId="2" fontId="0" fillId="0" borderId="0" xfId="0" applyNumberFormat="1" applyFont="1"/>
    <xf numFmtId="0" fontId="0" fillId="0" borderId="0" xfId="0" applyFont="1" applyAlignment="1"/>
    <xf numFmtId="0" fontId="32" fillId="0" borderId="0" xfId="0" applyFont="1"/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horizontal="right"/>
    </xf>
    <xf numFmtId="164" fontId="0" fillId="0" borderId="0" xfId="0" applyNumberFormat="1" applyFont="1" applyAlignment="1"/>
    <xf numFmtId="2" fontId="27" fillId="0" borderId="0" xfId="0" applyNumberFormat="1" applyFont="1" applyFill="1" applyAlignment="1"/>
    <xf numFmtId="2" fontId="0" fillId="0" borderId="0" xfId="0" applyNumberFormat="1" applyFont="1" applyAlignment="1"/>
    <xf numFmtId="0" fontId="27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26" fillId="0" borderId="0" xfId="0" applyFont="1" applyAlignment="1">
      <alignment horizontal="right"/>
    </xf>
    <xf numFmtId="166" fontId="27" fillId="0" borderId="0" xfId="0" applyNumberFormat="1" applyFont="1" applyAlignment="1">
      <alignment horizontal="right"/>
    </xf>
    <xf numFmtId="164" fontId="27" fillId="0" borderId="0" xfId="0" applyNumberFormat="1" applyFont="1"/>
    <xf numFmtId="0" fontId="27" fillId="0" borderId="0" xfId="0" applyFont="1"/>
    <xf numFmtId="0" fontId="33" fillId="0" borderId="0" xfId="0" applyFont="1"/>
    <xf numFmtId="164" fontId="27" fillId="0" borderId="0" xfId="0" applyNumberFormat="1" applyFont="1" applyAlignment="1">
      <alignment horizontal="right"/>
    </xf>
    <xf numFmtId="49" fontId="34" fillId="0" borderId="0" xfId="0" applyNumberFormat="1" applyFont="1" applyAlignment="1">
      <alignment horizontal="right"/>
    </xf>
    <xf numFmtId="0" fontId="34" fillId="0" borderId="0" xfId="0" applyFont="1"/>
    <xf numFmtId="49" fontId="35" fillId="0" borderId="0" xfId="0" applyNumberFormat="1" applyFont="1" applyAlignment="1">
      <alignment horizontal="right"/>
    </xf>
    <xf numFmtId="0" fontId="35" fillId="0" borderId="0" xfId="0" applyFont="1" applyAlignment="1"/>
    <xf numFmtId="9" fontId="0" fillId="0" borderId="0" xfId="4" applyFont="1"/>
    <xf numFmtId="0" fontId="17" fillId="0" borderId="0" xfId="0" applyFont="1"/>
    <xf numFmtId="0" fontId="0" fillId="0" borderId="6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49" fontId="0" fillId="0" borderId="0" xfId="0" applyNumberFormat="1" applyFont="1" applyAlignment="1">
      <alignment horizontal="right"/>
    </xf>
    <xf numFmtId="169" fontId="0" fillId="0" borderId="0" xfId="0" applyNumberFormat="1" applyFont="1"/>
    <xf numFmtId="170" fontId="0" fillId="0" borderId="0" xfId="0" applyNumberFormat="1" applyFont="1"/>
    <xf numFmtId="0" fontId="0" fillId="0" borderId="0" xfId="0" applyAlignment="1">
      <alignment horizontal="left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8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6" fillId="0" borderId="0" xfId="0" applyFont="1" applyAlignment="1">
      <alignment horizontal="right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2" fontId="6" fillId="0" borderId="1" xfId="0" applyNumberFormat="1" applyFont="1" applyBorder="1" applyAlignment="1">
      <alignment horizontal="center" vertical="center"/>
    </xf>
    <xf numFmtId="2" fontId="6" fillId="0" borderId="1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1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168" fontId="6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6" fillId="0" borderId="17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171" fontId="0" fillId="0" borderId="0" xfId="0" applyNumberFormat="1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center" vertical="center" wrapText="1"/>
    </xf>
    <xf numFmtId="0" fontId="3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</cellXfs>
  <cellStyles count="5">
    <cellStyle name="Input (Shaded)" xfId="2"/>
    <cellStyle name="Normal" xfId="0" builtinId="0"/>
    <cellStyle name="Normal 2" xfId="1"/>
    <cellStyle name="Normal 4" xfId="3"/>
    <cellStyle name="Percent" xfId="4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e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13" Type="http://schemas.openxmlformats.org/officeDocument/2006/relationships/image" Target="../media/image14.emf"/><Relationship Id="rId3" Type="http://schemas.openxmlformats.org/officeDocument/2006/relationships/image" Target="../media/image4.emf"/><Relationship Id="rId7" Type="http://schemas.openxmlformats.org/officeDocument/2006/relationships/image" Target="../media/image8.emf"/><Relationship Id="rId12" Type="http://schemas.openxmlformats.org/officeDocument/2006/relationships/image" Target="../media/image13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11" Type="http://schemas.openxmlformats.org/officeDocument/2006/relationships/image" Target="../media/image12.emf"/><Relationship Id="rId5" Type="http://schemas.openxmlformats.org/officeDocument/2006/relationships/image" Target="../media/image6.emf"/><Relationship Id="rId10" Type="http://schemas.openxmlformats.org/officeDocument/2006/relationships/image" Target="../media/image11.emf"/><Relationship Id="rId4" Type="http://schemas.openxmlformats.org/officeDocument/2006/relationships/image" Target="../media/image5.emf"/><Relationship Id="rId9" Type="http://schemas.openxmlformats.org/officeDocument/2006/relationships/image" Target="../media/image10.emf"/><Relationship Id="rId14" Type="http://schemas.openxmlformats.org/officeDocument/2006/relationships/image" Target="../media/image1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4.emf"/><Relationship Id="rId7" Type="http://schemas.openxmlformats.org/officeDocument/2006/relationships/image" Target="../media/image8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6</xdr:row>
      <xdr:rowOff>104774</xdr:rowOff>
    </xdr:from>
    <xdr:to>
      <xdr:col>4</xdr:col>
      <xdr:colOff>83344</xdr:colOff>
      <xdr:row>17</xdr:row>
      <xdr:rowOff>123824</xdr:rowOff>
    </xdr:to>
    <xdr:pic>
      <xdr:nvPicPr>
        <xdr:cNvPr id="4" name="Picture 3" descr="Deck Sectio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" y="1295399"/>
          <a:ext cx="2512219" cy="2009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197643</xdr:colOff>
      <xdr:row>7</xdr:row>
      <xdr:rowOff>0</xdr:rowOff>
    </xdr:from>
    <xdr:to>
      <xdr:col>5</xdr:col>
      <xdr:colOff>523875</xdr:colOff>
      <xdr:row>17</xdr:row>
      <xdr:rowOff>59056</xdr:rowOff>
    </xdr:to>
    <xdr:pic>
      <xdr:nvPicPr>
        <xdr:cNvPr id="3" name="Picture 2" descr="Sidewalk Sectio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31143" y="1371600"/>
          <a:ext cx="2336007" cy="18688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4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3.bin"/><Relationship Id="rId11" Type="http://schemas.openxmlformats.org/officeDocument/2006/relationships/oleObject" Target="../embeddings/oleObject8.bin"/><Relationship Id="rId5" Type="http://schemas.openxmlformats.org/officeDocument/2006/relationships/oleObject" Target="../embeddings/oleObject2.bin"/><Relationship Id="rId10" Type="http://schemas.openxmlformats.org/officeDocument/2006/relationships/oleObject" Target="../embeddings/oleObject7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oleObject" Target="../embeddings/oleObject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D97"/>
  <sheetViews>
    <sheetView view="pageBreakPreview" topLeftCell="AJ1" zoomScaleNormal="110" zoomScaleSheetLayoutView="100" workbookViewId="0">
      <selection activeCell="AN33" sqref="AN33"/>
    </sheetView>
  </sheetViews>
  <sheetFormatPr defaultRowHeight="15"/>
  <cols>
    <col min="1" max="1" width="10" customWidth="1"/>
    <col min="2" max="2" width="10" style="1" customWidth="1"/>
    <col min="3" max="3" width="10.5703125" customWidth="1"/>
    <col min="4" max="4" width="9.5703125" customWidth="1"/>
    <col min="5" max="9" width="10" customWidth="1"/>
    <col min="10" max="10" width="9.5703125" customWidth="1"/>
    <col min="11" max="11" width="10.85546875" customWidth="1"/>
    <col min="12" max="12" width="9.5703125" customWidth="1"/>
    <col min="13" max="13" width="9" customWidth="1"/>
    <col min="14" max="14" width="9.5703125" customWidth="1"/>
    <col min="15" max="15" width="11.85546875" customWidth="1"/>
    <col min="16" max="19" width="9.5703125" customWidth="1"/>
    <col min="20" max="20" width="10.85546875" customWidth="1"/>
    <col min="21" max="21" width="9.5703125" customWidth="1"/>
    <col min="22" max="22" width="9" customWidth="1"/>
    <col min="23" max="23" width="9.5703125" customWidth="1"/>
    <col min="24" max="24" width="11.85546875" customWidth="1"/>
    <col min="25" max="28" width="9.5703125" customWidth="1"/>
    <col min="29" max="29" width="10.85546875" customWidth="1"/>
    <col min="30" max="30" width="9.5703125" customWidth="1"/>
    <col min="31" max="31" width="9" customWidth="1"/>
    <col min="32" max="32" width="9.5703125" customWidth="1"/>
    <col min="33" max="33" width="11.85546875" customWidth="1"/>
    <col min="34" max="37" width="9.5703125" customWidth="1"/>
    <col min="38" max="38" width="10.85546875" customWidth="1"/>
    <col min="39" max="39" width="9.5703125" customWidth="1"/>
    <col min="40" max="40" width="9" customWidth="1"/>
    <col min="41" max="41" width="9.5703125" customWidth="1"/>
    <col min="42" max="42" width="11.85546875" customWidth="1"/>
    <col min="43" max="44" width="9.5703125" customWidth="1"/>
    <col min="45" max="45" width="9.5703125" style="51" customWidth="1"/>
  </cols>
  <sheetData>
    <row r="1" spans="1:108" ht="20.25">
      <c r="A1" s="2" t="s">
        <v>0</v>
      </c>
      <c r="B1" s="136" t="s">
        <v>8</v>
      </c>
      <c r="C1" s="137"/>
      <c r="D1" s="137"/>
      <c r="E1" s="138"/>
      <c r="F1" s="3" t="s">
        <v>1</v>
      </c>
      <c r="G1" s="4"/>
      <c r="H1" s="4"/>
      <c r="I1" s="5"/>
      <c r="J1" s="2" t="s">
        <v>0</v>
      </c>
      <c r="K1" s="136" t="str">
        <f>B1</f>
        <v>MassDOT</v>
      </c>
      <c r="L1" s="137"/>
      <c r="M1" s="137"/>
      <c r="N1" s="138"/>
      <c r="O1" s="3" t="s">
        <v>1</v>
      </c>
      <c r="P1" s="4"/>
      <c r="Q1" s="4"/>
      <c r="R1" s="5"/>
      <c r="S1" s="2" t="s">
        <v>0</v>
      </c>
      <c r="T1" s="136" t="str">
        <f>K1</f>
        <v>MassDOT</v>
      </c>
      <c r="U1" s="137"/>
      <c r="V1" s="137"/>
      <c r="W1" s="138"/>
      <c r="X1" s="3" t="s">
        <v>1</v>
      </c>
      <c r="Y1" s="4"/>
      <c r="Z1" s="4"/>
      <c r="AA1" s="5"/>
      <c r="AB1" s="2" t="s">
        <v>0</v>
      </c>
      <c r="AC1" s="136" t="str">
        <f>T1</f>
        <v>MassDOT</v>
      </c>
      <c r="AD1" s="137"/>
      <c r="AE1" s="137"/>
      <c r="AF1" s="138"/>
      <c r="AG1" s="3" t="s">
        <v>1</v>
      </c>
      <c r="AH1" s="4"/>
      <c r="AI1" s="4"/>
      <c r="AJ1" s="5"/>
      <c r="AK1" s="2" t="s">
        <v>0</v>
      </c>
      <c r="AL1" s="136" t="str">
        <f>AC1</f>
        <v>MassDOT</v>
      </c>
      <c r="AM1" s="137"/>
      <c r="AN1" s="137"/>
      <c r="AO1" s="138"/>
      <c r="AP1" s="3" t="s">
        <v>1</v>
      </c>
      <c r="AQ1" s="4"/>
      <c r="AR1" s="4"/>
      <c r="AS1" s="48"/>
    </row>
    <row r="2" spans="1:108">
      <c r="A2" s="2" t="s">
        <v>2</v>
      </c>
      <c r="B2" s="136" t="s">
        <v>13</v>
      </c>
      <c r="C2" s="137"/>
      <c r="D2" s="137"/>
      <c r="E2" s="138"/>
      <c r="F2" s="2" t="s">
        <v>3</v>
      </c>
      <c r="G2" s="2" t="s">
        <v>4</v>
      </c>
      <c r="H2" s="2" t="s">
        <v>5</v>
      </c>
      <c r="I2" s="2">
        <v>4014943</v>
      </c>
      <c r="J2" s="2" t="s">
        <v>2</v>
      </c>
      <c r="K2" s="136" t="str">
        <f>B2</f>
        <v>Westfield Great River Sister Bridge</v>
      </c>
      <c r="L2" s="137"/>
      <c r="M2" s="137"/>
      <c r="N2" s="138"/>
      <c r="O2" s="2" t="s">
        <v>3</v>
      </c>
      <c r="P2" s="2" t="s">
        <v>4</v>
      </c>
      <c r="Q2" s="2" t="s">
        <v>5</v>
      </c>
      <c r="R2" s="2">
        <f>I2</f>
        <v>4014943</v>
      </c>
      <c r="S2" s="2" t="s">
        <v>2</v>
      </c>
      <c r="T2" s="136" t="str">
        <f>K2</f>
        <v>Westfield Great River Sister Bridge</v>
      </c>
      <c r="U2" s="137"/>
      <c r="V2" s="137"/>
      <c r="W2" s="138"/>
      <c r="X2" s="2" t="s">
        <v>3</v>
      </c>
      <c r="Y2" s="2" t="s">
        <v>4</v>
      </c>
      <c r="Z2" s="2" t="s">
        <v>5</v>
      </c>
      <c r="AA2" s="2">
        <f>R2</f>
        <v>4014943</v>
      </c>
      <c r="AB2" s="2" t="s">
        <v>2</v>
      </c>
      <c r="AC2" s="136" t="str">
        <f>T2</f>
        <v>Westfield Great River Sister Bridge</v>
      </c>
      <c r="AD2" s="137"/>
      <c r="AE2" s="137"/>
      <c r="AF2" s="138"/>
      <c r="AG2" s="2" t="s">
        <v>3</v>
      </c>
      <c r="AH2" s="2" t="s">
        <v>4</v>
      </c>
      <c r="AI2" s="2" t="s">
        <v>5</v>
      </c>
      <c r="AJ2" s="2">
        <f>AA2</f>
        <v>4014943</v>
      </c>
      <c r="AK2" s="2" t="s">
        <v>2</v>
      </c>
      <c r="AL2" s="136" t="str">
        <f>AC2</f>
        <v>Westfield Great River Sister Bridge</v>
      </c>
      <c r="AM2" s="137"/>
      <c r="AN2" s="137"/>
      <c r="AO2" s="138"/>
      <c r="AP2" s="2" t="s">
        <v>3</v>
      </c>
      <c r="AQ2" s="2" t="s">
        <v>4</v>
      </c>
      <c r="AR2" s="2" t="s">
        <v>5</v>
      </c>
      <c r="AS2" s="49">
        <f>AJ2</f>
        <v>4014943</v>
      </c>
    </row>
    <row r="3" spans="1:108" ht="15" customHeight="1">
      <c r="A3" s="2" t="s">
        <v>6</v>
      </c>
      <c r="B3" s="139" t="s">
        <v>17</v>
      </c>
      <c r="C3" s="140"/>
      <c r="D3" s="140"/>
      <c r="E3" s="141"/>
      <c r="F3" s="2" t="s">
        <v>7</v>
      </c>
      <c r="G3" s="2"/>
      <c r="H3" s="2"/>
      <c r="I3" s="6">
        <v>1</v>
      </c>
      <c r="J3" s="2" t="s">
        <v>6</v>
      </c>
      <c r="K3" s="139" t="str">
        <f>B3</f>
        <v>Rating for Deck and Sidewalk</v>
      </c>
      <c r="L3" s="140"/>
      <c r="M3" s="140"/>
      <c r="N3" s="141"/>
      <c r="O3" s="2" t="str">
        <f>F3</f>
        <v>NKN</v>
      </c>
      <c r="P3" s="2"/>
      <c r="Q3" s="2"/>
      <c r="R3" s="6">
        <f>I3+1</f>
        <v>2</v>
      </c>
      <c r="S3" s="2" t="s">
        <v>6</v>
      </c>
      <c r="T3" s="139" t="str">
        <f>K3</f>
        <v>Rating for Deck and Sidewalk</v>
      </c>
      <c r="U3" s="140"/>
      <c r="V3" s="140"/>
      <c r="W3" s="141"/>
      <c r="X3" s="2" t="str">
        <f>O3</f>
        <v>NKN</v>
      </c>
      <c r="Y3" s="2"/>
      <c r="Z3" s="2"/>
      <c r="AA3" s="6">
        <f>R3+1</f>
        <v>3</v>
      </c>
      <c r="AB3" s="2" t="s">
        <v>6</v>
      </c>
      <c r="AC3" s="139" t="str">
        <f>T3</f>
        <v>Rating for Deck and Sidewalk</v>
      </c>
      <c r="AD3" s="140"/>
      <c r="AE3" s="140"/>
      <c r="AF3" s="141"/>
      <c r="AG3" s="2" t="str">
        <f>X3</f>
        <v>NKN</v>
      </c>
      <c r="AH3" s="2"/>
      <c r="AI3" s="2"/>
      <c r="AJ3" s="6">
        <f>AA3+1</f>
        <v>4</v>
      </c>
      <c r="AK3" s="2" t="s">
        <v>6</v>
      </c>
      <c r="AL3" s="139" t="str">
        <f>AC3</f>
        <v>Rating for Deck and Sidewalk</v>
      </c>
      <c r="AM3" s="140"/>
      <c r="AN3" s="140"/>
      <c r="AO3" s="141"/>
      <c r="AP3" s="2" t="str">
        <f>AG3</f>
        <v>NKN</v>
      </c>
      <c r="AQ3" s="2"/>
      <c r="AR3" s="2"/>
      <c r="AS3" s="50">
        <f>AJ3+1</f>
        <v>5</v>
      </c>
    </row>
    <row r="4" spans="1:108" ht="15" customHeight="1">
      <c r="A4" s="2"/>
      <c r="B4" s="142"/>
      <c r="C4" s="143"/>
      <c r="D4" s="143"/>
      <c r="E4" s="144"/>
      <c r="F4" s="7">
        <f ca="1">TODAY()</f>
        <v>42247</v>
      </c>
      <c r="G4" s="2"/>
      <c r="H4" s="2"/>
      <c r="I4" s="2"/>
      <c r="J4" s="2"/>
      <c r="K4" s="142" t="str">
        <f>IF(B4="","",B4)</f>
        <v/>
      </c>
      <c r="L4" s="143"/>
      <c r="M4" s="143"/>
      <c r="N4" s="144"/>
      <c r="O4" s="7">
        <f ca="1">F4</f>
        <v>42247</v>
      </c>
      <c r="P4" s="2"/>
      <c r="Q4" s="2"/>
      <c r="R4" s="2"/>
      <c r="S4" s="2"/>
      <c r="T4" s="142" t="str">
        <f>IF(K4="","",K4)</f>
        <v/>
      </c>
      <c r="U4" s="143"/>
      <c r="V4" s="143"/>
      <c r="W4" s="144"/>
      <c r="X4" s="7">
        <f ca="1">O4</f>
        <v>42247</v>
      </c>
      <c r="Y4" s="2"/>
      <c r="Z4" s="2"/>
      <c r="AA4" s="2"/>
      <c r="AB4" s="2"/>
      <c r="AC4" s="142" t="str">
        <f>IF(T4="","",T4)</f>
        <v/>
      </c>
      <c r="AD4" s="143"/>
      <c r="AE4" s="143"/>
      <c r="AF4" s="144"/>
      <c r="AG4" s="7">
        <f ca="1">X4</f>
        <v>42247</v>
      </c>
      <c r="AH4" s="2"/>
      <c r="AI4" s="2"/>
      <c r="AJ4" s="2"/>
      <c r="AK4" s="2"/>
      <c r="AL4" s="142" t="str">
        <f>IF(AC4="","",AC4)</f>
        <v/>
      </c>
      <c r="AM4" s="143"/>
      <c r="AN4" s="143"/>
      <c r="AO4" s="144"/>
      <c r="AP4" s="7">
        <f ca="1">AG4</f>
        <v>42247</v>
      </c>
      <c r="AQ4" s="2"/>
      <c r="AR4" s="2"/>
      <c r="AS4" s="49"/>
    </row>
    <row r="5" spans="1:108" s="8" customFormat="1" ht="14.25" customHeight="1">
      <c r="A5" s="14"/>
      <c r="B5" s="14"/>
      <c r="C5" s="14"/>
      <c r="D5" s="14"/>
      <c r="E5" s="14"/>
      <c r="F5" s="14"/>
      <c r="G5" s="14"/>
      <c r="H5" s="14"/>
      <c r="I5" s="14"/>
      <c r="N5" s="14"/>
      <c r="O5" s="14"/>
      <c r="P5" s="14"/>
      <c r="Q5" s="14"/>
      <c r="R5" s="14"/>
      <c r="S5" s="10"/>
      <c r="T5" s="10"/>
      <c r="U5" s="10"/>
      <c r="V5" s="10"/>
      <c r="W5" s="10"/>
      <c r="X5" s="10"/>
      <c r="Y5" s="10"/>
      <c r="Z5" s="10"/>
      <c r="AA5" s="10"/>
      <c r="AS5" s="23"/>
    </row>
    <row r="6" spans="1:108" s="8" customFormat="1" ht="14.25" customHeight="1">
      <c r="A6" s="150" t="s">
        <v>18</v>
      </c>
      <c r="B6" s="150"/>
      <c r="C6" s="150"/>
      <c r="D6" s="150"/>
      <c r="E6" s="150"/>
      <c r="F6" s="150"/>
      <c r="G6" s="150"/>
      <c r="H6" s="150"/>
      <c r="I6" s="150"/>
      <c r="J6" s="150" t="s">
        <v>36</v>
      </c>
      <c r="K6" s="150"/>
      <c r="L6" s="150"/>
      <c r="M6" s="150"/>
      <c r="N6" s="150"/>
      <c r="O6" s="150"/>
      <c r="P6" s="150"/>
      <c r="Q6" s="150"/>
      <c r="R6" s="150"/>
      <c r="S6" s="151" t="s">
        <v>63</v>
      </c>
      <c r="T6" s="151"/>
      <c r="U6" s="10"/>
      <c r="V6" s="10"/>
      <c r="W6" s="10"/>
      <c r="X6" s="10"/>
      <c r="Y6" s="10"/>
      <c r="Z6" s="10"/>
      <c r="AA6" s="10"/>
      <c r="AB6" s="58" t="s">
        <v>76</v>
      </c>
      <c r="AC6" s="58"/>
      <c r="AD6" s="58"/>
      <c r="AE6" s="58" t="s">
        <v>79</v>
      </c>
      <c r="AF6" s="58"/>
      <c r="AG6" s="58"/>
      <c r="AH6" s="58"/>
      <c r="AI6" s="58"/>
      <c r="AJ6" s="58" t="s">
        <v>129</v>
      </c>
      <c r="AK6" s="150" t="s">
        <v>91</v>
      </c>
      <c r="AL6" s="150"/>
      <c r="AM6" s="150"/>
      <c r="AN6" s="150"/>
      <c r="AO6" s="150"/>
      <c r="AP6" s="150"/>
      <c r="AQ6" s="150"/>
      <c r="AR6" s="150"/>
      <c r="AS6" s="15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</row>
    <row r="7" spans="1:108" s="8" customFormat="1" ht="14.2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58"/>
      <c r="AC7" s="58"/>
      <c r="AD7" s="58"/>
      <c r="AE7" s="58"/>
      <c r="AF7" s="58"/>
      <c r="AG7" s="58"/>
      <c r="AH7" s="58"/>
      <c r="AI7" s="58"/>
      <c r="AJ7" s="59" t="s">
        <v>130</v>
      </c>
      <c r="AS7" s="23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</row>
    <row r="8" spans="1:108" s="8" customFormat="1" ht="14.25" customHeight="1">
      <c r="A8" s="9"/>
      <c r="B8" s="9"/>
      <c r="C8" s="9"/>
      <c r="D8" s="9"/>
      <c r="E8" s="9"/>
      <c r="F8" s="9"/>
      <c r="G8" s="9"/>
      <c r="H8" s="9"/>
      <c r="I8" s="9"/>
      <c r="J8" s="9" t="s">
        <v>37</v>
      </c>
      <c r="K8" s="9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58"/>
      <c r="AC8" s="60"/>
      <c r="AD8" s="60"/>
      <c r="AE8" s="60"/>
      <c r="AF8" s="60"/>
      <c r="AG8" s="58"/>
      <c r="AH8" s="58"/>
      <c r="AI8" s="58"/>
      <c r="AJ8" s="58"/>
      <c r="AK8" s="10"/>
      <c r="AL8" s="10" t="s">
        <v>64</v>
      </c>
      <c r="AM8" s="10"/>
      <c r="AN8" s="10"/>
      <c r="AO8" s="10"/>
      <c r="AP8" s="10"/>
      <c r="AQ8" s="10"/>
      <c r="AR8" s="10"/>
      <c r="AS8" s="15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</row>
    <row r="9" spans="1:108" s="8" customFormat="1" ht="14.25" customHeight="1">
      <c r="A9" s="10"/>
      <c r="B9" s="10"/>
      <c r="C9" s="10"/>
      <c r="D9" s="9"/>
      <c r="E9" s="9"/>
      <c r="F9" s="9"/>
      <c r="G9" s="9"/>
      <c r="H9" s="9"/>
      <c r="I9" s="9"/>
      <c r="J9" s="9"/>
      <c r="K9" s="10" t="s">
        <v>38</v>
      </c>
      <c r="L9" s="10"/>
      <c r="M9" s="10"/>
      <c r="N9" s="10"/>
      <c r="O9" s="10"/>
      <c r="P9" s="10"/>
      <c r="Q9" s="10"/>
      <c r="R9" s="10"/>
      <c r="S9" s="10"/>
      <c r="V9" s="10"/>
      <c r="W9" s="10"/>
      <c r="Y9" s="24" t="s">
        <v>60</v>
      </c>
      <c r="Z9" s="10"/>
      <c r="AA9" s="10"/>
      <c r="AB9" s="58"/>
      <c r="AC9" s="58" t="s">
        <v>77</v>
      </c>
      <c r="AD9" s="58"/>
      <c r="AE9" s="58" t="s">
        <v>78</v>
      </c>
      <c r="AF9" s="58">
        <f>MIN(50/(M17+125),0.3)</f>
        <v>0.3</v>
      </c>
      <c r="AG9" s="58"/>
      <c r="AH9" s="58"/>
      <c r="AI9" s="58"/>
      <c r="AJ9" s="58"/>
      <c r="AK9" s="10"/>
      <c r="AL9" s="10"/>
      <c r="AM9" s="10"/>
      <c r="AN9" s="10"/>
      <c r="AO9" s="10"/>
      <c r="AP9" s="10"/>
      <c r="AQ9" s="10"/>
      <c r="AR9" s="10"/>
      <c r="AS9" s="15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</row>
    <row r="10" spans="1:108" s="8" customFormat="1" ht="14.25" customHeight="1">
      <c r="A10" s="10"/>
      <c r="B10" s="9"/>
      <c r="C10" s="20"/>
      <c r="D10" s="20"/>
      <c r="E10" s="20"/>
      <c r="F10" s="12"/>
      <c r="G10" s="12"/>
      <c r="H10" s="10"/>
      <c r="I10" s="10"/>
      <c r="J10" s="10"/>
      <c r="K10" s="9"/>
      <c r="L10" s="15" t="s">
        <v>39</v>
      </c>
      <c r="M10" s="9">
        <f>C25</f>
        <v>5</v>
      </c>
      <c r="N10" s="10"/>
      <c r="O10" s="10"/>
      <c r="P10" s="10"/>
      <c r="Q10" s="10"/>
      <c r="R10" s="10"/>
      <c r="S10" s="10"/>
      <c r="T10" s="10" t="s">
        <v>58</v>
      </c>
      <c r="U10" s="15" t="s">
        <v>59</v>
      </c>
      <c r="V10" s="17">
        <f>C35/H30*(M33/(1-M33))</f>
        <v>1.4179954894386351</v>
      </c>
      <c r="W10" s="10" t="s">
        <v>26</v>
      </c>
      <c r="X10" s="20" t="str">
        <f>IF(V10&lt;Y10,"&lt;","&gt;")</f>
        <v>&lt;</v>
      </c>
      <c r="Y10" s="10">
        <f>C30</f>
        <v>2</v>
      </c>
      <c r="Z10" s="10" t="s">
        <v>26</v>
      </c>
      <c r="AA10" s="10"/>
      <c r="AB10" s="10"/>
      <c r="AH10" s="10"/>
      <c r="AI10" s="10"/>
      <c r="AJ10" s="10"/>
      <c r="AK10" s="10"/>
      <c r="AM10" s="79" t="s">
        <v>92</v>
      </c>
      <c r="AN10" s="16">
        <f>C34*M14</f>
        <v>36.815538909255388</v>
      </c>
      <c r="AO10" s="10" t="s">
        <v>12</v>
      </c>
      <c r="AP10" s="15" t="s">
        <v>92</v>
      </c>
      <c r="AQ10" s="10" t="s">
        <v>93</v>
      </c>
      <c r="AR10" s="10"/>
      <c r="AS10" s="15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</row>
    <row r="11" spans="1:108" s="8" customFormat="1" ht="14.25" customHeight="1" thickBot="1">
      <c r="J11" s="10"/>
      <c r="K11" s="12"/>
      <c r="L11" s="27" t="s">
        <v>40</v>
      </c>
      <c r="M11" s="9">
        <f>M10/8</f>
        <v>0.625</v>
      </c>
      <c r="N11" s="10" t="s">
        <v>10</v>
      </c>
      <c r="O11" s="10"/>
      <c r="P11" s="10"/>
      <c r="Q11" s="10"/>
      <c r="R11" s="10"/>
      <c r="S11" s="10"/>
      <c r="T11" s="10" t="s">
        <v>62</v>
      </c>
      <c r="U11" s="15" t="s">
        <v>59</v>
      </c>
      <c r="V11" s="17">
        <f>C36/H30*(M33/(1-M33))</f>
        <v>2.1269932341579527</v>
      </c>
      <c r="W11" s="10" t="s">
        <v>26</v>
      </c>
      <c r="X11" s="20" t="str">
        <f>IF(V11&lt;Y11,"&lt;","&gt;")</f>
        <v>&lt;</v>
      </c>
      <c r="Y11" s="10">
        <f>C31</f>
        <v>3</v>
      </c>
      <c r="Z11" s="10" t="s">
        <v>26</v>
      </c>
      <c r="AA11" s="10"/>
      <c r="AB11" s="10"/>
      <c r="AC11" s="10" t="s">
        <v>183</v>
      </c>
      <c r="AD11" s="10"/>
      <c r="AE11" s="10" t="s">
        <v>80</v>
      </c>
      <c r="AF11" s="10">
        <v>16</v>
      </c>
      <c r="AG11" s="10" t="s">
        <v>12</v>
      </c>
      <c r="AH11" s="10"/>
      <c r="AI11" s="10"/>
      <c r="AJ11" s="10"/>
      <c r="AK11" s="10"/>
      <c r="AL11" s="10"/>
      <c r="AM11" s="10"/>
      <c r="AN11" s="16"/>
      <c r="AO11" s="10"/>
      <c r="AP11" s="10"/>
      <c r="AQ11" s="10"/>
      <c r="AR11" s="10" t="s">
        <v>97</v>
      </c>
      <c r="AS11" s="15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</row>
    <row r="12" spans="1:108" s="8" customFormat="1" ht="14.25" customHeight="1">
      <c r="J12" s="9"/>
      <c r="K12" s="9"/>
      <c r="L12" s="15" t="s">
        <v>42</v>
      </c>
      <c r="M12" s="13">
        <f>0.25*PI()*M11^2</f>
        <v>0.30679615757712825</v>
      </c>
      <c r="N12" s="10" t="s">
        <v>14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80"/>
      <c r="AD12" s="30"/>
      <c r="AE12" s="30"/>
      <c r="AF12" s="30"/>
      <c r="AG12" s="30"/>
      <c r="AH12" s="30"/>
      <c r="AI12" s="30"/>
      <c r="AJ12" s="31"/>
      <c r="AK12" s="10"/>
      <c r="AL12" s="10"/>
      <c r="AM12" s="79" t="s">
        <v>53</v>
      </c>
      <c r="AN12" s="16">
        <f>AN10</f>
        <v>36.815538909255388</v>
      </c>
      <c r="AO12" s="10" t="s">
        <v>12</v>
      </c>
      <c r="AP12" s="15" t="s">
        <v>53</v>
      </c>
      <c r="AQ12" s="10" t="s">
        <v>94</v>
      </c>
      <c r="AR12" s="10"/>
      <c r="AS12" s="15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</row>
    <row r="13" spans="1:108" s="8" customFormat="1" ht="14.25" customHeight="1">
      <c r="J13" s="9"/>
      <c r="K13" s="9"/>
      <c r="L13" s="15" t="s">
        <v>41</v>
      </c>
      <c r="M13" s="9">
        <f>C26</f>
        <v>6</v>
      </c>
      <c r="N13" s="10" t="s">
        <v>10</v>
      </c>
      <c r="O13" s="10"/>
      <c r="P13" s="10"/>
      <c r="Q13" s="10"/>
      <c r="R13" s="10"/>
      <c r="S13" s="10"/>
      <c r="T13" s="10"/>
      <c r="U13" s="10" t="str">
        <f>IF(X10="&lt;",IF(X11="&lt;", "STEEL CONTROLS", "CONCRETE CONTROLS"),"CONCRETE CONTROLS")</f>
        <v>STEEL CONTROLS</v>
      </c>
      <c r="V13" s="10"/>
      <c r="W13" s="10"/>
      <c r="X13" s="10"/>
      <c r="Y13" s="10"/>
      <c r="Z13" s="10"/>
      <c r="AA13" s="10"/>
      <c r="AB13" s="10"/>
      <c r="AC13" s="81"/>
      <c r="AD13" s="32"/>
      <c r="AE13" s="32"/>
      <c r="AF13" s="32"/>
      <c r="AG13" s="32"/>
      <c r="AH13" s="33"/>
      <c r="AI13" s="21">
        <f>0.8*((C23+2)/32)*($AF$9+1)*AF11</f>
        <v>4.8880000000000008</v>
      </c>
      <c r="AJ13" s="34" t="s">
        <v>74</v>
      </c>
      <c r="AK13" s="10"/>
      <c r="AL13" s="10"/>
      <c r="AM13" s="10"/>
      <c r="AN13" s="10"/>
      <c r="AO13" s="10"/>
      <c r="AP13" s="10"/>
      <c r="AQ13" s="10"/>
      <c r="AR13" s="10"/>
      <c r="AS13" s="15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</row>
    <row r="14" spans="1:108" s="8" customFormat="1" ht="14.25" customHeight="1" thickBot="1">
      <c r="J14" s="9"/>
      <c r="K14" s="9"/>
      <c r="L14" s="15" t="s">
        <v>44</v>
      </c>
      <c r="M14" s="13">
        <f>M12*12/M13</f>
        <v>0.6135923151542565</v>
      </c>
      <c r="N14" s="10" t="s">
        <v>14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82"/>
      <c r="AD14" s="35"/>
      <c r="AE14" s="35"/>
      <c r="AF14" s="35"/>
      <c r="AG14" s="35"/>
      <c r="AH14" s="35"/>
      <c r="AI14" s="35"/>
      <c r="AJ14" s="36"/>
      <c r="AK14" s="10"/>
      <c r="AL14" s="10"/>
      <c r="AM14" s="79" t="s">
        <v>95</v>
      </c>
      <c r="AN14" s="17">
        <f>AN12/(0.85*C29*12)</f>
        <v>0.72187331194618409</v>
      </c>
      <c r="AO14" s="10" t="s">
        <v>10</v>
      </c>
      <c r="AP14" s="10"/>
      <c r="AQ14" s="10"/>
      <c r="AR14" s="10"/>
      <c r="AS14" s="15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</row>
    <row r="15" spans="1:108" s="8" customFormat="1" ht="14.25" customHeight="1">
      <c r="J15" s="9"/>
      <c r="K15" s="9"/>
      <c r="L15" s="15" t="s">
        <v>46</v>
      </c>
      <c r="M15" s="56">
        <f>C20-C21-M11/2</f>
        <v>6.8125</v>
      </c>
      <c r="N15" s="10" t="s">
        <v>10</v>
      </c>
      <c r="O15" s="10"/>
      <c r="P15" s="10"/>
      <c r="Q15" s="10"/>
      <c r="R15" s="10"/>
      <c r="S15" s="151" t="s">
        <v>65</v>
      </c>
      <c r="T15" s="151"/>
      <c r="U15" s="10"/>
      <c r="V15" s="10" t="s">
        <v>124</v>
      </c>
      <c r="W15" s="10"/>
      <c r="X15" s="10"/>
      <c r="Y15" s="10"/>
      <c r="Z15" s="10"/>
      <c r="AA15" s="10"/>
      <c r="AB15" s="10"/>
      <c r="AC15" s="53" t="s">
        <v>184</v>
      </c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5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</row>
    <row r="16" spans="1:108" s="8" customFormat="1" ht="14.25" customHeight="1">
      <c r="J16" s="9"/>
      <c r="K16" s="9"/>
      <c r="L16" s="15" t="s">
        <v>43</v>
      </c>
      <c r="M16" s="56">
        <f>C22+M11/2</f>
        <v>2.3125</v>
      </c>
      <c r="N16" s="10" t="s">
        <v>10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53"/>
      <c r="AD16" s="10"/>
      <c r="AE16" s="10"/>
      <c r="AF16" s="10"/>
      <c r="AG16" s="10"/>
      <c r="AH16" s="10"/>
      <c r="AI16" s="10"/>
      <c r="AJ16" s="10"/>
      <c r="AK16" s="10"/>
      <c r="AL16" s="10"/>
      <c r="AM16" s="79" t="s">
        <v>96</v>
      </c>
      <c r="AN16" s="16">
        <f>0.9*AN10*(M25-AN14/2)/12</f>
        <v>16.088105212444788</v>
      </c>
      <c r="AO16" s="10" t="s">
        <v>74</v>
      </c>
      <c r="AP16" s="10"/>
      <c r="AQ16" s="10"/>
      <c r="AR16" s="10"/>
      <c r="AS16" s="15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</row>
    <row r="17" spans="1:108" s="8" customFormat="1" ht="14.25" customHeight="1" thickBot="1">
      <c r="J17" s="10"/>
      <c r="K17" s="10"/>
      <c r="L17" s="15" t="s">
        <v>45</v>
      </c>
      <c r="M17" s="11">
        <f>C23</f>
        <v>7.4</v>
      </c>
      <c r="N17" s="10" t="s">
        <v>9</v>
      </c>
      <c r="O17" s="10"/>
      <c r="P17" s="10"/>
      <c r="Q17" s="10"/>
      <c r="R17" s="10"/>
      <c r="S17" s="10"/>
      <c r="T17" s="10" t="s">
        <v>58</v>
      </c>
      <c r="U17" s="15" t="s">
        <v>66</v>
      </c>
      <c r="V17" s="16">
        <f>C35*As*$M$42*$M$25/12</f>
        <v>7.3723777658075882</v>
      </c>
      <c r="W17" s="10" t="s">
        <v>74</v>
      </c>
      <c r="X17" s="10" t="s">
        <v>185</v>
      </c>
      <c r="Y17" s="10"/>
      <c r="Z17" s="10"/>
      <c r="AA17" s="10"/>
      <c r="AB17" s="10"/>
      <c r="AC17" s="53" t="s">
        <v>83</v>
      </c>
      <c r="AD17" s="10"/>
      <c r="AE17" s="10" t="s">
        <v>80</v>
      </c>
      <c r="AF17" s="10">
        <v>8.5</v>
      </c>
      <c r="AG17" s="10" t="s">
        <v>12</v>
      </c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5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</row>
    <row r="18" spans="1:108" s="8" customFormat="1" ht="14.25" customHeight="1"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 t="s">
        <v>62</v>
      </c>
      <c r="U18" s="15" t="s">
        <v>66</v>
      </c>
      <c r="V18" s="16">
        <f>C36*As*$M$42*$M$25/12</f>
        <v>11.058566648711382</v>
      </c>
      <c r="W18" s="10" t="s">
        <v>74</v>
      </c>
      <c r="X18" s="10" t="s">
        <v>185</v>
      </c>
      <c r="Y18" s="10"/>
      <c r="Z18" s="10"/>
      <c r="AA18" s="10"/>
      <c r="AB18" s="10"/>
      <c r="AC18" s="80" t="s">
        <v>131</v>
      </c>
      <c r="AD18" s="30"/>
      <c r="AE18" s="30"/>
      <c r="AF18" s="30"/>
      <c r="AG18" s="30"/>
      <c r="AH18" s="30"/>
      <c r="AI18" s="30"/>
      <c r="AJ18" s="31"/>
      <c r="AK18" s="10"/>
      <c r="AL18" s="10" t="s">
        <v>98</v>
      </c>
      <c r="AM18" s="10"/>
      <c r="AN18" s="10" t="s">
        <v>99</v>
      </c>
      <c r="AO18" s="10"/>
      <c r="AP18" s="10"/>
      <c r="AQ18" s="10"/>
      <c r="AR18" s="10"/>
      <c r="AS18" s="15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</row>
    <row r="19" spans="1:108" s="8" customFormat="1" ht="14.25" customHeight="1">
      <c r="J19" s="10"/>
      <c r="K19" s="10" t="s">
        <v>47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81"/>
      <c r="AD19" s="32"/>
      <c r="AE19" s="32" t="s">
        <v>81</v>
      </c>
      <c r="AF19" s="21">
        <f>IF($C$23&gt;7,0.063*$C$23+4.65,0.36*$C$23+2.58)</f>
        <v>5.1162000000000001</v>
      </c>
      <c r="AG19" s="32"/>
      <c r="AH19" s="33" t="s">
        <v>82</v>
      </c>
      <c r="AI19" s="21">
        <f>0.2*AF17*$C$23/AF19*($AF$9+1)</f>
        <v>3.1965130370196637</v>
      </c>
      <c r="AJ19" s="34" t="s">
        <v>74</v>
      </c>
      <c r="AK19" s="10"/>
      <c r="AL19" s="10"/>
      <c r="AM19" s="10"/>
      <c r="AN19" s="10"/>
      <c r="AO19" s="10"/>
      <c r="AP19" s="10"/>
      <c r="AQ19" s="10"/>
      <c r="AR19" s="10"/>
      <c r="AS19" s="15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</row>
    <row r="20" spans="1:108" s="8" customFormat="1" ht="14.25" customHeight="1" thickBot="1">
      <c r="A20" s="151" t="s">
        <v>20</v>
      </c>
      <c r="B20" s="151"/>
      <c r="C20" s="18">
        <v>8.5</v>
      </c>
      <c r="D20" s="28" t="s">
        <v>10</v>
      </c>
      <c r="E20" s="20"/>
      <c r="F20" s="9"/>
      <c r="G20" s="9"/>
      <c r="H20" s="10"/>
      <c r="I20" s="15" t="s">
        <v>119</v>
      </c>
      <c r="J20" s="10"/>
      <c r="K20" s="9"/>
      <c r="L20" s="15" t="s">
        <v>39</v>
      </c>
      <c r="M20" s="9">
        <f>G25</f>
        <v>5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82" t="s">
        <v>153</v>
      </c>
      <c r="AD20" s="35"/>
      <c r="AE20" s="35"/>
      <c r="AF20" s="35"/>
      <c r="AG20" s="35"/>
      <c r="AH20" s="35"/>
      <c r="AI20" s="35"/>
      <c r="AJ20" s="36"/>
      <c r="AK20" s="10"/>
      <c r="AL20" s="10"/>
      <c r="AM20" s="10" t="s">
        <v>68</v>
      </c>
      <c r="AN20" s="17">
        <f>V26</f>
        <v>0.98396875000000006</v>
      </c>
      <c r="AO20" s="10" t="s">
        <v>74</v>
      </c>
      <c r="AP20" s="10"/>
      <c r="AQ20" s="10"/>
      <c r="AR20" s="10"/>
      <c r="AS20" s="15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</row>
    <row r="21" spans="1:108" s="8" customFormat="1" ht="14.25" customHeight="1">
      <c r="A21" s="151" t="s">
        <v>19</v>
      </c>
      <c r="B21" s="151"/>
      <c r="C21" s="18">
        <f>2-C25/8</f>
        <v>1.375</v>
      </c>
      <c r="D21" s="28" t="s">
        <v>10</v>
      </c>
      <c r="E21" s="19"/>
      <c r="F21" s="11"/>
      <c r="G21" s="11"/>
      <c r="H21" s="10"/>
      <c r="I21" s="54" t="s">
        <v>120</v>
      </c>
      <c r="J21" s="10"/>
      <c r="K21" s="12"/>
      <c r="L21" s="27" t="s">
        <v>40</v>
      </c>
      <c r="M21" s="9">
        <f>M20/8</f>
        <v>0.625</v>
      </c>
      <c r="N21" s="10" t="s">
        <v>10</v>
      </c>
      <c r="O21" s="10"/>
      <c r="P21" s="10"/>
      <c r="Q21" s="10"/>
      <c r="R21" s="10"/>
      <c r="S21" s="10" t="s">
        <v>67</v>
      </c>
      <c r="T21" s="10"/>
      <c r="U21" s="10"/>
      <c r="V21" s="28" t="s">
        <v>69</v>
      </c>
      <c r="W21" s="10"/>
      <c r="X21" s="10"/>
      <c r="Y21" s="10"/>
      <c r="Z21" s="10"/>
      <c r="AA21" s="10"/>
      <c r="AB21" s="10"/>
      <c r="AC21" s="53" t="s">
        <v>132</v>
      </c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5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</row>
    <row r="22" spans="1:108" s="8" customFormat="1" ht="14.25" customHeight="1">
      <c r="A22" s="151" t="s">
        <v>21</v>
      </c>
      <c r="B22" s="151"/>
      <c r="C22" s="18">
        <v>2</v>
      </c>
      <c r="D22" s="28" t="s">
        <v>10</v>
      </c>
      <c r="E22" s="19"/>
      <c r="F22" s="11"/>
      <c r="G22" s="11"/>
      <c r="H22" s="10"/>
      <c r="I22" s="10"/>
      <c r="J22" s="10"/>
      <c r="K22" s="9"/>
      <c r="L22" s="15" t="s">
        <v>42</v>
      </c>
      <c r="M22" s="13">
        <f>0.25*PI()*M21^2</f>
        <v>0.30679615757712825</v>
      </c>
      <c r="N22" s="10" t="s">
        <v>14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53"/>
      <c r="AD22" s="10"/>
      <c r="AE22" s="10"/>
      <c r="AF22" s="10"/>
      <c r="AG22" s="10"/>
      <c r="AH22" s="10"/>
      <c r="AI22" s="10"/>
      <c r="AJ22" s="10"/>
      <c r="AK22" s="10"/>
      <c r="AL22" s="10" t="s">
        <v>100</v>
      </c>
      <c r="AM22" s="10"/>
      <c r="AN22" s="10" t="s">
        <v>101</v>
      </c>
      <c r="AO22" s="10"/>
      <c r="AP22" s="10"/>
      <c r="AQ22" s="10"/>
      <c r="AR22" s="10"/>
      <c r="AS22" s="15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</row>
    <row r="23" spans="1:108" s="8" customFormat="1" ht="14.25" customHeight="1" thickBot="1">
      <c r="A23" s="151" t="s">
        <v>22</v>
      </c>
      <c r="B23" s="151"/>
      <c r="C23" s="55">
        <v>7.4</v>
      </c>
      <c r="D23" s="28" t="s">
        <v>9</v>
      </c>
      <c r="E23" s="19"/>
      <c r="F23" s="11"/>
      <c r="G23" s="11"/>
      <c r="H23" s="10"/>
      <c r="I23" s="18" t="s">
        <v>121</v>
      </c>
      <c r="J23" s="10"/>
      <c r="K23" s="9"/>
      <c r="L23" s="15" t="s">
        <v>41</v>
      </c>
      <c r="M23" s="9">
        <f>G26</f>
        <v>6</v>
      </c>
      <c r="N23" s="10" t="s">
        <v>10</v>
      </c>
      <c r="O23" s="10"/>
      <c r="P23" s="10"/>
      <c r="Q23" s="10"/>
      <c r="R23" s="9"/>
      <c r="S23" s="10"/>
      <c r="U23" s="15" t="s">
        <v>70</v>
      </c>
      <c r="V23" s="10">
        <v>6</v>
      </c>
      <c r="W23" s="10"/>
      <c r="X23" s="10"/>
      <c r="Y23" s="10"/>
      <c r="Z23" s="10"/>
      <c r="AA23" s="10"/>
      <c r="AB23" s="10"/>
      <c r="AC23" s="53" t="s">
        <v>84</v>
      </c>
      <c r="AD23" s="10"/>
      <c r="AE23" s="10" t="s">
        <v>80</v>
      </c>
      <c r="AF23" s="10">
        <v>7.75</v>
      </c>
      <c r="AG23" s="10" t="s">
        <v>12</v>
      </c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5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</row>
    <row r="24" spans="1:108" s="8" customFormat="1" ht="14.25" customHeight="1">
      <c r="A24" s="151"/>
      <c r="B24" s="151"/>
      <c r="C24" s="26"/>
      <c r="D24" s="28"/>
      <c r="E24" s="19"/>
      <c r="F24" s="11"/>
      <c r="G24" s="11"/>
      <c r="H24" s="10"/>
      <c r="I24" s="10"/>
      <c r="J24" s="10"/>
      <c r="K24" s="9"/>
      <c r="L24" s="15" t="s">
        <v>123</v>
      </c>
      <c r="M24" s="13">
        <f>M22*12/M23</f>
        <v>0.6135923151542565</v>
      </c>
      <c r="N24" s="10" t="s">
        <v>14</v>
      </c>
      <c r="O24" s="10"/>
      <c r="P24" s="10"/>
      <c r="Q24" s="10"/>
      <c r="R24" s="10"/>
      <c r="S24" s="10"/>
      <c r="T24" s="10"/>
      <c r="U24" s="15" t="s">
        <v>71</v>
      </c>
      <c r="V24" s="10">
        <f>IF(V23&gt;3,0.8,1)</f>
        <v>0.8</v>
      </c>
      <c r="W24" s="10"/>
      <c r="X24" s="10"/>
      <c r="Y24" s="10"/>
      <c r="Z24" s="10"/>
      <c r="AA24" s="10"/>
      <c r="AB24" s="10"/>
      <c r="AC24" s="80" t="s">
        <v>131</v>
      </c>
      <c r="AD24" s="30"/>
      <c r="AE24" s="30"/>
      <c r="AF24" s="30"/>
      <c r="AG24" s="30"/>
      <c r="AH24" s="30"/>
      <c r="AI24" s="30"/>
      <c r="AJ24" s="31"/>
      <c r="AK24" s="10"/>
      <c r="AL24" s="10"/>
      <c r="AM24" s="10" t="s">
        <v>82</v>
      </c>
      <c r="AN24" s="16">
        <f>AI13</f>
        <v>4.8880000000000008</v>
      </c>
      <c r="AO24" s="10" t="s">
        <v>74</v>
      </c>
      <c r="AP24" s="10"/>
      <c r="AQ24" s="10"/>
      <c r="AR24" s="10"/>
      <c r="AS24" s="15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</row>
    <row r="25" spans="1:108" s="8" customFormat="1" ht="14.25" customHeight="1">
      <c r="A25" s="151" t="s">
        <v>23</v>
      </c>
      <c r="B25" s="151"/>
      <c r="C25" s="18">
        <v>5</v>
      </c>
      <c r="D25" s="28"/>
      <c r="E25" s="151" t="s">
        <v>23</v>
      </c>
      <c r="F25" s="151"/>
      <c r="G25" s="18">
        <v>5</v>
      </c>
      <c r="H25" s="20"/>
      <c r="I25" s="15" t="s">
        <v>122</v>
      </c>
      <c r="J25" s="10"/>
      <c r="K25" s="9"/>
      <c r="L25" s="15" t="s">
        <v>46</v>
      </c>
      <c r="M25" s="11">
        <f>C20-C22-M21/2</f>
        <v>6.1875</v>
      </c>
      <c r="N25" s="10" t="s">
        <v>10</v>
      </c>
      <c r="O25" s="10" t="s">
        <v>185</v>
      </c>
      <c r="P25" s="10"/>
      <c r="Q25" s="10"/>
      <c r="R25" s="10"/>
      <c r="U25" s="29" t="s">
        <v>16</v>
      </c>
      <c r="V25" s="17">
        <f>C40+C41</f>
        <v>0.14374999999999999</v>
      </c>
      <c r="W25" s="10" t="s">
        <v>15</v>
      </c>
      <c r="Y25" s="10"/>
      <c r="Z25" s="10"/>
      <c r="AA25" s="10"/>
      <c r="AB25" s="10"/>
      <c r="AC25" s="81"/>
      <c r="AD25" s="32"/>
      <c r="AE25" s="32" t="s">
        <v>81</v>
      </c>
      <c r="AF25" s="21">
        <f>IF($C$23&gt;7,0.063*$C$23+4.65,0.36*$C$23+2.58)</f>
        <v>5.1162000000000001</v>
      </c>
      <c r="AG25" s="32"/>
      <c r="AH25" s="33" t="s">
        <v>82</v>
      </c>
      <c r="AI25" s="21">
        <f>0.2*AF23*$C$23/AF25*($AF$9+1)</f>
        <v>2.9144677690473402</v>
      </c>
      <c r="AJ25" s="34" t="s">
        <v>74</v>
      </c>
      <c r="AK25" s="10"/>
      <c r="AL25" s="10" t="s">
        <v>102</v>
      </c>
      <c r="AM25" s="10"/>
      <c r="AN25" s="10"/>
      <c r="AO25" s="10"/>
      <c r="AP25" s="38"/>
      <c r="AQ25" s="39" t="s">
        <v>104</v>
      </c>
      <c r="AR25" s="40" t="s">
        <v>105</v>
      </c>
      <c r="AS25" s="15" t="s">
        <v>115</v>
      </c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</row>
    <row r="26" spans="1:108" s="8" customFormat="1" ht="14.25" customHeight="1" thickBot="1">
      <c r="A26" s="151" t="s">
        <v>61</v>
      </c>
      <c r="B26" s="151"/>
      <c r="C26" s="18">
        <v>6</v>
      </c>
      <c r="D26" s="28" t="s">
        <v>10</v>
      </c>
      <c r="E26" s="151" t="s">
        <v>61</v>
      </c>
      <c r="F26" s="151"/>
      <c r="G26" s="18">
        <v>6</v>
      </c>
      <c r="H26" s="28" t="s">
        <v>10</v>
      </c>
      <c r="J26" s="10"/>
      <c r="K26" s="9"/>
      <c r="L26" s="15" t="s">
        <v>43</v>
      </c>
      <c r="M26" s="11">
        <f>C21+M21/2</f>
        <v>1.6875</v>
      </c>
      <c r="N26" s="10" t="s">
        <v>10</v>
      </c>
      <c r="O26" s="10"/>
      <c r="P26" s="10"/>
      <c r="Q26" s="10"/>
      <c r="R26" s="10"/>
      <c r="S26" s="10"/>
      <c r="T26" s="10"/>
      <c r="U26" s="15" t="s">
        <v>68</v>
      </c>
      <c r="V26" s="17">
        <f>1/8*V25*C23^2</f>
        <v>0.98396875000000006</v>
      </c>
      <c r="W26" s="10" t="s">
        <v>74</v>
      </c>
      <c r="X26" s="10"/>
      <c r="Y26" s="10"/>
      <c r="Z26" s="10"/>
      <c r="AA26" s="10"/>
      <c r="AB26" s="10"/>
      <c r="AC26" s="82" t="s">
        <v>153</v>
      </c>
      <c r="AD26" s="35"/>
      <c r="AE26" s="35"/>
      <c r="AF26" s="35"/>
      <c r="AG26" s="35"/>
      <c r="AH26" s="35"/>
      <c r="AI26" s="35"/>
      <c r="AJ26" s="36"/>
      <c r="AK26" s="10"/>
      <c r="AL26" s="10"/>
      <c r="AM26" s="10"/>
      <c r="AN26" s="10"/>
      <c r="AO26" s="10"/>
      <c r="AP26" s="41" t="s">
        <v>58</v>
      </c>
      <c r="AQ26" s="42">
        <v>1.3</v>
      </c>
      <c r="AR26" s="43">
        <v>2.17</v>
      </c>
      <c r="AS26" s="15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</row>
    <row r="27" spans="1:108" s="8" customFormat="1" ht="14.25" customHeight="1">
      <c r="A27" s="151"/>
      <c r="B27" s="151"/>
      <c r="C27" s="26"/>
      <c r="D27" s="28"/>
      <c r="I27" s="10"/>
      <c r="J27" s="10"/>
      <c r="K27" s="10"/>
      <c r="L27" s="15" t="s">
        <v>45</v>
      </c>
      <c r="M27" s="11">
        <f>C23</f>
        <v>7.4</v>
      </c>
      <c r="N27" s="10" t="s">
        <v>9</v>
      </c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53" t="s">
        <v>132</v>
      </c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44" t="s">
        <v>62</v>
      </c>
      <c r="AQ27" s="45">
        <v>1.3</v>
      </c>
      <c r="AR27" s="46">
        <v>1.3</v>
      </c>
      <c r="AS27" s="15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</row>
    <row r="28" spans="1:108" s="8" customFormat="1" ht="14.25" customHeight="1">
      <c r="A28" s="147" t="s">
        <v>24</v>
      </c>
      <c r="B28" s="147"/>
      <c r="C28" s="26"/>
      <c r="D28" s="28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 t="s">
        <v>72</v>
      </c>
      <c r="T28" s="10"/>
      <c r="U28" s="10"/>
      <c r="V28" s="10" t="s">
        <v>75</v>
      </c>
      <c r="W28" s="10"/>
      <c r="X28" s="10"/>
      <c r="Y28" s="10"/>
      <c r="Z28" s="10"/>
      <c r="AA28" s="10"/>
      <c r="AB28" s="150" t="s">
        <v>36</v>
      </c>
      <c r="AC28" s="150"/>
      <c r="AD28" s="150"/>
      <c r="AE28" s="150"/>
      <c r="AF28" s="150"/>
      <c r="AG28" s="150"/>
      <c r="AH28" s="150"/>
      <c r="AI28" s="150"/>
      <c r="AJ28" s="150"/>
      <c r="AK28" s="10"/>
      <c r="AL28" s="10"/>
      <c r="AM28" s="10"/>
      <c r="AN28" s="10"/>
      <c r="AO28" s="10"/>
      <c r="AP28" s="10"/>
      <c r="AQ28" s="10"/>
      <c r="AR28" s="10"/>
      <c r="AS28" s="15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</row>
    <row r="29" spans="1:108" s="8" customFormat="1" ht="14.25" customHeight="1">
      <c r="A29" s="151" t="s">
        <v>25</v>
      </c>
      <c r="B29" s="151"/>
      <c r="C29" s="52">
        <v>5</v>
      </c>
      <c r="D29" s="28" t="s">
        <v>26</v>
      </c>
      <c r="E29" s="19"/>
      <c r="F29" s="11"/>
      <c r="G29" s="11"/>
      <c r="H29" s="10"/>
      <c r="I29" s="15" t="s">
        <v>116</v>
      </c>
      <c r="J29" s="10"/>
      <c r="K29" s="10"/>
      <c r="L29" s="15" t="s">
        <v>48</v>
      </c>
      <c r="M29" s="77">
        <f>n*As/(12*M15)+(2*n-1)*As_1/(12*M25)</f>
        <v>0.13593686356798343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25" t="s">
        <v>85</v>
      </c>
      <c r="AD29" s="20" t="s">
        <v>86</v>
      </c>
      <c r="AE29" s="10">
        <v>20</v>
      </c>
      <c r="AF29" s="10" t="s">
        <v>12</v>
      </c>
      <c r="AG29" s="25" t="s">
        <v>84</v>
      </c>
      <c r="AH29" s="20" t="s">
        <v>86</v>
      </c>
      <c r="AI29" s="10">
        <v>36</v>
      </c>
      <c r="AJ29" s="10" t="s">
        <v>12</v>
      </c>
      <c r="AK29" s="10"/>
      <c r="AL29" s="10"/>
      <c r="AM29" s="15" t="s">
        <v>53</v>
      </c>
      <c r="AN29" s="10" t="s">
        <v>107</v>
      </c>
      <c r="AO29" s="10"/>
      <c r="AP29" s="10"/>
      <c r="AQ29" s="10"/>
      <c r="AR29" s="10"/>
      <c r="AS29" s="15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</row>
    <row r="30" spans="1:108" s="8" customFormat="1" ht="14.25" customHeight="1">
      <c r="A30" s="151" t="s">
        <v>28</v>
      </c>
      <c r="B30" s="151"/>
      <c r="C30" s="52">
        <v>2</v>
      </c>
      <c r="D30" s="28" t="s">
        <v>26</v>
      </c>
      <c r="E30" s="20"/>
      <c r="F30" s="147" t="s">
        <v>118</v>
      </c>
      <c r="G30" s="147"/>
      <c r="H30" s="53">
        <v>6</v>
      </c>
      <c r="I30" s="10"/>
      <c r="J30" s="10"/>
      <c r="K30" s="10"/>
      <c r="L30" s="10"/>
      <c r="M30" s="53"/>
      <c r="N30" s="10"/>
      <c r="O30" s="10"/>
      <c r="P30" s="10"/>
      <c r="Q30" s="10"/>
      <c r="R30" s="10"/>
      <c r="S30" s="10"/>
      <c r="T30" s="10" t="s">
        <v>58</v>
      </c>
      <c r="U30" s="15" t="s">
        <v>73</v>
      </c>
      <c r="V30" s="16">
        <f>V17-$V$26</f>
        <v>6.3884090158075884</v>
      </c>
      <c r="W30" s="10" t="s">
        <v>74</v>
      </c>
      <c r="X30" s="10"/>
      <c r="Y30" s="10"/>
      <c r="Z30" s="10"/>
      <c r="AA30" s="10"/>
      <c r="AB30" s="10"/>
      <c r="AC30" s="25" t="s">
        <v>83</v>
      </c>
      <c r="AD30" s="20" t="s">
        <v>86</v>
      </c>
      <c r="AE30" s="10">
        <v>25</v>
      </c>
      <c r="AF30" s="10" t="s">
        <v>12</v>
      </c>
      <c r="AG30" s="25" t="s">
        <v>87</v>
      </c>
      <c r="AH30" s="20" t="s">
        <v>86</v>
      </c>
      <c r="AI30" s="10">
        <v>36</v>
      </c>
      <c r="AJ30" s="10" t="s">
        <v>12</v>
      </c>
      <c r="AK30" s="10"/>
      <c r="AL30" s="10"/>
      <c r="AM30" s="15" t="s">
        <v>108</v>
      </c>
      <c r="AN30" s="10" t="s">
        <v>109</v>
      </c>
      <c r="AO30" s="10"/>
      <c r="AP30" s="10"/>
      <c r="AQ30" s="10"/>
      <c r="AR30" s="10"/>
      <c r="AS30" s="15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</row>
    <row r="31" spans="1:108" s="8" customFormat="1" ht="14.25" customHeight="1">
      <c r="A31" s="151" t="s">
        <v>27</v>
      </c>
      <c r="B31" s="151"/>
      <c r="C31" s="52">
        <v>3</v>
      </c>
      <c r="D31" s="28" t="s">
        <v>26</v>
      </c>
      <c r="E31" s="19"/>
      <c r="F31" s="11"/>
      <c r="G31" s="11"/>
      <c r="H31" s="10"/>
      <c r="I31" s="10"/>
      <c r="J31" s="10"/>
      <c r="K31" s="10"/>
      <c r="L31" s="15" t="s">
        <v>49</v>
      </c>
      <c r="M31" s="77">
        <f>n*As/(12*M15)+(2*n-1)*As_1/(12*M25)*M26/M25</f>
        <v>6.9825907053046699E-2</v>
      </c>
      <c r="N31" s="10"/>
      <c r="O31" s="10"/>
      <c r="P31" s="10"/>
      <c r="Q31" s="10"/>
      <c r="R31" s="10"/>
      <c r="S31" s="10"/>
      <c r="T31" s="10" t="s">
        <v>62</v>
      </c>
      <c r="U31" s="15" t="s">
        <v>73</v>
      </c>
      <c r="V31" s="16">
        <f>V18-$V$26</f>
        <v>10.074597898711382</v>
      </c>
      <c r="W31" s="10" t="s">
        <v>74</v>
      </c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5" t="s">
        <v>11</v>
      </c>
      <c r="AN31" s="10" t="s">
        <v>110</v>
      </c>
      <c r="AO31" s="10"/>
      <c r="AP31" s="10"/>
      <c r="AQ31" s="10"/>
      <c r="AR31" s="10"/>
      <c r="AS31" s="15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</row>
    <row r="32" spans="1:108" s="8" customFormat="1" ht="14.25" customHeight="1">
      <c r="A32" s="151"/>
      <c r="B32" s="151"/>
      <c r="C32" s="26"/>
      <c r="D32" s="28"/>
      <c r="E32" s="19"/>
      <c r="F32" s="11"/>
      <c r="G32" s="11"/>
      <c r="H32" s="10"/>
      <c r="I32" s="10"/>
      <c r="J32" s="10"/>
      <c r="K32" s="10"/>
      <c r="L32" s="10"/>
      <c r="M32" s="9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5" t="s">
        <v>78</v>
      </c>
      <c r="AN32" s="10" t="s">
        <v>111</v>
      </c>
      <c r="AO32" s="10"/>
      <c r="AP32" s="10"/>
      <c r="AQ32" s="10"/>
      <c r="AR32" s="10"/>
      <c r="AS32" s="15" t="s">
        <v>114</v>
      </c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</row>
    <row r="33" spans="1:108" s="8" customFormat="1" ht="14.25" customHeight="1" thickBot="1">
      <c r="A33" s="147" t="s">
        <v>29</v>
      </c>
      <c r="B33" s="147"/>
      <c r="C33" s="26"/>
      <c r="D33" s="28"/>
      <c r="E33" s="19"/>
      <c r="F33" s="11"/>
      <c r="G33" s="11"/>
      <c r="H33" s="10"/>
      <c r="I33" s="15" t="s">
        <v>117</v>
      </c>
      <c r="J33" s="10"/>
      <c r="K33" s="10"/>
      <c r="L33" s="15" t="s">
        <v>50</v>
      </c>
      <c r="M33" s="17">
        <f>SQRT(M29^2+2*M31)-M29</f>
        <v>0.26171957732389239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K33" s="10"/>
      <c r="AL33" s="10" t="s">
        <v>58</v>
      </c>
      <c r="AM33" s="15" t="s">
        <v>103</v>
      </c>
      <c r="AN33" s="17">
        <f>(AN16-(AQ26*AN20))/(AR26*AN24*(1+0.3))</f>
        <v>1.0739643402100556</v>
      </c>
      <c r="AO33" s="10"/>
      <c r="AP33" s="10"/>
      <c r="AQ33" s="10"/>
      <c r="AR33" s="10"/>
      <c r="AS33" s="15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</row>
    <row r="34" spans="1:108" s="8" customFormat="1" ht="14.25" customHeight="1" thickTop="1">
      <c r="A34" s="151" t="s">
        <v>31</v>
      </c>
      <c r="B34" s="151"/>
      <c r="C34" s="18">
        <v>60</v>
      </c>
      <c r="D34" s="28" t="s">
        <v>26</v>
      </c>
      <c r="E34" s="19"/>
      <c r="F34" s="11"/>
      <c r="G34" s="11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54" t="s">
        <v>58</v>
      </c>
      <c r="AD34" s="155"/>
      <c r="AE34" s="155"/>
      <c r="AF34" s="37"/>
      <c r="AG34" s="155" t="s">
        <v>62</v>
      </c>
      <c r="AH34" s="155"/>
      <c r="AI34" s="156"/>
      <c r="AJ34" s="10"/>
      <c r="AK34" s="10"/>
      <c r="AP34" s="10"/>
      <c r="AQ34" s="76" t="s">
        <v>152</v>
      </c>
      <c r="AR34" s="10">
        <v>32.4</v>
      </c>
      <c r="AS34" s="75" t="s">
        <v>90</v>
      </c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</row>
    <row r="35" spans="1:108" s="8" customFormat="1" ht="14.25" customHeight="1">
      <c r="A35" s="151" t="s">
        <v>32</v>
      </c>
      <c r="B35" s="151"/>
      <c r="C35" s="18">
        <v>24</v>
      </c>
      <c r="D35" s="28" t="s">
        <v>26</v>
      </c>
      <c r="E35" s="19"/>
      <c r="F35" s="11"/>
      <c r="G35" s="11"/>
      <c r="H35" s="10"/>
      <c r="I35" s="10"/>
      <c r="J35" s="10"/>
      <c r="K35" s="10"/>
      <c r="L35" s="10"/>
      <c r="M35" s="10"/>
      <c r="N35" s="10"/>
      <c r="O35" s="10"/>
      <c r="P35" s="15" t="s">
        <v>51</v>
      </c>
      <c r="Q35" s="17">
        <f>(2*n-1)*As/(M33*12*M15)</f>
        <v>0.31546314253897217</v>
      </c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58" t="s">
        <v>85</v>
      </c>
      <c r="AD35" s="148">
        <f>V30/AI13*AE29</f>
        <v>26.139153092502404</v>
      </c>
      <c r="AE35" s="153" t="s">
        <v>90</v>
      </c>
      <c r="AF35" s="61"/>
      <c r="AG35" s="153" t="s">
        <v>85</v>
      </c>
      <c r="AH35" s="148">
        <f>V31/AI13*AE29</f>
        <v>41.221758996364073</v>
      </c>
      <c r="AI35" s="159" t="s">
        <v>90</v>
      </c>
      <c r="AJ35" s="10"/>
      <c r="AK35" s="10"/>
      <c r="AL35" s="10" t="s">
        <v>62</v>
      </c>
      <c r="AM35" s="15" t="s">
        <v>103</v>
      </c>
      <c r="AN35" s="17">
        <f>(AN16-(AQ27*AN20))/(AR27*AN24*(1+0.3))</f>
        <v>1.7926943217352465</v>
      </c>
      <c r="AO35" s="10"/>
      <c r="AP35" s="10"/>
      <c r="AQ35" s="10"/>
      <c r="AR35" s="10"/>
      <c r="AS35" s="15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</row>
    <row r="36" spans="1:108" s="8" customFormat="1" ht="14.25" customHeight="1" thickBot="1">
      <c r="A36" s="151" t="s">
        <v>30</v>
      </c>
      <c r="B36" s="151"/>
      <c r="C36" s="18">
        <v>36</v>
      </c>
      <c r="D36" s="28" t="s">
        <v>26</v>
      </c>
      <c r="E36" s="19"/>
      <c r="F36" s="11"/>
      <c r="G36" s="11"/>
      <c r="H36" s="10"/>
      <c r="I36" s="10"/>
      <c r="J36" s="10"/>
      <c r="K36" s="10"/>
      <c r="L36" s="10"/>
      <c r="M36" s="10"/>
      <c r="N36" s="10"/>
      <c r="O36" s="10"/>
      <c r="P36" s="15" t="s">
        <v>52</v>
      </c>
      <c r="Q36" s="17">
        <f>M16/(M33*M15)</f>
        <v>1.2969971324090752</v>
      </c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58"/>
      <c r="AD36" s="148"/>
      <c r="AE36" s="153"/>
      <c r="AF36" s="61"/>
      <c r="AG36" s="153"/>
      <c r="AH36" s="148"/>
      <c r="AI36" s="160"/>
      <c r="AJ36" s="10"/>
      <c r="AK36" s="10"/>
      <c r="AL36" s="10"/>
      <c r="AM36" s="10"/>
      <c r="AN36" s="10"/>
      <c r="AO36" s="10"/>
      <c r="AP36" s="10"/>
      <c r="AQ36" s="10"/>
      <c r="AR36" s="10"/>
      <c r="AS36" s="15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</row>
    <row r="37" spans="1:108" s="8" customFormat="1" ht="14.25" customHeight="1" thickTop="1">
      <c r="A37" s="151"/>
      <c r="B37" s="151"/>
      <c r="C37" s="26"/>
      <c r="D37" s="20"/>
      <c r="E37" s="19"/>
      <c r="F37" s="11"/>
      <c r="G37" s="11"/>
      <c r="H37" s="10"/>
      <c r="I37" s="10"/>
      <c r="J37" s="10"/>
      <c r="K37" s="10"/>
      <c r="L37" s="10"/>
      <c r="M37" s="10"/>
      <c r="N37" s="10"/>
      <c r="O37" s="10"/>
      <c r="P37" s="15" t="s">
        <v>53</v>
      </c>
      <c r="Q37" s="17">
        <f>1-Q36</f>
        <v>-0.29699713240907522</v>
      </c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58" t="s">
        <v>88</v>
      </c>
      <c r="AD37" s="148">
        <f>V30/AI19*AE30</f>
        <v>49.963889884240515</v>
      </c>
      <c r="AE37" s="153" t="s">
        <v>90</v>
      </c>
      <c r="AF37" s="61"/>
      <c r="AG37" s="153" t="s">
        <v>88</v>
      </c>
      <c r="AH37" s="148">
        <f>V31/AI19*AE30</f>
        <v>78.793655633770271</v>
      </c>
      <c r="AI37" s="152" t="s">
        <v>90</v>
      </c>
      <c r="AJ37" s="10"/>
      <c r="AK37" s="10"/>
      <c r="AL37" s="154" t="s">
        <v>58</v>
      </c>
      <c r="AM37" s="155"/>
      <c r="AN37" s="155"/>
      <c r="AO37" s="10"/>
      <c r="AP37" s="155" t="s">
        <v>62</v>
      </c>
      <c r="AQ37" s="155"/>
      <c r="AR37" s="156"/>
      <c r="AS37" s="15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</row>
    <row r="38" spans="1:108" s="8" customFormat="1" ht="14.25" customHeight="1">
      <c r="A38" s="145" t="s">
        <v>33</v>
      </c>
      <c r="B38" s="145"/>
      <c r="C38" s="26"/>
      <c r="D38" s="20"/>
      <c r="E38" s="19"/>
      <c r="F38" s="11"/>
      <c r="G38" s="11"/>
      <c r="H38" s="10"/>
      <c r="I38" s="10"/>
      <c r="J38" s="10"/>
      <c r="K38" s="10"/>
      <c r="L38" s="10" t="s">
        <v>57</v>
      </c>
      <c r="M38" s="17">
        <f>M40</f>
        <v>0.11111971193810292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58"/>
      <c r="AD38" s="148"/>
      <c r="AE38" s="153"/>
      <c r="AF38" s="61"/>
      <c r="AG38" s="153"/>
      <c r="AH38" s="148"/>
      <c r="AI38" s="152"/>
      <c r="AJ38" s="10"/>
      <c r="AK38" s="10"/>
      <c r="AL38" s="83" t="s">
        <v>106</v>
      </c>
      <c r="AM38" s="157" t="s">
        <v>155</v>
      </c>
      <c r="AN38" s="157"/>
      <c r="AO38" s="10"/>
      <c r="AP38" s="83" t="s">
        <v>154</v>
      </c>
      <c r="AQ38" s="157" t="s">
        <v>155</v>
      </c>
      <c r="AR38" s="157"/>
      <c r="AS38" s="15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</row>
    <row r="39" spans="1:108" s="8" customFormat="1" ht="14.25" customHeight="1">
      <c r="A39" s="145"/>
      <c r="B39" s="145"/>
      <c r="C39" s="18">
        <v>3</v>
      </c>
      <c r="D39" s="10" t="s">
        <v>10</v>
      </c>
      <c r="E39" s="10"/>
      <c r="F39" s="9"/>
      <c r="G39" s="9"/>
      <c r="H39" s="9"/>
      <c r="I39" s="9"/>
      <c r="J39" s="10"/>
      <c r="K39" s="10"/>
      <c r="M39" s="22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58" t="s">
        <v>89</v>
      </c>
      <c r="AD39" s="148">
        <f>V30/AI25*AI29</f>
        <v>78.910711249432765</v>
      </c>
      <c r="AE39" s="153" t="s">
        <v>90</v>
      </c>
      <c r="AF39" s="61"/>
      <c r="AG39" s="153" t="s">
        <v>89</v>
      </c>
      <c r="AH39" s="148">
        <f>V31/AI25*AI29</f>
        <v>124.44314128481912</v>
      </c>
      <c r="AI39" s="152" t="s">
        <v>90</v>
      </c>
      <c r="AJ39" s="10"/>
      <c r="AK39" s="10"/>
      <c r="AL39" s="19">
        <f>AN33*AR34</f>
        <v>34.796444622805801</v>
      </c>
      <c r="AM39" s="161">
        <f>AL39/1.8</f>
        <v>19.331358123781001</v>
      </c>
      <c r="AN39" s="161"/>
      <c r="AP39" s="19">
        <f>AN35*AR34</f>
        <v>58.08329602422198</v>
      </c>
      <c r="AQ39" s="161">
        <f>AP39/1.8</f>
        <v>32.268497791234431</v>
      </c>
      <c r="AR39" s="161"/>
      <c r="AS39" s="23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</row>
    <row r="40" spans="1:108" s="8" customFormat="1" ht="14.25" customHeight="1">
      <c r="A40" s="151" t="s">
        <v>128</v>
      </c>
      <c r="B40" s="151"/>
      <c r="C40" s="57">
        <f>C39*0.15/12</f>
        <v>3.7499999999999999E-2</v>
      </c>
      <c r="D40" s="10" t="s">
        <v>15</v>
      </c>
      <c r="E40" s="10"/>
      <c r="F40" s="9"/>
      <c r="G40" s="9"/>
      <c r="H40" s="9"/>
      <c r="I40" s="9"/>
      <c r="J40" s="10"/>
      <c r="K40" s="10"/>
      <c r="L40" s="15" t="s">
        <v>54</v>
      </c>
      <c r="M40" s="17">
        <f>(1/6+Q35*Q36*Q37)/(1/2+Q35*Q37)</f>
        <v>0.11111971193810292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58"/>
      <c r="AD40" s="148"/>
      <c r="AE40" s="153"/>
      <c r="AF40" s="61"/>
      <c r="AG40" s="153"/>
      <c r="AH40" s="148"/>
      <c r="AI40" s="152"/>
      <c r="AJ40" s="10"/>
      <c r="AK40" s="10"/>
      <c r="AT40" s="10"/>
      <c r="AU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</row>
    <row r="41" spans="1:108" s="8" customFormat="1" ht="14.25" customHeight="1">
      <c r="A41" s="151" t="s">
        <v>127</v>
      </c>
      <c r="B41" s="151"/>
      <c r="C41" s="57">
        <f>C20*G41/12</f>
        <v>0.10625</v>
      </c>
      <c r="D41" s="10" t="s">
        <v>15</v>
      </c>
      <c r="E41" s="10"/>
      <c r="F41" s="9" t="s">
        <v>34</v>
      </c>
      <c r="G41" s="9">
        <v>0.15</v>
      </c>
      <c r="H41" s="9" t="s">
        <v>35</v>
      </c>
      <c r="I41" s="9"/>
      <c r="J41" s="10"/>
      <c r="K41" s="10"/>
      <c r="L41" s="10"/>
      <c r="M41" s="17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58" t="s">
        <v>87</v>
      </c>
      <c r="AD41" s="148">
        <f>V30/AI13*AI30</f>
        <v>47.050475566504332</v>
      </c>
      <c r="AE41" s="153" t="s">
        <v>90</v>
      </c>
      <c r="AF41" s="61"/>
      <c r="AG41" s="153" t="s">
        <v>87</v>
      </c>
      <c r="AH41" s="148">
        <f>V31/AI13*AI30</f>
        <v>74.199166193455341</v>
      </c>
      <c r="AI41" s="152" t="s">
        <v>90</v>
      </c>
      <c r="AJ41" s="10"/>
      <c r="AK41" s="10"/>
      <c r="AL41" s="53" t="s">
        <v>112</v>
      </c>
      <c r="AM41" s="53" t="s">
        <v>156</v>
      </c>
      <c r="AN41" s="78"/>
      <c r="AS41" s="15"/>
      <c r="AT41" s="10"/>
      <c r="AU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</row>
    <row r="42" spans="1:108" s="8" customFormat="1" ht="14.25" customHeight="1" thickBot="1">
      <c r="J42" s="10"/>
      <c r="K42" s="10"/>
      <c r="L42" s="15" t="s">
        <v>55</v>
      </c>
      <c r="M42" s="17">
        <f>1-M40*M33</f>
        <v>0.97091779595920702</v>
      </c>
      <c r="N42" s="10"/>
      <c r="O42" s="10" t="s">
        <v>56</v>
      </c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65"/>
      <c r="AD42" s="149"/>
      <c r="AE42" s="164"/>
      <c r="AF42" s="62"/>
      <c r="AG42" s="164"/>
      <c r="AH42" s="149"/>
      <c r="AI42" s="163"/>
      <c r="AJ42" s="10"/>
      <c r="AK42" s="10"/>
      <c r="AL42" s="84"/>
      <c r="AM42" s="53" t="s">
        <v>113</v>
      </c>
      <c r="AN42" s="78"/>
      <c r="AS42" s="15"/>
      <c r="AT42" s="10"/>
      <c r="AU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</row>
    <row r="43" spans="1:108" s="8" customFormat="1" thickTop="1">
      <c r="J43" s="10"/>
      <c r="K43" s="17"/>
      <c r="L43" s="10"/>
      <c r="M43" s="10"/>
      <c r="N43" s="10"/>
      <c r="O43" s="10"/>
      <c r="P43" s="10"/>
      <c r="Q43" s="10"/>
      <c r="R43" s="18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5"/>
      <c r="AT43" s="10"/>
      <c r="AU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</row>
    <row r="44" spans="1:108" s="8" customFormat="1" ht="14.25">
      <c r="J44" s="10"/>
      <c r="K44" s="17"/>
      <c r="L44" s="10"/>
      <c r="M44" s="10"/>
      <c r="N44" s="10"/>
      <c r="O44" s="10"/>
      <c r="P44" s="10"/>
      <c r="Q44" s="10"/>
      <c r="R44" s="18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S44" s="15"/>
      <c r="AT44" s="10"/>
      <c r="AU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</row>
    <row r="45" spans="1:108" s="8" customFormat="1" ht="14.25">
      <c r="A45" s="162" t="s">
        <v>125</v>
      </c>
      <c r="B45" s="162"/>
      <c r="C45" s="162"/>
      <c r="D45" s="162"/>
      <c r="E45" s="162"/>
      <c r="F45" s="162"/>
      <c r="G45" s="162"/>
      <c r="H45" s="162"/>
      <c r="I45" s="162"/>
      <c r="J45" s="10"/>
      <c r="O45" s="10"/>
      <c r="P45" s="10"/>
      <c r="Q45" s="10"/>
      <c r="R45" s="10"/>
      <c r="S45" s="162" t="s">
        <v>126</v>
      </c>
      <c r="T45" s="162"/>
      <c r="U45" s="162"/>
      <c r="V45" s="162"/>
      <c r="W45" s="162"/>
      <c r="X45" s="162"/>
      <c r="Y45" s="162"/>
      <c r="Z45" s="162"/>
      <c r="AA45" s="162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S45" s="15"/>
      <c r="AT45" s="10"/>
      <c r="AU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</row>
    <row r="46" spans="1:108" s="8" customFormat="1" ht="14.25">
      <c r="A46" s="162"/>
      <c r="B46" s="162"/>
      <c r="C46" s="162"/>
      <c r="D46" s="162"/>
      <c r="E46" s="162"/>
      <c r="F46" s="162"/>
      <c r="G46" s="162"/>
      <c r="H46" s="162"/>
      <c r="I46" s="162"/>
      <c r="J46" s="10"/>
      <c r="O46" s="10"/>
      <c r="P46" s="10"/>
      <c r="Q46" s="10"/>
      <c r="R46" s="10"/>
      <c r="S46" s="162"/>
      <c r="T46" s="162"/>
      <c r="U46" s="162"/>
      <c r="V46" s="162"/>
      <c r="W46" s="162"/>
      <c r="X46" s="162"/>
      <c r="Y46" s="162"/>
      <c r="Z46" s="162"/>
      <c r="AA46" s="162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S46" s="15"/>
      <c r="AT46" s="10"/>
      <c r="AU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</row>
    <row r="47" spans="1:108" s="8" customFormat="1" ht="14.25" customHeight="1">
      <c r="A47" s="162"/>
      <c r="B47" s="162"/>
      <c r="C47" s="162"/>
      <c r="D47" s="162"/>
      <c r="E47" s="162"/>
      <c r="F47" s="162"/>
      <c r="G47" s="162"/>
      <c r="H47" s="162"/>
      <c r="I47" s="162"/>
      <c r="J47" s="10"/>
      <c r="O47" s="10"/>
      <c r="P47" s="10"/>
      <c r="Q47" s="10"/>
      <c r="R47" s="18"/>
      <c r="S47" s="162"/>
      <c r="T47" s="162"/>
      <c r="U47" s="162"/>
      <c r="V47" s="162"/>
      <c r="W47" s="162"/>
      <c r="X47" s="162"/>
      <c r="Y47" s="162"/>
      <c r="Z47" s="162"/>
      <c r="AA47" s="162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S47" s="15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</row>
    <row r="48" spans="1:108" s="8" customFormat="1" ht="14.25">
      <c r="J48" s="10"/>
      <c r="O48" s="10"/>
      <c r="P48" s="10"/>
      <c r="Q48" s="10"/>
      <c r="R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S48" s="15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</row>
    <row r="49" spans="10:108" s="8" customFormat="1" ht="14.25">
      <c r="J49" s="10"/>
      <c r="O49" s="10"/>
      <c r="P49" s="10"/>
      <c r="Q49" s="10"/>
      <c r="R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S49" s="15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</row>
    <row r="50" spans="10:108" s="8" customFormat="1" ht="14.25">
      <c r="J50" s="10"/>
      <c r="O50" s="10"/>
      <c r="P50" s="10"/>
      <c r="Q50" s="10"/>
      <c r="R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S50" s="15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</row>
    <row r="51" spans="10:108" s="8" customFormat="1" ht="14.25">
      <c r="J51" s="10"/>
      <c r="O51" s="10"/>
      <c r="P51" s="10"/>
      <c r="Q51" s="10"/>
      <c r="R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S51" s="15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</row>
    <row r="52" spans="10:108" s="8" customFormat="1" ht="14.25" customHeight="1">
      <c r="J52" s="63"/>
      <c r="K52" s="64"/>
      <c r="L52" s="10"/>
      <c r="M52" s="10"/>
      <c r="N52" s="10"/>
      <c r="O52" s="10"/>
      <c r="P52" s="10"/>
      <c r="Q52" s="10"/>
      <c r="R52" s="10"/>
      <c r="S52" s="65"/>
      <c r="T52" s="66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5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</row>
    <row r="53" spans="10:108" s="8" customFormat="1" ht="14.25"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5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</row>
    <row r="54" spans="10:108" s="8" customFormat="1" ht="14.25">
      <c r="J54" s="67"/>
      <c r="K54" s="68"/>
      <c r="L54" s="25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25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5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</row>
    <row r="55" spans="10:108" s="8" customFormat="1" ht="14.25"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5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</row>
    <row r="56" spans="10:108" s="8" customFormat="1" ht="14.25">
      <c r="J56" s="145"/>
      <c r="K56" s="145"/>
      <c r="L56" s="146"/>
      <c r="M56" s="147"/>
      <c r="N56" s="10"/>
      <c r="O56" s="10"/>
      <c r="P56" s="10"/>
      <c r="Q56" s="10"/>
      <c r="R56" s="10"/>
      <c r="S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5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</row>
    <row r="57" spans="10:108" s="8" customFormat="1" ht="14.25">
      <c r="J57" s="145"/>
      <c r="K57" s="145"/>
      <c r="L57" s="146"/>
      <c r="M57" s="147"/>
      <c r="N57" s="10"/>
      <c r="O57" s="10"/>
      <c r="P57" s="10"/>
      <c r="Q57" s="10"/>
      <c r="R57" s="10"/>
      <c r="S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5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</row>
    <row r="58" spans="10:108">
      <c r="J58" s="10"/>
      <c r="K58" s="25"/>
      <c r="L58" s="10"/>
      <c r="M58" s="28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5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</row>
    <row r="59" spans="10:108">
      <c r="J59" s="10"/>
      <c r="K59" s="25"/>
      <c r="L59" s="10"/>
      <c r="M59" s="28"/>
      <c r="N59" s="10"/>
      <c r="O59" s="10"/>
      <c r="P59" s="10"/>
      <c r="Q59" s="10"/>
      <c r="R59" s="10"/>
      <c r="S59" s="25"/>
      <c r="T59" s="25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5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</row>
    <row r="60" spans="10:108"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5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</row>
    <row r="61" spans="10:108">
      <c r="J61" s="10"/>
      <c r="K61" s="25"/>
      <c r="L61" s="70"/>
      <c r="M61" s="10"/>
      <c r="N61" s="10"/>
      <c r="O61" s="10"/>
      <c r="P61" s="10"/>
      <c r="Q61" s="10"/>
      <c r="R61" s="10"/>
      <c r="S61" s="25"/>
      <c r="T61" s="25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5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</row>
    <row r="62" spans="10:108"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5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</row>
    <row r="63" spans="10:108">
      <c r="J63" s="10"/>
      <c r="K63" s="25"/>
      <c r="L63" s="10"/>
      <c r="M63" s="10"/>
      <c r="N63" s="10"/>
      <c r="O63" s="10"/>
      <c r="P63" s="10"/>
      <c r="Q63" s="10"/>
      <c r="R63" s="10"/>
      <c r="S63" s="10"/>
      <c r="T63" s="25"/>
      <c r="U63" s="10"/>
      <c r="V63" s="10"/>
      <c r="W63" s="8"/>
      <c r="X63" s="8"/>
      <c r="Y63" s="8"/>
      <c r="Z63" s="8"/>
      <c r="AA63" s="25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5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</row>
    <row r="64" spans="10:108"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5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</row>
    <row r="65" spans="10:108">
      <c r="J65" s="10"/>
      <c r="K65" s="25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5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</row>
    <row r="66" spans="10:108"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25"/>
      <c r="U66" s="16"/>
      <c r="V66" s="10"/>
      <c r="W66" s="10"/>
      <c r="X66" s="10"/>
      <c r="Y66" s="10"/>
      <c r="Z66" s="10"/>
      <c r="AA66" s="25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5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</row>
    <row r="67" spans="10:108" ht="15.75">
      <c r="J67" s="65"/>
      <c r="K67" s="66"/>
      <c r="L67" s="10"/>
      <c r="M67" s="10"/>
      <c r="N67" s="10"/>
      <c r="O67" s="10"/>
      <c r="P67" s="10"/>
      <c r="Q67" s="10"/>
      <c r="R67" s="10"/>
      <c r="S67" s="10"/>
      <c r="T67" s="25"/>
      <c r="U67" s="27"/>
      <c r="V67" s="10"/>
      <c r="W67" s="10"/>
      <c r="X67" s="10"/>
      <c r="Y67" s="10"/>
      <c r="Z67" s="10"/>
      <c r="AA67" s="25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5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</row>
    <row r="68" spans="10:108"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25"/>
      <c r="U68" s="16"/>
      <c r="V68" s="10"/>
      <c r="W68" s="8"/>
      <c r="X68" s="8"/>
      <c r="Y68" s="8"/>
      <c r="Z68" s="8"/>
      <c r="AA68" s="8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5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</row>
    <row r="69" spans="10:108">
      <c r="J69" s="63"/>
      <c r="K69" s="64"/>
      <c r="L69" s="10"/>
      <c r="M69" s="10"/>
      <c r="N69" s="10"/>
      <c r="O69" s="10"/>
      <c r="P69" s="10"/>
      <c r="Q69" s="10"/>
      <c r="R69" s="10"/>
      <c r="S69" s="10"/>
      <c r="T69" s="25"/>
      <c r="U69" s="16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5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</row>
    <row r="70" spans="10:108"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5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</row>
    <row r="71" spans="10:108">
      <c r="J71" s="25"/>
      <c r="K71" s="10"/>
      <c r="L71" s="10"/>
      <c r="M71" s="20"/>
      <c r="N71" s="10"/>
      <c r="O71" s="10"/>
      <c r="P71" s="10"/>
      <c r="Q71" s="8"/>
      <c r="R71" s="10"/>
      <c r="S71" s="10"/>
      <c r="T71" s="25"/>
      <c r="U71" s="20"/>
      <c r="V71" s="10"/>
      <c r="W71" s="10"/>
      <c r="X71" s="10"/>
      <c r="Y71" s="71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5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</row>
    <row r="72" spans="10:108">
      <c r="J72" s="10"/>
      <c r="K72" s="10"/>
      <c r="L72" s="10"/>
      <c r="M72" s="20"/>
      <c r="N72" s="10"/>
      <c r="O72" s="10"/>
      <c r="P72" s="10"/>
      <c r="Q72" s="8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5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</row>
    <row r="73" spans="10:108">
      <c r="J73" s="25"/>
      <c r="K73" s="10"/>
      <c r="L73" s="10"/>
      <c r="M73" s="20"/>
      <c r="N73" s="10"/>
      <c r="O73" s="10"/>
      <c r="P73" s="10"/>
      <c r="Q73" s="8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5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</row>
    <row r="74" spans="10:108" ht="15.75">
      <c r="J74" s="10"/>
      <c r="K74" s="10"/>
      <c r="L74" s="10"/>
      <c r="M74" s="20"/>
      <c r="N74" s="10"/>
      <c r="O74" s="10"/>
      <c r="P74" s="10"/>
      <c r="Q74" s="8"/>
      <c r="R74" s="10"/>
      <c r="S74" s="65"/>
      <c r="T74" s="66"/>
      <c r="U74" s="8"/>
      <c r="V74" s="8"/>
      <c r="W74" s="8"/>
      <c r="X74" s="8"/>
      <c r="Y74" s="8"/>
      <c r="Z74" s="8"/>
      <c r="AA74" s="8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5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</row>
    <row r="75" spans="10:108">
      <c r="J75" s="25"/>
      <c r="K75" s="10"/>
      <c r="L75" s="10"/>
      <c r="M75" s="20"/>
      <c r="N75" s="10"/>
      <c r="O75" s="10"/>
      <c r="P75" s="10"/>
      <c r="Q75" s="8"/>
      <c r="R75" s="10"/>
      <c r="S75" s="8"/>
      <c r="T75" s="8"/>
      <c r="U75" s="8"/>
      <c r="V75" s="8"/>
      <c r="W75" s="8"/>
      <c r="X75" s="8"/>
      <c r="Y75" s="8"/>
      <c r="Z75" s="8"/>
      <c r="AA75" s="8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5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</row>
    <row r="76" spans="10:108">
      <c r="J76" s="10"/>
      <c r="K76" s="10"/>
      <c r="L76" s="10"/>
      <c r="M76" s="10"/>
      <c r="N76" s="10"/>
      <c r="O76" s="10"/>
      <c r="P76" s="10"/>
      <c r="Q76" s="10"/>
      <c r="R76" s="10"/>
      <c r="S76" s="8"/>
      <c r="T76" s="72"/>
      <c r="U76" s="135"/>
      <c r="V76" s="72"/>
      <c r="W76" s="8"/>
      <c r="X76" s="8"/>
      <c r="Y76" s="8"/>
      <c r="Z76" s="8"/>
      <c r="AA76" s="8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5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</row>
    <row r="77" spans="10:108">
      <c r="J77" s="10"/>
      <c r="N77" s="10"/>
      <c r="O77" s="10"/>
      <c r="P77" s="10"/>
      <c r="Q77" s="10"/>
      <c r="R77" s="10"/>
      <c r="S77" s="8"/>
      <c r="T77" s="47"/>
      <c r="U77" s="135"/>
      <c r="V77" s="20"/>
      <c r="W77" s="8"/>
      <c r="X77" s="8"/>
      <c r="Y77" s="8"/>
      <c r="Z77" s="8"/>
      <c r="AA77" s="8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5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</row>
    <row r="78" spans="10:108">
      <c r="J78" s="8"/>
      <c r="K78" s="8"/>
      <c r="L78" s="8"/>
      <c r="M78" s="8"/>
      <c r="N78" s="8"/>
      <c r="O78" s="8"/>
      <c r="P78" s="8"/>
      <c r="Q78" s="8"/>
      <c r="R78" s="8"/>
      <c r="S78" s="8"/>
      <c r="T78" s="10"/>
      <c r="U78" s="10"/>
      <c r="V78" s="10"/>
      <c r="W78" s="8"/>
      <c r="X78" s="8"/>
      <c r="Y78" s="8"/>
      <c r="Z78" s="8"/>
      <c r="AA78" s="8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5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</row>
    <row r="79" spans="10:108">
      <c r="J79" s="63" t="s">
        <v>137</v>
      </c>
      <c r="K79" s="64" t="s">
        <v>138</v>
      </c>
      <c r="L79" s="10"/>
      <c r="M79" s="10"/>
      <c r="N79" s="10"/>
      <c r="O79" s="10"/>
      <c r="P79" s="10"/>
      <c r="Q79" s="10"/>
      <c r="R79" s="10"/>
      <c r="S79" s="8"/>
      <c r="T79" s="72"/>
      <c r="U79" s="135"/>
      <c r="V79" s="72"/>
      <c r="W79" s="8"/>
      <c r="X79" s="8"/>
      <c r="Y79" s="8"/>
      <c r="Z79" s="8"/>
      <c r="AA79" s="8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5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</row>
    <row r="80" spans="10:108">
      <c r="J80" s="10"/>
      <c r="K80" s="25" t="s">
        <v>136</v>
      </c>
      <c r="L80" s="10">
        <v>12</v>
      </c>
      <c r="M80" s="10" t="s">
        <v>10</v>
      </c>
      <c r="N80" s="10"/>
      <c r="O80" s="10"/>
      <c r="P80" s="10"/>
      <c r="Q80" s="10"/>
      <c r="R80" s="10"/>
      <c r="S80" s="8"/>
      <c r="T80" s="73"/>
      <c r="U80" s="135"/>
      <c r="V80" s="20"/>
      <c r="W80" s="8"/>
      <c r="X80" s="8"/>
      <c r="Y80" s="8"/>
      <c r="Z80" s="8"/>
      <c r="AA80" s="8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5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</row>
    <row r="81" spans="10:108">
      <c r="J81" s="10"/>
      <c r="K81" s="69" t="s">
        <v>139</v>
      </c>
      <c r="L81" s="10">
        <f>IF(fc&lt;=4,0.85,MAX(0.85-(fc-4)*0.05,0.65))</f>
        <v>0.79999999999999993</v>
      </c>
      <c r="M81" s="10"/>
      <c r="N81" s="10"/>
      <c r="O81" s="10"/>
      <c r="P81" s="10"/>
      <c r="Q81" s="10"/>
      <c r="R81" s="25"/>
      <c r="S81" s="8"/>
      <c r="T81" s="8"/>
      <c r="U81" s="8"/>
      <c r="V81" s="8"/>
      <c r="W81" s="8"/>
      <c r="X81" s="8"/>
      <c r="Y81" s="8"/>
      <c r="Z81" s="8"/>
      <c r="AA81" s="8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5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</row>
    <row r="82" spans="10:108">
      <c r="J82" s="10"/>
      <c r="K82" s="25" t="s">
        <v>140</v>
      </c>
      <c r="L82" s="10">
        <v>5</v>
      </c>
      <c r="M82" s="8"/>
      <c r="N82" s="10"/>
      <c r="O82" s="10"/>
      <c r="P82" s="10"/>
      <c r="Q82" s="10"/>
      <c r="R82" s="10"/>
      <c r="S82" s="10"/>
      <c r="T82" s="33"/>
      <c r="U82" s="10"/>
      <c r="V82" s="20"/>
      <c r="W82" s="10"/>
      <c r="X82" s="10"/>
      <c r="Y82" s="10"/>
      <c r="Z82" s="10"/>
      <c r="AA82" s="25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5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</row>
    <row r="83" spans="10:108">
      <c r="J83" s="10"/>
      <c r="K83" s="25" t="s">
        <v>141</v>
      </c>
      <c r="L83" s="16">
        <f>L82/8</f>
        <v>0.625</v>
      </c>
      <c r="M83" s="10" t="s">
        <v>10</v>
      </c>
      <c r="N83" s="10"/>
      <c r="O83" s="10"/>
      <c r="P83" s="10"/>
      <c r="Q83" s="10"/>
      <c r="R83" s="10"/>
      <c r="S83" s="10"/>
      <c r="T83" s="71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5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</row>
    <row r="84" spans="10:108" ht="15.75">
      <c r="J84" s="10"/>
      <c r="K84" s="25" t="s">
        <v>142</v>
      </c>
      <c r="L84" s="16">
        <f>0.25*PI()*L83^2</f>
        <v>0.30679615757712825</v>
      </c>
      <c r="M84" s="10" t="s">
        <v>14</v>
      </c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5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</row>
    <row r="85" spans="10:108">
      <c r="J85" s="10"/>
      <c r="K85" s="25" t="s">
        <v>41</v>
      </c>
      <c r="L85" s="16">
        <v>6</v>
      </c>
      <c r="M85" s="10" t="s">
        <v>10</v>
      </c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5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</row>
    <row r="86" spans="10:108" ht="15.75">
      <c r="J86" s="10"/>
      <c r="K86" s="29" t="s">
        <v>143</v>
      </c>
      <c r="L86" s="16">
        <f>L84*12/L85</f>
        <v>0.6135923151542565</v>
      </c>
      <c r="M86" s="10" t="s">
        <v>14</v>
      </c>
      <c r="N86" s="10"/>
      <c r="O86" s="10"/>
      <c r="P86" s="10"/>
      <c r="Q86" s="10"/>
      <c r="R86" s="10"/>
      <c r="S86" s="8"/>
      <c r="T86" s="65"/>
      <c r="U86" s="8"/>
      <c r="V86" s="8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5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</row>
    <row r="87" spans="10:108">
      <c r="J87" s="10"/>
      <c r="K87" s="25" t="s">
        <v>144</v>
      </c>
      <c r="L87" s="16">
        <f>As*fy/(0.85*beta_1*fc*b_eff)</f>
        <v>0.9023416399327302</v>
      </c>
      <c r="M87" s="10" t="s">
        <v>10</v>
      </c>
      <c r="N87" s="10"/>
      <c r="O87" s="10"/>
      <c r="P87" s="10"/>
      <c r="Q87" s="10"/>
      <c r="R87" s="10"/>
      <c r="S87" s="10"/>
      <c r="T87" s="8"/>
      <c r="U87" s="8"/>
      <c r="V87" s="8"/>
      <c r="W87" s="8"/>
      <c r="X87" s="8"/>
      <c r="Y87" s="8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5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</row>
    <row r="88" spans="10:108">
      <c r="J88" s="10"/>
      <c r="K88" s="25" t="s">
        <v>95</v>
      </c>
      <c r="L88" s="16">
        <f>conc_c*beta_1</f>
        <v>0.72187331194618409</v>
      </c>
      <c r="M88" s="10" t="s">
        <v>10</v>
      </c>
      <c r="N88" s="10"/>
      <c r="O88" s="10"/>
      <c r="P88" s="10"/>
      <c r="Q88" s="10"/>
      <c r="R88" s="10"/>
      <c r="S88" s="10"/>
      <c r="T88" s="10"/>
      <c r="U88" s="134"/>
      <c r="V88" s="134"/>
      <c r="W88" s="134"/>
      <c r="X88" s="134"/>
      <c r="Y88" s="134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5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</row>
    <row r="89" spans="10:108">
      <c r="J89" s="10"/>
      <c r="K89" s="25" t="s">
        <v>145</v>
      </c>
      <c r="L89" s="10">
        <v>2</v>
      </c>
      <c r="M89" s="10" t="s">
        <v>10</v>
      </c>
      <c r="N89" s="10"/>
      <c r="O89" s="10"/>
      <c r="P89" s="10"/>
      <c r="Q89" s="10"/>
      <c r="R89" s="10"/>
      <c r="S89" s="10"/>
      <c r="T89" s="8"/>
      <c r="U89" s="134"/>
      <c r="V89" s="134"/>
      <c r="W89" s="134"/>
      <c r="X89" s="134"/>
      <c r="Y89" s="134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5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</row>
    <row r="90" spans="10:108">
      <c r="J90" s="10"/>
      <c r="K90" s="25" t="s">
        <v>146</v>
      </c>
      <c r="L90" s="16">
        <f>L89+L83/2</f>
        <v>2.3125</v>
      </c>
      <c r="M90" s="10" t="s">
        <v>10</v>
      </c>
      <c r="N90" s="10"/>
      <c r="O90" s="10"/>
      <c r="P90" s="10"/>
      <c r="Q90" s="10"/>
      <c r="R90" s="25" t="s">
        <v>147</v>
      </c>
      <c r="S90" s="10"/>
      <c r="T90" s="25"/>
      <c r="U90" s="10"/>
      <c r="V90" s="10"/>
      <c r="W90" s="10"/>
      <c r="X90" s="10"/>
      <c r="Y90" s="16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5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</row>
    <row r="91" spans="10:108">
      <c r="J91" s="10"/>
      <c r="K91" s="25" t="s">
        <v>148</v>
      </c>
      <c r="L91" s="10">
        <f>C20</f>
        <v>8.5</v>
      </c>
      <c r="M91" s="10" t="s">
        <v>10</v>
      </c>
      <c r="N91" s="10"/>
      <c r="O91" s="10"/>
      <c r="P91" s="10"/>
      <c r="Q91" s="10"/>
      <c r="R91" s="10"/>
      <c r="S91" s="10"/>
      <c r="T91" s="8"/>
      <c r="U91" s="8"/>
      <c r="V91" s="8"/>
      <c r="W91" s="8"/>
      <c r="X91" s="8"/>
      <c r="Y91" s="8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5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</row>
    <row r="92" spans="10:108">
      <c r="J92" s="10"/>
      <c r="K92" s="25" t="s">
        <v>149</v>
      </c>
      <c r="L92" s="16">
        <f>h-Y</f>
        <v>6.1875</v>
      </c>
      <c r="M92" s="10" t="s">
        <v>10</v>
      </c>
      <c r="N92" s="10"/>
      <c r="O92" s="10"/>
      <c r="P92" s="10"/>
      <c r="Q92" s="10"/>
      <c r="R92" s="10"/>
      <c r="S92" s="10"/>
      <c r="T92" s="8"/>
      <c r="U92" s="8"/>
      <c r="V92" s="8"/>
      <c r="W92" s="8"/>
      <c r="X92" s="8"/>
      <c r="Y92" s="8"/>
      <c r="Z92" s="10"/>
      <c r="AA92" s="10"/>
    </row>
    <row r="93" spans="10:108">
      <c r="J93" s="8"/>
      <c r="K93" s="25" t="s">
        <v>150</v>
      </c>
      <c r="L93" s="16">
        <f>As*fy*(ds-a_conc/2)/12</f>
        <v>17.875672458271982</v>
      </c>
      <c r="M93" s="10" t="s">
        <v>133</v>
      </c>
      <c r="N93" s="8"/>
      <c r="O93" s="8"/>
      <c r="P93" s="8"/>
      <c r="Q93" s="8"/>
      <c r="R93" s="8"/>
      <c r="S93" s="74"/>
      <c r="T93" s="8"/>
      <c r="U93" s="8"/>
      <c r="V93" s="8"/>
      <c r="W93" s="8"/>
      <c r="X93" s="8"/>
      <c r="Y93" s="8"/>
      <c r="Z93" s="10"/>
      <c r="AA93" s="10"/>
    </row>
    <row r="94" spans="10:108">
      <c r="K94" s="69" t="s">
        <v>134</v>
      </c>
      <c r="L94" s="10">
        <v>0.9</v>
      </c>
      <c r="M94" s="10"/>
    </row>
    <row r="95" spans="10:108">
      <c r="K95" s="10" t="s">
        <v>135</v>
      </c>
      <c r="L95" s="16">
        <f>L94*Mn</f>
        <v>16.088105212444784</v>
      </c>
      <c r="M95" s="10" t="s">
        <v>133</v>
      </c>
    </row>
    <row r="97" spans="11:11">
      <c r="K97">
        <f>Y</f>
        <v>2.3125</v>
      </c>
    </row>
  </sheetData>
  <mergeCells count="94">
    <mergeCell ref="AM39:AN39"/>
    <mergeCell ref="AQ39:AR39"/>
    <mergeCell ref="A45:I47"/>
    <mergeCell ref="S45:AA47"/>
    <mergeCell ref="AI39:AI40"/>
    <mergeCell ref="AI41:AI42"/>
    <mergeCell ref="AC39:AC40"/>
    <mergeCell ref="AD39:AD40"/>
    <mergeCell ref="AG39:AG40"/>
    <mergeCell ref="AG41:AG42"/>
    <mergeCell ref="AC41:AC42"/>
    <mergeCell ref="AD41:AD42"/>
    <mergeCell ref="AE41:AE42"/>
    <mergeCell ref="A41:B41"/>
    <mergeCell ref="AK6:AS6"/>
    <mergeCell ref="AL37:AN37"/>
    <mergeCell ref="AP37:AR37"/>
    <mergeCell ref="AM38:AN38"/>
    <mergeCell ref="AC34:AE34"/>
    <mergeCell ref="AG34:AI34"/>
    <mergeCell ref="AQ38:AR38"/>
    <mergeCell ref="AC35:AC36"/>
    <mergeCell ref="AD35:AD36"/>
    <mergeCell ref="AE35:AE36"/>
    <mergeCell ref="AC37:AC38"/>
    <mergeCell ref="AD37:AD38"/>
    <mergeCell ref="AE37:AE38"/>
    <mergeCell ref="AG35:AG36"/>
    <mergeCell ref="AG37:AG38"/>
    <mergeCell ref="AI35:AI36"/>
    <mergeCell ref="AI37:AI38"/>
    <mergeCell ref="AE39:AE40"/>
    <mergeCell ref="A33:B33"/>
    <mergeCell ref="A34:B34"/>
    <mergeCell ref="A35:B35"/>
    <mergeCell ref="A36:B36"/>
    <mergeCell ref="A37:B37"/>
    <mergeCell ref="A40:B40"/>
    <mergeCell ref="A38:B39"/>
    <mergeCell ref="A28:B28"/>
    <mergeCell ref="A29:B29"/>
    <mergeCell ref="A30:B30"/>
    <mergeCell ref="A31:B31"/>
    <mergeCell ref="A32:B32"/>
    <mergeCell ref="A23:B23"/>
    <mergeCell ref="A24:B24"/>
    <mergeCell ref="A25:B25"/>
    <mergeCell ref="A26:B26"/>
    <mergeCell ref="A27:B27"/>
    <mergeCell ref="B1:E1"/>
    <mergeCell ref="K1:N1"/>
    <mergeCell ref="T1:W1"/>
    <mergeCell ref="A21:B21"/>
    <mergeCell ref="A22:B22"/>
    <mergeCell ref="S15:T15"/>
    <mergeCell ref="F30:G30"/>
    <mergeCell ref="E25:F25"/>
    <mergeCell ref="E26:F26"/>
    <mergeCell ref="T4:W4"/>
    <mergeCell ref="B2:E2"/>
    <mergeCell ref="B3:E3"/>
    <mergeCell ref="B4:E4"/>
    <mergeCell ref="K2:N2"/>
    <mergeCell ref="K3:N3"/>
    <mergeCell ref="K4:N4"/>
    <mergeCell ref="T2:W2"/>
    <mergeCell ref="T3:W3"/>
    <mergeCell ref="A6:I6"/>
    <mergeCell ref="A20:B20"/>
    <mergeCell ref="J6:R6"/>
    <mergeCell ref="S6:T6"/>
    <mergeCell ref="AL1:AO1"/>
    <mergeCell ref="AL2:AO2"/>
    <mergeCell ref="AL3:AO3"/>
    <mergeCell ref="AL4:AO4"/>
    <mergeCell ref="J56:K57"/>
    <mergeCell ref="L56:L57"/>
    <mergeCell ref="M56:M57"/>
    <mergeCell ref="AC1:AF1"/>
    <mergeCell ref="AC2:AF2"/>
    <mergeCell ref="AC3:AF3"/>
    <mergeCell ref="AC4:AF4"/>
    <mergeCell ref="AH35:AH36"/>
    <mergeCell ref="AH37:AH38"/>
    <mergeCell ref="AH39:AH40"/>
    <mergeCell ref="AH41:AH42"/>
    <mergeCell ref="AB28:AJ28"/>
    <mergeCell ref="X88:X89"/>
    <mergeCell ref="Y88:Y89"/>
    <mergeCell ref="U76:U77"/>
    <mergeCell ref="U79:U80"/>
    <mergeCell ref="U88:U89"/>
    <mergeCell ref="V88:V89"/>
    <mergeCell ref="W88:W89"/>
  </mergeCells>
  <pageMargins left="0.7" right="0.7" top="0.75" bottom="0.75" header="0.3" footer="0.3"/>
  <pageSetup orientation="portrait" r:id="rId1"/>
  <colBreaks count="1" manualBreakCount="1">
    <brk id="9" max="41" man="1"/>
  </colBreaks>
  <drawing r:id="rId2"/>
  <legacyDrawing r:id="rId3"/>
  <oleObjects>
    <oleObject progId="Equation.3" shapeId="1036" r:id="rId4"/>
    <oleObject progId="Equation.3" shapeId="1037" r:id="rId5"/>
    <oleObject progId="Equation.3" shapeId="1038" r:id="rId6"/>
    <oleObject progId="Equation.3" shapeId="1039" r:id="rId7"/>
    <oleObject progId="Equation.3" shapeId="1040" r:id="rId8"/>
    <oleObject progId="Equation.3" shapeId="1041" r:id="rId9"/>
    <oleObject progId="Equation.3" shapeId="1042" r:id="rId10"/>
    <oleObject progId="Equation.3" shapeId="1043" r:id="rId11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CL97"/>
  <sheetViews>
    <sheetView tabSelected="1" view="pageBreakPreview" zoomScaleNormal="110" zoomScaleSheetLayoutView="100" workbookViewId="0">
      <selection activeCell="O26" sqref="O26"/>
    </sheetView>
  </sheetViews>
  <sheetFormatPr defaultRowHeight="15"/>
  <cols>
    <col min="1" max="1" width="10" customWidth="1"/>
    <col min="2" max="2" width="10" style="1" customWidth="1"/>
    <col min="3" max="3" width="10.5703125" customWidth="1"/>
    <col min="4" max="4" width="9.5703125" customWidth="1"/>
    <col min="5" max="9" width="10" customWidth="1"/>
    <col min="10" max="10" width="9.5703125" customWidth="1"/>
    <col min="11" max="11" width="10.85546875" customWidth="1"/>
    <col min="12" max="12" width="9.5703125" customWidth="1"/>
    <col min="13" max="13" width="9" customWidth="1"/>
    <col min="14" max="14" width="9.5703125" customWidth="1"/>
    <col min="15" max="15" width="11.85546875" customWidth="1"/>
    <col min="16" max="19" width="9.5703125" customWidth="1"/>
    <col min="20" max="20" width="10.85546875" customWidth="1"/>
    <col min="21" max="21" width="9.5703125" customWidth="1"/>
    <col min="22" max="22" width="9" customWidth="1"/>
    <col min="23" max="23" width="9.5703125" customWidth="1"/>
    <col min="24" max="24" width="11.85546875" customWidth="1"/>
    <col min="25" max="27" width="9.5703125" customWidth="1"/>
  </cols>
  <sheetData>
    <row r="1" spans="1:90" ht="20.25">
      <c r="A1" s="2" t="s">
        <v>0</v>
      </c>
      <c r="B1" s="136" t="s">
        <v>8</v>
      </c>
      <c r="C1" s="137"/>
      <c r="D1" s="137"/>
      <c r="E1" s="138"/>
      <c r="F1" s="3" t="s">
        <v>1</v>
      </c>
      <c r="G1" s="4"/>
      <c r="H1" s="4"/>
      <c r="I1" s="5"/>
      <c r="J1" s="2" t="s">
        <v>0</v>
      </c>
      <c r="K1" s="136" t="str">
        <f>B1</f>
        <v>MassDOT</v>
      </c>
      <c r="L1" s="137"/>
      <c r="M1" s="137"/>
      <c r="N1" s="138"/>
      <c r="O1" s="3" t="s">
        <v>1</v>
      </c>
      <c r="P1" s="4"/>
      <c r="Q1" s="4"/>
      <c r="R1" s="5"/>
      <c r="S1" s="2" t="s">
        <v>0</v>
      </c>
      <c r="T1" s="136" t="str">
        <f>K1</f>
        <v>MassDOT</v>
      </c>
      <c r="U1" s="137"/>
      <c r="V1" s="137"/>
      <c r="W1" s="138"/>
      <c r="X1" s="3" t="s">
        <v>1</v>
      </c>
      <c r="Y1" s="4"/>
      <c r="Z1" s="4"/>
      <c r="AA1" s="5"/>
    </row>
    <row r="2" spans="1:90">
      <c r="A2" s="2" t="s">
        <v>2</v>
      </c>
      <c r="B2" s="136" t="s">
        <v>13</v>
      </c>
      <c r="C2" s="137"/>
      <c r="D2" s="137"/>
      <c r="E2" s="138"/>
      <c r="F2" s="178" t="s">
        <v>3</v>
      </c>
      <c r="G2" s="178" t="s">
        <v>4</v>
      </c>
      <c r="H2" s="178" t="s">
        <v>5</v>
      </c>
      <c r="I2" s="176">
        <v>4013391</v>
      </c>
      <c r="J2" s="2" t="s">
        <v>2</v>
      </c>
      <c r="K2" s="136" t="str">
        <f>B2</f>
        <v>Westfield Great River Sister Bridge</v>
      </c>
      <c r="L2" s="137"/>
      <c r="M2" s="137"/>
      <c r="N2" s="138"/>
      <c r="O2" s="178" t="s">
        <v>3</v>
      </c>
      <c r="P2" s="178" t="s">
        <v>4</v>
      </c>
      <c r="Q2" s="178" t="s">
        <v>5</v>
      </c>
      <c r="R2" s="176">
        <v>4013391</v>
      </c>
      <c r="S2" s="2" t="s">
        <v>2</v>
      </c>
      <c r="T2" s="136" t="str">
        <f>K2</f>
        <v>Westfield Great River Sister Bridge</v>
      </c>
      <c r="U2" s="137"/>
      <c r="V2" s="137"/>
      <c r="W2" s="138"/>
      <c r="X2" s="178" t="s">
        <v>3</v>
      </c>
      <c r="Y2" s="178" t="s">
        <v>4</v>
      </c>
      <c r="Z2" s="178" t="s">
        <v>5</v>
      </c>
      <c r="AA2" s="176">
        <v>4013391</v>
      </c>
    </row>
    <row r="3" spans="1:90" ht="15" customHeight="1">
      <c r="A3" s="2" t="s">
        <v>6</v>
      </c>
      <c r="B3" s="139" t="s">
        <v>17</v>
      </c>
      <c r="C3" s="140"/>
      <c r="D3" s="140"/>
      <c r="E3" s="141"/>
      <c r="F3" s="178" t="s">
        <v>186</v>
      </c>
      <c r="G3" s="178"/>
      <c r="H3" s="178"/>
      <c r="I3" s="177">
        <v>1</v>
      </c>
      <c r="J3" s="2" t="s">
        <v>6</v>
      </c>
      <c r="K3" s="139" t="str">
        <f>B3</f>
        <v>Rating for Deck and Sidewalk</v>
      </c>
      <c r="L3" s="140"/>
      <c r="M3" s="140"/>
      <c r="N3" s="141"/>
      <c r="O3" s="178" t="str">
        <f>F3</f>
        <v>ARG</v>
      </c>
      <c r="P3" s="178"/>
      <c r="Q3" s="178"/>
      <c r="R3" s="177">
        <f>I3+1</f>
        <v>2</v>
      </c>
      <c r="S3" s="2" t="s">
        <v>6</v>
      </c>
      <c r="T3" s="139" t="str">
        <f>K3</f>
        <v>Rating for Deck and Sidewalk</v>
      </c>
      <c r="U3" s="140"/>
      <c r="V3" s="140"/>
      <c r="W3" s="141"/>
      <c r="X3" s="178" t="str">
        <f>O3</f>
        <v>ARG</v>
      </c>
      <c r="Y3" s="178"/>
      <c r="Z3" s="178"/>
      <c r="AA3" s="177">
        <f>R3+1</f>
        <v>3</v>
      </c>
    </row>
    <row r="4" spans="1:90" ht="15" customHeight="1">
      <c r="A4" s="2"/>
      <c r="B4" s="142"/>
      <c r="C4" s="143"/>
      <c r="D4" s="143"/>
      <c r="E4" s="144"/>
      <c r="F4" s="179">
        <f ca="1">TODAY()</f>
        <v>42247</v>
      </c>
      <c r="G4" s="178"/>
      <c r="H4" s="178"/>
      <c r="I4" s="175"/>
      <c r="J4" s="2"/>
      <c r="K4" s="142" t="str">
        <f>IF(B4="","",B4)</f>
        <v/>
      </c>
      <c r="L4" s="143"/>
      <c r="M4" s="143"/>
      <c r="N4" s="144"/>
      <c r="O4" s="179">
        <f ca="1">F4</f>
        <v>42247</v>
      </c>
      <c r="P4" s="178"/>
      <c r="Q4" s="178"/>
      <c r="R4" s="175"/>
      <c r="S4" s="2"/>
      <c r="T4" s="142" t="str">
        <f>IF(K4="","",K4)</f>
        <v/>
      </c>
      <c r="U4" s="143"/>
      <c r="V4" s="143"/>
      <c r="W4" s="144"/>
      <c r="X4" s="179">
        <f ca="1">O4</f>
        <v>42247</v>
      </c>
      <c r="Y4" s="178"/>
      <c r="Z4" s="178"/>
      <c r="AA4" s="175"/>
    </row>
    <row r="5" spans="1:90" s="8" customFormat="1" ht="14.25" customHeight="1">
      <c r="A5" s="14"/>
      <c r="B5" s="14"/>
      <c r="C5" s="14"/>
      <c r="D5" s="14"/>
      <c r="E5" s="14"/>
      <c r="F5" s="14"/>
      <c r="G5" s="14"/>
      <c r="H5" s="14"/>
      <c r="I5" s="14"/>
      <c r="N5" s="14"/>
      <c r="O5" s="14"/>
      <c r="P5" s="14"/>
      <c r="Q5" s="14"/>
      <c r="R5" s="14"/>
      <c r="S5" s="10"/>
      <c r="T5" s="10"/>
      <c r="U5" s="10"/>
      <c r="V5" s="10"/>
      <c r="W5" s="10"/>
      <c r="X5" s="10"/>
      <c r="Y5" s="10"/>
      <c r="Z5" s="10"/>
      <c r="AA5" s="10"/>
    </row>
    <row r="6" spans="1:90" s="8" customFormat="1" ht="14.25" customHeight="1">
      <c r="A6" s="150" t="s">
        <v>18</v>
      </c>
      <c r="B6" s="150"/>
      <c r="C6" s="150"/>
      <c r="D6" s="150"/>
      <c r="E6" s="150"/>
      <c r="F6" s="150"/>
      <c r="G6" s="150"/>
      <c r="H6" s="150"/>
      <c r="I6" s="150"/>
      <c r="J6" s="150" t="s">
        <v>36</v>
      </c>
      <c r="K6" s="150"/>
      <c r="L6" s="150"/>
      <c r="M6" s="150"/>
      <c r="N6" s="150"/>
      <c r="O6" s="150"/>
      <c r="P6" s="150"/>
      <c r="Q6" s="150"/>
      <c r="R6" s="150"/>
      <c r="S6" s="151" t="s">
        <v>63</v>
      </c>
      <c r="T6" s="151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</row>
    <row r="7" spans="1:90" s="8" customFormat="1" ht="14.25" customHeight="1">
      <c r="A7" s="85"/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</row>
    <row r="8" spans="1:90" s="8" customFormat="1" ht="14.25" customHeight="1">
      <c r="A8" s="105"/>
      <c r="B8" s="105"/>
      <c r="C8" s="105"/>
      <c r="D8" s="105"/>
      <c r="E8" s="105"/>
      <c r="F8" s="105"/>
      <c r="G8" s="105"/>
      <c r="H8" s="105"/>
      <c r="I8" s="105"/>
      <c r="J8" s="105" t="s">
        <v>37</v>
      </c>
      <c r="K8" s="10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106" t="s">
        <v>60</v>
      </c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  <c r="BW8" s="85"/>
      <c r="BX8" s="85"/>
      <c r="BY8" s="85"/>
      <c r="BZ8" s="85"/>
      <c r="CA8" s="85"/>
      <c r="CB8" s="85"/>
      <c r="CC8" s="85"/>
      <c r="CD8" s="85"/>
      <c r="CE8" s="85"/>
      <c r="CF8" s="85"/>
      <c r="CG8" s="85"/>
      <c r="CH8" s="85"/>
      <c r="CI8" s="85"/>
      <c r="CJ8" s="85"/>
      <c r="CK8" s="85"/>
      <c r="CL8" s="85"/>
    </row>
    <row r="9" spans="1:90" s="8" customFormat="1" ht="14.25" customHeight="1">
      <c r="A9" s="85"/>
      <c r="B9" s="85"/>
      <c r="C9" s="85"/>
      <c r="D9" s="105"/>
      <c r="E9" s="105"/>
      <c r="F9" s="105"/>
      <c r="G9" s="105"/>
      <c r="H9" s="105"/>
      <c r="I9" s="105"/>
      <c r="J9" s="105"/>
      <c r="K9" s="85" t="s">
        <v>38</v>
      </c>
      <c r="L9" s="85"/>
      <c r="M9" s="85"/>
      <c r="N9" s="85"/>
      <c r="O9" s="85"/>
      <c r="P9" s="85"/>
      <c r="Q9" s="85"/>
      <c r="R9" s="85"/>
      <c r="S9" s="85"/>
      <c r="T9" s="85" t="s">
        <v>58</v>
      </c>
      <c r="U9" s="29" t="s">
        <v>59</v>
      </c>
      <c r="V9" s="103">
        <f>C35/H30*(M33/(1-M33))</f>
        <v>1.3968611900877097</v>
      </c>
      <c r="W9" s="85" t="s">
        <v>26</v>
      </c>
      <c r="X9" s="87" t="str">
        <f>IF(V9&lt;Y9,"&lt;","&gt;")</f>
        <v>&lt;</v>
      </c>
      <c r="Y9" s="85">
        <f>C30</f>
        <v>2</v>
      </c>
      <c r="Z9" s="85" t="s">
        <v>26</v>
      </c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85"/>
      <c r="BJ9" s="85"/>
      <c r="BK9" s="85"/>
      <c r="BL9" s="85"/>
      <c r="BM9" s="85"/>
      <c r="BN9" s="85"/>
      <c r="BO9" s="85"/>
      <c r="BP9" s="85"/>
      <c r="BQ9" s="85"/>
      <c r="BR9" s="85"/>
      <c r="BS9" s="85"/>
      <c r="BT9" s="85"/>
      <c r="BU9" s="85"/>
      <c r="BV9" s="85"/>
      <c r="BW9" s="85"/>
      <c r="BX9" s="85"/>
      <c r="BY9" s="85"/>
      <c r="BZ9" s="85"/>
      <c r="CA9" s="85"/>
      <c r="CB9" s="85"/>
      <c r="CC9" s="85"/>
      <c r="CD9" s="85"/>
      <c r="CE9" s="85"/>
      <c r="CF9" s="85"/>
      <c r="CG9" s="85"/>
      <c r="CH9" s="85"/>
      <c r="CI9" s="85"/>
      <c r="CJ9" s="85"/>
      <c r="CK9" s="85"/>
      <c r="CL9" s="85"/>
    </row>
    <row r="10" spans="1:90" s="8" customFormat="1" ht="14.25" customHeight="1">
      <c r="A10" s="85"/>
      <c r="B10" s="105"/>
      <c r="C10" s="87"/>
      <c r="D10" s="87"/>
      <c r="E10" s="87"/>
      <c r="F10" s="107"/>
      <c r="G10" s="107"/>
      <c r="H10" s="85"/>
      <c r="I10" s="85"/>
      <c r="J10" s="85"/>
      <c r="K10" s="105"/>
      <c r="L10" s="29" t="s">
        <v>39</v>
      </c>
      <c r="M10" s="105">
        <v>4</v>
      </c>
      <c r="N10" s="85"/>
      <c r="O10" s="85"/>
      <c r="P10" s="85"/>
      <c r="Q10" s="85"/>
      <c r="R10" s="85"/>
      <c r="S10" s="85"/>
      <c r="T10" s="85" t="s">
        <v>62</v>
      </c>
      <c r="U10" s="29" t="s">
        <v>59</v>
      </c>
      <c r="V10" s="103">
        <f>C36/H30*(M33/(1-M33))</f>
        <v>2.0952917851315647</v>
      </c>
      <c r="W10" s="85" t="s">
        <v>26</v>
      </c>
      <c r="X10" s="87" t="str">
        <f>IF(V10&lt;Y10,"&lt;","&gt;")</f>
        <v>&lt;</v>
      </c>
      <c r="Y10" s="85">
        <f>C31</f>
        <v>3</v>
      </c>
      <c r="Z10" s="85" t="s">
        <v>26</v>
      </c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85"/>
      <c r="BI10" s="85"/>
      <c r="BJ10" s="85"/>
      <c r="BK10" s="85"/>
      <c r="BL10" s="85"/>
      <c r="BM10" s="85"/>
      <c r="BN10" s="85"/>
      <c r="BO10" s="85"/>
      <c r="BP10" s="85"/>
      <c r="BQ10" s="85"/>
      <c r="BR10" s="85"/>
      <c r="BS10" s="85"/>
      <c r="BT10" s="85"/>
      <c r="BU10" s="85"/>
      <c r="BV10" s="85"/>
      <c r="BW10" s="85"/>
      <c r="BX10" s="85"/>
      <c r="BY10" s="85"/>
      <c r="BZ10" s="85"/>
      <c r="CA10" s="85"/>
      <c r="CB10" s="85"/>
      <c r="CC10" s="85"/>
      <c r="CD10" s="85"/>
      <c r="CE10" s="85"/>
      <c r="CF10" s="85"/>
      <c r="CG10" s="85"/>
      <c r="CH10" s="85"/>
      <c r="CI10" s="85"/>
      <c r="CJ10" s="85"/>
      <c r="CK10" s="85"/>
      <c r="CL10" s="85"/>
    </row>
    <row r="11" spans="1:90" s="8" customFormat="1" ht="14.25" customHeight="1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107"/>
      <c r="L11" s="108" t="s">
        <v>40</v>
      </c>
      <c r="M11" s="105">
        <f>M10/8</f>
        <v>0.5</v>
      </c>
      <c r="N11" s="85" t="s">
        <v>10</v>
      </c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</row>
    <row r="12" spans="1:90" s="8" customFormat="1" ht="14.25" customHeight="1">
      <c r="A12" s="85"/>
      <c r="B12" s="85"/>
      <c r="C12" s="85"/>
      <c r="D12" s="85"/>
      <c r="E12" s="85"/>
      <c r="F12" s="85"/>
      <c r="G12" s="85"/>
      <c r="H12" s="85"/>
      <c r="I12" s="85"/>
      <c r="J12" s="105"/>
      <c r="K12" s="105"/>
      <c r="L12" s="29" t="s">
        <v>42</v>
      </c>
      <c r="M12" s="109">
        <f>0.25*PI()*M11^2</f>
        <v>0.19634954084936207</v>
      </c>
      <c r="N12" s="85" t="s">
        <v>166</v>
      </c>
      <c r="O12" s="85"/>
      <c r="P12" s="85"/>
      <c r="Q12" s="85"/>
      <c r="R12" s="85"/>
      <c r="S12" s="85"/>
      <c r="T12" s="85"/>
      <c r="U12" s="85" t="str">
        <f>IF(X9="&lt;",IF(X10="&lt;", "STEEL CONTROLS", "CONCRETE CONTROLS"),"CONCRETE CONTROLS")</f>
        <v>STEEL CONTROLS</v>
      </c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85"/>
      <c r="BW12" s="85"/>
      <c r="BX12" s="85"/>
      <c r="BY12" s="85"/>
      <c r="BZ12" s="85"/>
      <c r="CA12" s="85"/>
      <c r="CB12" s="85"/>
      <c r="CC12" s="85"/>
      <c r="CD12" s="85"/>
      <c r="CE12" s="85"/>
      <c r="CF12" s="85"/>
      <c r="CG12" s="85"/>
      <c r="CH12" s="85"/>
      <c r="CI12" s="85"/>
      <c r="CJ12" s="85"/>
      <c r="CK12" s="85"/>
      <c r="CL12" s="85"/>
    </row>
    <row r="13" spans="1:90" s="8" customFormat="1" ht="14.25" customHeight="1">
      <c r="A13" s="85"/>
      <c r="B13" s="85"/>
      <c r="C13" s="85"/>
      <c r="D13" s="85"/>
      <c r="E13" s="85"/>
      <c r="F13" s="85"/>
      <c r="G13" s="85"/>
      <c r="H13" s="85"/>
      <c r="I13" s="85"/>
      <c r="J13" s="105"/>
      <c r="K13" s="105"/>
      <c r="L13" s="29" t="s">
        <v>41</v>
      </c>
      <c r="M13" s="105">
        <v>12</v>
      </c>
      <c r="N13" s="85" t="s">
        <v>10</v>
      </c>
      <c r="O13" s="85"/>
      <c r="P13" s="85"/>
      <c r="Q13" s="85"/>
      <c r="R13" s="85"/>
      <c r="S13" s="168" t="s">
        <v>65</v>
      </c>
      <c r="T13" s="168"/>
      <c r="U13" s="85"/>
      <c r="V13" s="85" t="s">
        <v>170</v>
      </c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  <c r="BG13" s="85"/>
      <c r="BH13" s="85"/>
      <c r="BI13" s="85"/>
      <c r="BJ13" s="85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85"/>
      <c r="BW13" s="85"/>
      <c r="BX13" s="85"/>
      <c r="BY13" s="85"/>
      <c r="BZ13" s="85"/>
      <c r="CA13" s="85"/>
      <c r="CB13" s="85"/>
      <c r="CC13" s="85"/>
      <c r="CD13" s="85"/>
      <c r="CE13" s="85"/>
      <c r="CF13" s="85"/>
      <c r="CG13" s="85"/>
      <c r="CH13" s="85"/>
      <c r="CI13" s="85"/>
      <c r="CJ13" s="85"/>
      <c r="CK13" s="85"/>
      <c r="CL13" s="85"/>
    </row>
    <row r="14" spans="1:90" s="8" customFormat="1" ht="14.25" customHeight="1">
      <c r="A14" s="85"/>
      <c r="B14" s="85"/>
      <c r="C14" s="85"/>
      <c r="D14" s="85"/>
      <c r="E14" s="85"/>
      <c r="F14" s="85"/>
      <c r="G14" s="85"/>
      <c r="H14" s="85"/>
      <c r="I14" s="85"/>
      <c r="J14" s="105"/>
      <c r="K14" s="105"/>
      <c r="L14" s="29" t="s">
        <v>44</v>
      </c>
      <c r="M14" s="109">
        <f>M12*12/M13</f>
        <v>0.19634954084936207</v>
      </c>
      <c r="N14" s="85" t="s">
        <v>166</v>
      </c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85"/>
      <c r="BW14" s="85"/>
      <c r="BX14" s="85"/>
      <c r="BY14" s="85"/>
      <c r="BZ14" s="85"/>
      <c r="CA14" s="85"/>
      <c r="CB14" s="85"/>
      <c r="CC14" s="85"/>
      <c r="CD14" s="85"/>
      <c r="CE14" s="85"/>
      <c r="CF14" s="85"/>
      <c r="CG14" s="85"/>
      <c r="CH14" s="85"/>
      <c r="CI14" s="85"/>
      <c r="CJ14" s="85"/>
      <c r="CK14" s="85"/>
      <c r="CL14" s="85"/>
    </row>
    <row r="15" spans="1:90" s="8" customFormat="1" ht="14.25" customHeight="1">
      <c r="A15" s="85"/>
      <c r="B15" s="85"/>
      <c r="C15" s="85"/>
      <c r="D15" s="85"/>
      <c r="E15" s="85"/>
      <c r="F15" s="85"/>
      <c r="G15" s="85"/>
      <c r="H15" s="85"/>
      <c r="I15" s="85"/>
      <c r="J15" s="105"/>
      <c r="K15" s="105"/>
      <c r="L15" s="29" t="s">
        <v>46</v>
      </c>
      <c r="M15" s="110">
        <v>4.25</v>
      </c>
      <c r="N15" s="85" t="s">
        <v>10</v>
      </c>
      <c r="O15" s="85"/>
      <c r="P15" s="85"/>
      <c r="Q15" s="85"/>
      <c r="R15" s="85"/>
      <c r="S15" s="85"/>
      <c r="T15" s="85" t="s">
        <v>62</v>
      </c>
      <c r="U15" s="29" t="s">
        <v>171</v>
      </c>
      <c r="V15" s="104">
        <f>C36*As*$M$42*$M$15/12</f>
        <v>2.8643401663897712</v>
      </c>
      <c r="W15" s="85" t="s">
        <v>74</v>
      </c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85"/>
      <c r="BJ15" s="85"/>
      <c r="BK15" s="85"/>
      <c r="BL15" s="85"/>
      <c r="BM15" s="85"/>
      <c r="BN15" s="85"/>
      <c r="BO15" s="85"/>
      <c r="BP15" s="85"/>
      <c r="BQ15" s="85"/>
      <c r="BR15" s="85"/>
      <c r="BS15" s="85"/>
      <c r="BT15" s="85"/>
      <c r="BU15" s="85"/>
      <c r="BV15" s="85"/>
      <c r="BW15" s="85"/>
      <c r="BX15" s="85"/>
      <c r="BY15" s="85"/>
      <c r="BZ15" s="85"/>
      <c r="CA15" s="85"/>
      <c r="CB15" s="85"/>
      <c r="CC15" s="85"/>
      <c r="CD15" s="85"/>
      <c r="CE15" s="85"/>
      <c r="CF15" s="85"/>
      <c r="CG15" s="85"/>
      <c r="CH15" s="85"/>
      <c r="CI15" s="85"/>
      <c r="CJ15" s="85"/>
      <c r="CK15" s="85"/>
      <c r="CL15" s="85"/>
    </row>
    <row r="16" spans="1:90" s="8" customFormat="1" ht="14.25" customHeight="1">
      <c r="A16" s="85"/>
      <c r="B16" s="85"/>
      <c r="C16" s="85"/>
      <c r="D16" s="85"/>
      <c r="E16" s="85"/>
      <c r="F16" s="85"/>
      <c r="G16" s="85"/>
      <c r="H16" s="85"/>
      <c r="I16" s="85"/>
      <c r="J16" s="105"/>
      <c r="K16" s="105"/>
      <c r="L16" s="29" t="s">
        <v>43</v>
      </c>
      <c r="M16" s="110">
        <f>C21+M11/2</f>
        <v>2.25</v>
      </c>
      <c r="N16" s="85" t="s">
        <v>10</v>
      </c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85"/>
      <c r="BW16" s="85"/>
      <c r="BX16" s="85"/>
      <c r="BY16" s="85"/>
      <c r="BZ16" s="85"/>
      <c r="CA16" s="85"/>
      <c r="CB16" s="85"/>
      <c r="CC16" s="85"/>
      <c r="CD16" s="85"/>
      <c r="CE16" s="85"/>
      <c r="CF16" s="85"/>
      <c r="CG16" s="85"/>
      <c r="CH16" s="85"/>
      <c r="CI16" s="85"/>
      <c r="CJ16" s="85"/>
      <c r="CK16" s="85"/>
      <c r="CL16" s="85"/>
    </row>
    <row r="17" spans="1:90" s="8" customFormat="1" ht="14.25" customHeight="1">
      <c r="A17" s="85"/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29" t="s">
        <v>45</v>
      </c>
      <c r="M17" s="111">
        <f>C23</f>
        <v>4.114583333333333</v>
      </c>
      <c r="N17" s="85" t="s">
        <v>9</v>
      </c>
      <c r="O17" s="85"/>
      <c r="P17" s="85"/>
      <c r="Q17" s="85"/>
      <c r="R17" s="85"/>
      <c r="S17" s="85" t="s">
        <v>67</v>
      </c>
      <c r="T17" s="85"/>
      <c r="U17" s="85"/>
      <c r="V17" s="133" t="s">
        <v>172</v>
      </c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5"/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5"/>
      <c r="BU17" s="85"/>
      <c r="BV17" s="85"/>
      <c r="BW17" s="85"/>
      <c r="BX17" s="85"/>
      <c r="BY17" s="85"/>
      <c r="BZ17" s="85"/>
      <c r="CA17" s="85"/>
      <c r="CB17" s="85"/>
      <c r="CC17" s="85"/>
      <c r="CD17" s="85"/>
      <c r="CE17" s="85"/>
      <c r="CF17" s="85"/>
      <c r="CG17" s="85"/>
      <c r="CH17" s="85"/>
      <c r="CI17" s="85"/>
      <c r="CJ17" s="85"/>
      <c r="CK17" s="85"/>
      <c r="CL17" s="85"/>
    </row>
    <row r="18" spans="1:90" s="8" customFormat="1" ht="14.25" customHeight="1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>
        <f>(2*n-1)*As_1/(12*M25)*M26/M25</f>
        <v>2.8797932657906436E-2</v>
      </c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5"/>
      <c r="BY18" s="85"/>
      <c r="BZ18" s="85"/>
      <c r="CA18" s="85"/>
      <c r="CB18" s="85"/>
      <c r="CC18" s="85"/>
      <c r="CD18" s="85"/>
      <c r="CE18" s="85"/>
      <c r="CF18" s="85"/>
      <c r="CG18" s="85"/>
      <c r="CH18" s="85"/>
      <c r="CI18" s="85"/>
      <c r="CJ18" s="85"/>
      <c r="CK18" s="85"/>
      <c r="CL18" s="85"/>
    </row>
    <row r="19" spans="1:90" s="8" customFormat="1" ht="14.25" customHeight="1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 t="s">
        <v>47</v>
      </c>
      <c r="L19" s="85"/>
      <c r="M19" s="85"/>
      <c r="N19" s="85"/>
      <c r="O19" s="85"/>
      <c r="P19" s="85"/>
      <c r="Q19" s="85"/>
      <c r="R19" s="85"/>
      <c r="S19" s="85"/>
      <c r="T19" s="85"/>
      <c r="U19" s="29" t="s">
        <v>70</v>
      </c>
      <c r="V19" s="85">
        <v>2</v>
      </c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85"/>
      <c r="BW19" s="85"/>
      <c r="BX19" s="85"/>
      <c r="BY19" s="85"/>
      <c r="BZ19" s="85"/>
      <c r="CA19" s="85"/>
      <c r="CB19" s="85"/>
      <c r="CC19" s="85"/>
      <c r="CD19" s="85"/>
      <c r="CE19" s="85"/>
      <c r="CF19" s="85"/>
      <c r="CG19" s="85"/>
      <c r="CH19" s="85"/>
      <c r="CI19" s="85"/>
      <c r="CJ19" s="85"/>
      <c r="CK19" s="85"/>
      <c r="CL19" s="85"/>
    </row>
    <row r="20" spans="1:90" s="8" customFormat="1" ht="14.25" customHeight="1">
      <c r="A20" s="168" t="s">
        <v>20</v>
      </c>
      <c r="B20" s="168"/>
      <c r="C20" s="112">
        <v>6</v>
      </c>
      <c r="D20" s="86" t="s">
        <v>10</v>
      </c>
      <c r="E20" s="87"/>
      <c r="F20" s="105"/>
      <c r="G20" s="105"/>
      <c r="H20" s="85"/>
      <c r="I20" s="29" t="s">
        <v>119</v>
      </c>
      <c r="J20" s="85"/>
      <c r="K20" s="105"/>
      <c r="L20" s="29" t="s">
        <v>39</v>
      </c>
      <c r="M20" s="105">
        <v>4</v>
      </c>
      <c r="N20" s="85"/>
      <c r="O20" s="85"/>
      <c r="P20" s="85"/>
      <c r="Q20" s="85"/>
      <c r="R20" s="85"/>
      <c r="S20" s="85"/>
      <c r="T20" s="85"/>
      <c r="U20" s="29" t="s">
        <v>71</v>
      </c>
      <c r="V20" s="85">
        <v>1</v>
      </c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85"/>
      <c r="BW20" s="85"/>
      <c r="BX20" s="85"/>
      <c r="BY20" s="85"/>
      <c r="BZ20" s="85"/>
      <c r="CA20" s="85"/>
      <c r="CB20" s="85"/>
      <c r="CC20" s="85"/>
      <c r="CD20" s="85"/>
      <c r="CE20" s="85"/>
      <c r="CF20" s="85"/>
      <c r="CG20" s="85"/>
      <c r="CH20" s="85"/>
      <c r="CI20" s="85"/>
      <c r="CJ20" s="85"/>
      <c r="CK20" s="85"/>
      <c r="CL20" s="85"/>
    </row>
    <row r="21" spans="1:90" s="8" customFormat="1" ht="14.25" customHeight="1">
      <c r="A21" s="168" t="s">
        <v>19</v>
      </c>
      <c r="B21" s="168"/>
      <c r="C21" s="112">
        <v>2</v>
      </c>
      <c r="D21" s="86" t="s">
        <v>10</v>
      </c>
      <c r="E21" s="90"/>
      <c r="F21" s="111"/>
      <c r="G21" s="111"/>
      <c r="H21" s="85"/>
      <c r="I21" s="113" t="s">
        <v>120</v>
      </c>
      <c r="J21" s="85"/>
      <c r="K21" s="107"/>
      <c r="L21" s="108" t="s">
        <v>40</v>
      </c>
      <c r="M21" s="105">
        <f>M20/8</f>
        <v>0.5</v>
      </c>
      <c r="N21" s="85" t="s">
        <v>10</v>
      </c>
      <c r="O21" s="85"/>
      <c r="P21" s="85"/>
      <c r="Q21" s="85"/>
      <c r="R21" s="85"/>
      <c r="S21" s="85"/>
      <c r="T21" s="85"/>
      <c r="U21" s="29" t="s">
        <v>16</v>
      </c>
      <c r="V21" s="103">
        <f>C40+C41</f>
        <v>0.08</v>
      </c>
      <c r="W21" s="85" t="s">
        <v>165</v>
      </c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85"/>
      <c r="BW21" s="85"/>
      <c r="BX21" s="85"/>
      <c r="BY21" s="85"/>
      <c r="BZ21" s="85"/>
      <c r="CA21" s="85"/>
      <c r="CB21" s="85"/>
      <c r="CC21" s="85"/>
      <c r="CD21" s="85"/>
      <c r="CE21" s="85"/>
      <c r="CF21" s="85"/>
      <c r="CG21" s="85"/>
      <c r="CH21" s="85"/>
      <c r="CI21" s="85"/>
      <c r="CJ21" s="85"/>
      <c r="CK21" s="85"/>
      <c r="CL21" s="85"/>
    </row>
    <row r="22" spans="1:90" s="8" customFormat="1" ht="14.25" customHeight="1">
      <c r="A22" s="168" t="s">
        <v>21</v>
      </c>
      <c r="B22" s="168"/>
      <c r="C22" s="112">
        <v>2</v>
      </c>
      <c r="D22" s="86" t="s">
        <v>10</v>
      </c>
      <c r="E22" s="90"/>
      <c r="F22" s="111"/>
      <c r="G22" s="111"/>
      <c r="H22" s="85"/>
      <c r="I22" s="85"/>
      <c r="J22" s="85"/>
      <c r="K22" s="105"/>
      <c r="L22" s="29" t="s">
        <v>42</v>
      </c>
      <c r="M22" s="109">
        <f>0.25*PI()*M21^2</f>
        <v>0.19634954084936207</v>
      </c>
      <c r="N22" s="85" t="s">
        <v>166</v>
      </c>
      <c r="O22" s="85"/>
      <c r="P22" s="85"/>
      <c r="Q22" s="85"/>
      <c r="R22" s="85"/>
      <c r="S22" s="85"/>
      <c r="T22" s="85"/>
      <c r="U22" s="29" t="s">
        <v>167</v>
      </c>
      <c r="V22" s="103">
        <f>1/8*V21*C23^2</f>
        <v>0.16929796006944442</v>
      </c>
      <c r="W22" s="85" t="s">
        <v>74</v>
      </c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85"/>
      <c r="BW22" s="85"/>
      <c r="BX22" s="85"/>
      <c r="BY22" s="85"/>
      <c r="BZ22" s="85"/>
      <c r="CA22" s="85"/>
      <c r="CB22" s="85"/>
      <c r="CC22" s="85"/>
      <c r="CD22" s="85"/>
      <c r="CE22" s="85"/>
      <c r="CF22" s="85"/>
      <c r="CG22" s="85"/>
      <c r="CH22" s="85"/>
      <c r="CI22" s="85"/>
      <c r="CJ22" s="85"/>
      <c r="CK22" s="85"/>
      <c r="CL22" s="85"/>
    </row>
    <row r="23" spans="1:90" s="8" customFormat="1" ht="14.25" customHeight="1">
      <c r="A23" s="168" t="s">
        <v>22</v>
      </c>
      <c r="B23" s="168"/>
      <c r="C23" s="114">
        <f>4+(1+3/8)/12</f>
        <v>4.114583333333333</v>
      </c>
      <c r="D23" s="86" t="s">
        <v>9</v>
      </c>
      <c r="E23" s="90"/>
      <c r="F23" s="111"/>
      <c r="G23" s="111"/>
      <c r="H23" s="85"/>
      <c r="I23" s="112"/>
      <c r="J23" s="85"/>
      <c r="K23" s="105"/>
      <c r="L23" s="29" t="s">
        <v>41</v>
      </c>
      <c r="M23" s="105">
        <v>12</v>
      </c>
      <c r="N23" s="85" t="s">
        <v>10</v>
      </c>
      <c r="O23" s="85"/>
      <c r="P23" s="85"/>
      <c r="Q23" s="85"/>
      <c r="R23" s="10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5"/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85"/>
      <c r="BW23" s="85"/>
      <c r="BX23" s="85"/>
      <c r="BY23" s="85"/>
      <c r="BZ23" s="85"/>
      <c r="CA23" s="85"/>
      <c r="CB23" s="85"/>
      <c r="CC23" s="85"/>
      <c r="CD23" s="85"/>
      <c r="CE23" s="85"/>
      <c r="CF23" s="85"/>
      <c r="CG23" s="85"/>
      <c r="CH23" s="85"/>
      <c r="CI23" s="85"/>
      <c r="CJ23" s="85"/>
      <c r="CK23" s="85"/>
      <c r="CL23" s="85"/>
    </row>
    <row r="24" spans="1:90" s="8" customFormat="1" ht="14.25" customHeight="1">
      <c r="A24" s="168"/>
      <c r="B24" s="168"/>
      <c r="C24" s="115"/>
      <c r="D24" s="86"/>
      <c r="E24" s="90"/>
      <c r="F24" s="111"/>
      <c r="G24" s="111"/>
      <c r="H24" s="85"/>
      <c r="I24" s="85"/>
      <c r="J24" s="85"/>
      <c r="K24" s="105"/>
      <c r="L24" s="29" t="s">
        <v>123</v>
      </c>
      <c r="M24" s="109">
        <f>M22*12/M23</f>
        <v>0.19634954084936207</v>
      </c>
      <c r="N24" s="85" t="s">
        <v>166</v>
      </c>
      <c r="O24" s="85"/>
      <c r="P24" s="85"/>
      <c r="Q24" s="85"/>
      <c r="R24" s="85"/>
      <c r="S24" s="85" t="s">
        <v>157</v>
      </c>
      <c r="T24" s="89"/>
      <c r="U24" s="89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85"/>
      <c r="BW24" s="85"/>
      <c r="BX24" s="85"/>
      <c r="BY24" s="85"/>
      <c r="BZ24" s="85"/>
      <c r="CA24" s="85"/>
      <c r="CB24" s="85"/>
      <c r="CC24" s="85"/>
      <c r="CD24" s="85"/>
      <c r="CE24" s="85"/>
      <c r="CF24" s="85"/>
      <c r="CG24" s="85"/>
      <c r="CH24" s="85"/>
      <c r="CI24" s="85"/>
      <c r="CJ24" s="85"/>
      <c r="CK24" s="85"/>
      <c r="CL24" s="85"/>
    </row>
    <row r="25" spans="1:90" s="8" customFormat="1" ht="14.25" customHeight="1">
      <c r="A25" s="168" t="s">
        <v>23</v>
      </c>
      <c r="B25" s="168"/>
      <c r="C25" s="112">
        <v>4</v>
      </c>
      <c r="D25" s="86"/>
      <c r="E25" s="168" t="s">
        <v>23</v>
      </c>
      <c r="F25" s="168"/>
      <c r="G25" s="112">
        <v>5</v>
      </c>
      <c r="H25" s="87"/>
      <c r="I25" s="29" t="s">
        <v>122</v>
      </c>
      <c r="J25" s="85"/>
      <c r="K25" s="105"/>
      <c r="L25" s="29" t="s">
        <v>46</v>
      </c>
      <c r="M25" s="111">
        <f>C20-C22-M21/2</f>
        <v>3.75</v>
      </c>
      <c r="N25" s="85" t="s">
        <v>10</v>
      </c>
      <c r="O25" s="85"/>
      <c r="P25" s="85"/>
      <c r="Q25" s="85"/>
      <c r="R25" s="85"/>
      <c r="S25" s="85"/>
      <c r="T25" s="90"/>
      <c r="U25" s="90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85"/>
      <c r="BW25" s="85"/>
      <c r="BX25" s="85"/>
      <c r="BY25" s="85"/>
      <c r="BZ25" s="85"/>
      <c r="CA25" s="85"/>
      <c r="CB25" s="85"/>
      <c r="CC25" s="85"/>
      <c r="CD25" s="85"/>
      <c r="CE25" s="85"/>
      <c r="CF25" s="85"/>
      <c r="CG25" s="85"/>
      <c r="CH25" s="85"/>
      <c r="CI25" s="85"/>
      <c r="CJ25" s="85"/>
      <c r="CK25" s="85"/>
      <c r="CL25" s="85"/>
    </row>
    <row r="26" spans="1:90" s="8" customFormat="1" ht="14.25" customHeight="1">
      <c r="A26" s="168" t="s">
        <v>61</v>
      </c>
      <c r="B26" s="168"/>
      <c r="C26" s="112">
        <v>12</v>
      </c>
      <c r="D26" s="86" t="s">
        <v>10</v>
      </c>
      <c r="E26" s="168" t="s">
        <v>61</v>
      </c>
      <c r="F26" s="168"/>
      <c r="G26" s="112">
        <v>6</v>
      </c>
      <c r="H26" s="86" t="s">
        <v>10</v>
      </c>
      <c r="I26" s="85"/>
      <c r="J26" s="85"/>
      <c r="K26" s="105"/>
      <c r="L26" s="29" t="s">
        <v>43</v>
      </c>
      <c r="M26" s="111">
        <f>C21+M21/2</f>
        <v>2.25</v>
      </c>
      <c r="N26" s="85" t="s">
        <v>10</v>
      </c>
      <c r="O26" s="85"/>
      <c r="P26" s="85"/>
      <c r="Q26" s="85"/>
      <c r="R26" s="85"/>
      <c r="S26" s="166" t="s">
        <v>158</v>
      </c>
      <c r="T26" s="91" t="s">
        <v>159</v>
      </c>
      <c r="U26" s="90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5"/>
      <c r="CA26" s="85"/>
      <c r="CB26" s="85"/>
      <c r="CC26" s="85"/>
      <c r="CD26" s="85"/>
      <c r="CE26" s="85"/>
      <c r="CF26" s="85"/>
      <c r="CG26" s="85"/>
      <c r="CH26" s="85"/>
      <c r="CI26" s="85"/>
      <c r="CJ26" s="85"/>
      <c r="CK26" s="85"/>
      <c r="CL26" s="85"/>
    </row>
    <row r="27" spans="1:90" s="8" customFormat="1" ht="14.25" customHeight="1">
      <c r="A27" s="168"/>
      <c r="B27" s="168"/>
      <c r="C27" s="115"/>
      <c r="D27" s="86"/>
      <c r="E27" s="85"/>
      <c r="F27" s="85"/>
      <c r="G27" s="85"/>
      <c r="H27" s="85"/>
      <c r="I27" s="85"/>
      <c r="J27" s="85"/>
      <c r="K27" s="85"/>
      <c r="L27" s="29" t="s">
        <v>45</v>
      </c>
      <c r="M27" s="111">
        <f>C23</f>
        <v>4.114583333333333</v>
      </c>
      <c r="N27" s="85" t="s">
        <v>9</v>
      </c>
      <c r="O27" s="85"/>
      <c r="P27" s="85"/>
      <c r="Q27" s="85"/>
      <c r="R27" s="85"/>
      <c r="S27" s="166"/>
      <c r="T27" s="92" t="s">
        <v>160</v>
      </c>
      <c r="U27" s="90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85"/>
      <c r="BW27" s="85"/>
      <c r="BX27" s="85"/>
      <c r="BY27" s="85"/>
      <c r="BZ27" s="85"/>
      <c r="CA27" s="85"/>
      <c r="CB27" s="85"/>
      <c r="CC27" s="85"/>
      <c r="CD27" s="85"/>
      <c r="CE27" s="85"/>
      <c r="CF27" s="85"/>
      <c r="CG27" s="85"/>
      <c r="CH27" s="85"/>
      <c r="CI27" s="85"/>
      <c r="CJ27" s="85"/>
      <c r="CK27" s="85"/>
      <c r="CL27" s="85"/>
    </row>
    <row r="28" spans="1:90" s="8" customFormat="1" ht="14.25" customHeight="1">
      <c r="A28" s="169" t="s">
        <v>24</v>
      </c>
      <c r="B28" s="169"/>
      <c r="C28" s="115"/>
      <c r="D28" s="86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  <c r="BH28" s="85"/>
      <c r="BI28" s="85"/>
      <c r="BJ28" s="85"/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85"/>
      <c r="BW28" s="85"/>
      <c r="BX28" s="85"/>
      <c r="BY28" s="85"/>
      <c r="BZ28" s="85"/>
      <c r="CA28" s="85"/>
      <c r="CB28" s="85"/>
      <c r="CC28" s="85"/>
      <c r="CD28" s="85"/>
      <c r="CE28" s="85"/>
      <c r="CF28" s="85"/>
      <c r="CG28" s="85"/>
      <c r="CH28" s="85"/>
      <c r="CI28" s="85"/>
      <c r="CJ28" s="85"/>
      <c r="CK28" s="85"/>
      <c r="CL28" s="85"/>
    </row>
    <row r="29" spans="1:90" s="8" customFormat="1" ht="14.25" customHeight="1">
      <c r="A29" s="168" t="s">
        <v>25</v>
      </c>
      <c r="B29" s="168"/>
      <c r="C29" s="116">
        <v>5</v>
      </c>
      <c r="D29" s="86" t="s">
        <v>26</v>
      </c>
      <c r="E29" s="90"/>
      <c r="F29" s="111"/>
      <c r="G29" s="111"/>
      <c r="H29" s="85"/>
      <c r="I29" s="29" t="s">
        <v>116</v>
      </c>
      <c r="J29" s="85"/>
      <c r="K29" s="85"/>
      <c r="L29" s="29" t="s">
        <v>48</v>
      </c>
      <c r="M29" s="117">
        <f>n*As/(12*M15)+(2*n-1)*As_1/(12*M25)</f>
        <v>7.1096500412121955E-2</v>
      </c>
      <c r="N29" s="85"/>
      <c r="O29" s="85"/>
      <c r="P29" s="85"/>
      <c r="Q29" s="85"/>
      <c r="R29" s="85"/>
      <c r="S29" s="85" t="s">
        <v>161</v>
      </c>
      <c r="T29" s="85"/>
      <c r="U29" s="90"/>
      <c r="V29" s="90">
        <v>1</v>
      </c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5"/>
      <c r="BA29" s="85"/>
      <c r="BB29" s="85"/>
      <c r="BC29" s="85"/>
      <c r="BD29" s="85"/>
      <c r="BE29" s="85"/>
      <c r="BF29" s="85"/>
      <c r="BG29" s="85"/>
      <c r="BH29" s="85"/>
      <c r="BI29" s="85"/>
      <c r="BJ29" s="85"/>
      <c r="BK29" s="85"/>
      <c r="BL29" s="85"/>
      <c r="BM29" s="85"/>
      <c r="BN29" s="85"/>
      <c r="BO29" s="85"/>
      <c r="BP29" s="85"/>
      <c r="BQ29" s="85"/>
      <c r="BR29" s="85"/>
      <c r="BS29" s="85"/>
      <c r="BT29" s="85"/>
      <c r="BU29" s="85"/>
      <c r="BV29" s="85"/>
      <c r="BW29" s="85"/>
      <c r="BX29" s="85"/>
      <c r="BY29" s="85"/>
      <c r="BZ29" s="85"/>
      <c r="CA29" s="85"/>
      <c r="CB29" s="85"/>
      <c r="CC29" s="85"/>
      <c r="CD29" s="85"/>
      <c r="CE29" s="85"/>
      <c r="CF29" s="85"/>
      <c r="CG29" s="85"/>
      <c r="CH29" s="85"/>
      <c r="CI29" s="85"/>
      <c r="CJ29" s="85"/>
      <c r="CK29" s="85"/>
      <c r="CL29" s="85"/>
    </row>
    <row r="30" spans="1:90" s="8" customFormat="1" ht="14.25" customHeight="1">
      <c r="A30" s="168" t="s">
        <v>28</v>
      </c>
      <c r="B30" s="168"/>
      <c r="C30" s="116">
        <v>2</v>
      </c>
      <c r="D30" s="86" t="s">
        <v>26</v>
      </c>
      <c r="E30" s="87"/>
      <c r="F30" s="169" t="s">
        <v>118</v>
      </c>
      <c r="G30" s="169"/>
      <c r="H30" s="118">
        <v>6</v>
      </c>
      <c r="I30" s="85"/>
      <c r="J30" s="85"/>
      <c r="K30" s="85"/>
      <c r="L30" s="85"/>
      <c r="M30" s="119"/>
      <c r="N30" s="85"/>
      <c r="O30" s="85"/>
      <c r="P30" s="85"/>
      <c r="Q30" s="85"/>
      <c r="R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BB30" s="85"/>
      <c r="BC30" s="85"/>
      <c r="BD30" s="85"/>
      <c r="BE30" s="85"/>
      <c r="BF30" s="85"/>
      <c r="BG30" s="85"/>
      <c r="BH30" s="85"/>
      <c r="BI30" s="85"/>
      <c r="BJ30" s="85"/>
      <c r="BK30" s="85"/>
      <c r="BL30" s="85"/>
      <c r="BM30" s="85"/>
      <c r="BN30" s="85"/>
      <c r="BO30" s="85"/>
      <c r="BP30" s="85"/>
      <c r="BQ30" s="85"/>
      <c r="BR30" s="85"/>
      <c r="BS30" s="85"/>
      <c r="BT30" s="85"/>
      <c r="BU30" s="85"/>
      <c r="BV30" s="85"/>
      <c r="BW30" s="85"/>
      <c r="BX30" s="85"/>
      <c r="BY30" s="85"/>
      <c r="BZ30" s="85"/>
      <c r="CA30" s="85"/>
      <c r="CB30" s="85"/>
      <c r="CC30" s="85"/>
      <c r="CD30" s="85"/>
      <c r="CE30" s="85"/>
      <c r="CF30" s="85"/>
      <c r="CG30" s="85"/>
      <c r="CH30" s="85"/>
      <c r="CI30" s="85"/>
      <c r="CJ30" s="85"/>
      <c r="CK30" s="85"/>
      <c r="CL30" s="85"/>
    </row>
    <row r="31" spans="1:90" s="8" customFormat="1" ht="14.25" customHeight="1">
      <c r="A31" s="168" t="s">
        <v>27</v>
      </c>
      <c r="B31" s="168"/>
      <c r="C31" s="116">
        <v>3</v>
      </c>
      <c r="D31" s="86" t="s">
        <v>26</v>
      </c>
      <c r="E31" s="90"/>
      <c r="F31" s="111"/>
      <c r="G31" s="111"/>
      <c r="H31" s="85"/>
      <c r="I31" s="85"/>
      <c r="J31" s="85"/>
      <c r="K31" s="85"/>
      <c r="L31" s="29" t="s">
        <v>49</v>
      </c>
      <c r="M31" s="117">
        <f>n*As/(12*M15)+(2*n-1)*As_1/(12*M25)*M26/M25</f>
        <v>5.1897878640184331E-2</v>
      </c>
      <c r="N31" s="85"/>
      <c r="O31" s="85"/>
      <c r="P31" s="85"/>
      <c r="Q31" s="85"/>
      <c r="R31" s="85"/>
      <c r="S31" s="85" t="s">
        <v>162</v>
      </c>
      <c r="T31" s="85"/>
      <c r="U31" s="85"/>
      <c r="V31" s="93"/>
      <c r="W31" s="94" t="s">
        <v>104</v>
      </c>
      <c r="X31" s="95" t="s">
        <v>105</v>
      </c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5"/>
      <c r="BH31" s="85"/>
      <c r="BI31" s="85"/>
      <c r="BJ31" s="85"/>
      <c r="BK31" s="85"/>
      <c r="BL31" s="85"/>
      <c r="BM31" s="85"/>
      <c r="BN31" s="85"/>
      <c r="BO31" s="85"/>
      <c r="BP31" s="85"/>
      <c r="BQ31" s="85"/>
      <c r="BR31" s="85"/>
      <c r="BS31" s="85"/>
      <c r="BT31" s="85"/>
      <c r="BU31" s="85"/>
      <c r="BV31" s="85"/>
      <c r="BW31" s="85"/>
      <c r="BX31" s="85"/>
      <c r="BY31" s="85"/>
      <c r="BZ31" s="85"/>
      <c r="CA31" s="85"/>
      <c r="CB31" s="85"/>
      <c r="CC31" s="85"/>
      <c r="CD31" s="85"/>
      <c r="CE31" s="85"/>
      <c r="CF31" s="85"/>
      <c r="CG31" s="85"/>
      <c r="CH31" s="85"/>
      <c r="CI31" s="85"/>
      <c r="CJ31" s="85"/>
      <c r="CK31" s="85"/>
      <c r="CL31" s="85"/>
    </row>
    <row r="32" spans="1:90" s="8" customFormat="1" ht="14.25" customHeight="1">
      <c r="A32" s="168"/>
      <c r="B32" s="168"/>
      <c r="C32" s="115"/>
      <c r="D32" s="86"/>
      <c r="E32" s="90"/>
      <c r="F32" s="111"/>
      <c r="G32" s="111"/>
      <c r="H32" s="85"/>
      <c r="I32" s="85"/>
      <c r="J32" s="85"/>
      <c r="K32" s="85"/>
      <c r="L32" s="85"/>
      <c r="M32" s="105"/>
      <c r="N32" s="85"/>
      <c r="O32" s="85"/>
      <c r="P32" s="85"/>
      <c r="Q32" s="85"/>
      <c r="R32" s="85"/>
      <c r="S32" s="85"/>
      <c r="T32" s="85"/>
      <c r="U32" s="85"/>
      <c r="V32" s="96" t="s">
        <v>58</v>
      </c>
      <c r="W32" s="97">
        <v>1.3</v>
      </c>
      <c r="X32" s="98">
        <v>2.17</v>
      </c>
      <c r="Y32" s="85"/>
      <c r="Z32" s="85"/>
      <c r="AA32" s="29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  <c r="BW32" s="85"/>
      <c r="BX32" s="85"/>
      <c r="BY32" s="85"/>
      <c r="BZ32" s="85"/>
      <c r="CA32" s="85"/>
      <c r="CB32" s="85"/>
      <c r="CC32" s="85"/>
      <c r="CD32" s="85"/>
      <c r="CE32" s="85"/>
      <c r="CF32" s="85"/>
      <c r="CG32" s="85"/>
      <c r="CH32" s="85"/>
      <c r="CI32" s="85"/>
      <c r="CJ32" s="85"/>
      <c r="CK32" s="85"/>
      <c r="CL32" s="85"/>
    </row>
    <row r="33" spans="1:90" s="8" customFormat="1" ht="14.25" customHeight="1">
      <c r="A33" s="169" t="s">
        <v>29</v>
      </c>
      <c r="B33" s="169"/>
      <c r="C33" s="115"/>
      <c r="D33" s="86"/>
      <c r="E33" s="90"/>
      <c r="F33" s="111"/>
      <c r="G33" s="111"/>
      <c r="H33" s="85"/>
      <c r="I33" s="29" t="s">
        <v>117</v>
      </c>
      <c r="J33" s="85"/>
      <c r="K33" s="85"/>
      <c r="L33" s="29" t="s">
        <v>50</v>
      </c>
      <c r="M33" s="103">
        <f>SQRT(M29^2+2*M31)-M29</f>
        <v>0.25882844506975505</v>
      </c>
      <c r="N33" s="85"/>
      <c r="O33" s="85"/>
      <c r="P33" s="85"/>
      <c r="Q33" s="85"/>
      <c r="R33" s="85"/>
      <c r="S33" s="85"/>
      <c r="T33" s="85"/>
      <c r="U33" s="85"/>
      <c r="V33" s="99" t="s">
        <v>62</v>
      </c>
      <c r="W33" s="100">
        <v>1.3</v>
      </c>
      <c r="X33" s="101">
        <v>1.3</v>
      </c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85"/>
      <c r="BW33" s="85"/>
      <c r="BX33" s="85"/>
      <c r="BY33" s="85"/>
      <c r="BZ33" s="85"/>
      <c r="CA33" s="85"/>
      <c r="CB33" s="85"/>
      <c r="CC33" s="85"/>
      <c r="CD33" s="85"/>
      <c r="CE33" s="85"/>
      <c r="CF33" s="85"/>
      <c r="CG33" s="85"/>
      <c r="CH33" s="85"/>
      <c r="CI33" s="85"/>
      <c r="CJ33" s="85"/>
      <c r="CK33" s="85"/>
      <c r="CL33" s="85"/>
    </row>
    <row r="34" spans="1:90" s="8" customFormat="1" ht="14.25" customHeight="1">
      <c r="A34" s="168" t="s">
        <v>31</v>
      </c>
      <c r="B34" s="168"/>
      <c r="C34" s="112">
        <v>60</v>
      </c>
      <c r="D34" s="86" t="s">
        <v>26</v>
      </c>
      <c r="E34" s="90"/>
      <c r="F34" s="111"/>
      <c r="G34" s="111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 t="s">
        <v>163</v>
      </c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5"/>
      <c r="BW34" s="85"/>
      <c r="BX34" s="85"/>
      <c r="BY34" s="85"/>
      <c r="BZ34" s="85"/>
      <c r="CA34" s="85"/>
      <c r="CB34" s="85"/>
      <c r="CC34" s="85"/>
      <c r="CD34" s="85"/>
      <c r="CE34" s="85"/>
      <c r="CF34" s="85"/>
      <c r="CG34" s="85"/>
      <c r="CH34" s="85"/>
      <c r="CI34" s="85"/>
      <c r="CJ34" s="85"/>
      <c r="CK34" s="85"/>
      <c r="CL34" s="85"/>
    </row>
    <row r="35" spans="1:90" s="8" customFormat="1" ht="14.25" customHeight="1">
      <c r="A35" s="168" t="s">
        <v>32</v>
      </c>
      <c r="B35" s="168"/>
      <c r="C35" s="112">
        <v>24</v>
      </c>
      <c r="D35" s="86" t="s">
        <v>26</v>
      </c>
      <c r="E35" s="90"/>
      <c r="F35" s="111"/>
      <c r="G35" s="111"/>
      <c r="H35" s="85"/>
      <c r="I35" s="85"/>
      <c r="J35" s="85"/>
      <c r="K35" s="85"/>
      <c r="L35" s="85"/>
      <c r="M35" s="85"/>
      <c r="N35" s="85"/>
      <c r="O35" s="85"/>
      <c r="P35" s="29" t="s">
        <v>51</v>
      </c>
      <c r="Q35" s="103">
        <f>(2*n-1)*As/(M33*12*M15)</f>
        <v>0.16362150982321913</v>
      </c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/>
      <c r="BH35" s="85"/>
      <c r="BI35" s="85"/>
      <c r="BJ35" s="85"/>
      <c r="BK35" s="85"/>
      <c r="BL35" s="85"/>
      <c r="BM35" s="85"/>
      <c r="BN35" s="85"/>
      <c r="BO35" s="85"/>
      <c r="BP35" s="85"/>
      <c r="BQ35" s="85"/>
      <c r="BR35" s="85"/>
      <c r="BS35" s="85"/>
      <c r="BT35" s="85"/>
      <c r="BU35" s="85"/>
      <c r="BV35" s="85"/>
      <c r="BW35" s="85"/>
      <c r="BX35" s="85"/>
      <c r="BY35" s="85"/>
      <c r="BZ35" s="85"/>
      <c r="CA35" s="85"/>
      <c r="CB35" s="85"/>
      <c r="CC35" s="85"/>
      <c r="CD35" s="85"/>
      <c r="CE35" s="85"/>
      <c r="CF35" s="85"/>
      <c r="CG35" s="85"/>
      <c r="CH35" s="85"/>
      <c r="CI35" s="85"/>
      <c r="CJ35" s="85"/>
      <c r="CK35" s="85"/>
      <c r="CL35" s="85"/>
    </row>
    <row r="36" spans="1:90" s="8" customFormat="1" ht="14.25" customHeight="1">
      <c r="A36" s="168" t="s">
        <v>30</v>
      </c>
      <c r="B36" s="168"/>
      <c r="C36" s="112">
        <v>36</v>
      </c>
      <c r="D36" s="86" t="s">
        <v>26</v>
      </c>
      <c r="E36" s="90"/>
      <c r="F36" s="111"/>
      <c r="G36" s="111"/>
      <c r="H36" s="85"/>
      <c r="I36" s="85"/>
      <c r="J36" s="85"/>
      <c r="K36" s="85"/>
      <c r="L36" s="85"/>
      <c r="M36" s="85"/>
      <c r="N36" s="85"/>
      <c r="O36" s="85"/>
      <c r="P36" s="29" t="s">
        <v>52</v>
      </c>
      <c r="Q36" s="103">
        <f>M16/(M33*M15)</f>
        <v>2.0454156982753742</v>
      </c>
      <c r="R36" s="85"/>
      <c r="S36" s="102" t="s">
        <v>76</v>
      </c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  <c r="BW36" s="85"/>
      <c r="BX36" s="85"/>
      <c r="BY36" s="85"/>
      <c r="BZ36" s="85"/>
      <c r="CA36" s="85"/>
      <c r="CB36" s="85"/>
      <c r="CC36" s="85"/>
      <c r="CD36" s="85"/>
      <c r="CE36" s="85"/>
      <c r="CF36" s="85"/>
      <c r="CG36" s="85"/>
      <c r="CH36" s="85"/>
      <c r="CI36" s="85"/>
      <c r="CJ36" s="85"/>
      <c r="CK36" s="85"/>
      <c r="CL36" s="85"/>
    </row>
    <row r="37" spans="1:90" s="8" customFormat="1" ht="14.25" customHeight="1">
      <c r="A37" s="168"/>
      <c r="B37" s="168"/>
      <c r="C37" s="115"/>
      <c r="D37" s="87"/>
      <c r="E37" s="90"/>
      <c r="F37" s="111"/>
      <c r="G37" s="111"/>
      <c r="H37" s="85"/>
      <c r="I37" s="85"/>
      <c r="J37" s="85"/>
      <c r="K37" s="85"/>
      <c r="L37" s="85"/>
      <c r="M37" s="85"/>
      <c r="N37" s="85"/>
      <c r="O37" s="85"/>
      <c r="P37" s="29" t="s">
        <v>53</v>
      </c>
      <c r="Q37" s="103">
        <f>1-Q36</f>
        <v>-1.0454156982753742</v>
      </c>
      <c r="R37" s="85"/>
      <c r="S37" s="85"/>
      <c r="T37" s="85"/>
      <c r="U37" s="29" t="s">
        <v>164</v>
      </c>
      <c r="V37" s="85">
        <v>0.42299999999999999</v>
      </c>
      <c r="W37" s="85" t="s">
        <v>133</v>
      </c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85"/>
      <c r="BK37" s="85"/>
      <c r="BL37" s="85"/>
      <c r="BM37" s="85"/>
      <c r="BN37" s="85"/>
      <c r="BO37" s="85"/>
      <c r="BP37" s="85"/>
      <c r="BQ37" s="85"/>
      <c r="BR37" s="85"/>
      <c r="BS37" s="85"/>
      <c r="BT37" s="85"/>
      <c r="BU37" s="85"/>
      <c r="BV37" s="85"/>
      <c r="BW37" s="85"/>
      <c r="BX37" s="85"/>
      <c r="BY37" s="85"/>
      <c r="BZ37" s="85"/>
      <c r="CA37" s="85"/>
      <c r="CB37" s="85"/>
      <c r="CC37" s="85"/>
      <c r="CD37" s="85"/>
      <c r="CE37" s="85"/>
      <c r="CF37" s="85"/>
      <c r="CG37" s="85"/>
      <c r="CH37" s="85"/>
      <c r="CI37" s="85"/>
      <c r="CJ37" s="85"/>
      <c r="CK37" s="85"/>
      <c r="CL37" s="85"/>
    </row>
    <row r="38" spans="1:90" s="8" customFormat="1" ht="14.25" customHeight="1">
      <c r="A38" s="170" t="s">
        <v>33</v>
      </c>
      <c r="B38" s="170"/>
      <c r="C38" s="115"/>
      <c r="D38" s="87"/>
      <c r="E38" s="90"/>
      <c r="F38" s="111"/>
      <c r="G38" s="111"/>
      <c r="H38" s="85"/>
      <c r="I38" s="85"/>
      <c r="J38" s="85"/>
      <c r="K38" s="85"/>
      <c r="L38" s="85" t="s">
        <v>173</v>
      </c>
      <c r="M38" s="103">
        <f>M40</f>
        <v>-0.55694841549755125</v>
      </c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  <c r="BI38" s="85"/>
      <c r="BJ38" s="85"/>
      <c r="BK38" s="85"/>
      <c r="BL38" s="85"/>
      <c r="BM38" s="85"/>
      <c r="BN38" s="85"/>
      <c r="BO38" s="85"/>
      <c r="BP38" s="85"/>
      <c r="BQ38" s="85"/>
      <c r="BR38" s="85"/>
      <c r="BS38" s="85"/>
      <c r="BT38" s="85"/>
      <c r="BU38" s="85"/>
      <c r="BV38" s="85"/>
      <c r="BW38" s="85"/>
      <c r="BX38" s="85"/>
      <c r="BY38" s="85"/>
      <c r="BZ38" s="85"/>
      <c r="CA38" s="85"/>
      <c r="CB38" s="85"/>
      <c r="CC38" s="85"/>
      <c r="CD38" s="85"/>
      <c r="CE38" s="85"/>
      <c r="CF38" s="85"/>
      <c r="CG38" s="85"/>
      <c r="CH38" s="85"/>
      <c r="CI38" s="85"/>
      <c r="CJ38" s="85"/>
      <c r="CK38" s="85"/>
      <c r="CL38" s="85"/>
    </row>
    <row r="39" spans="1:90" s="8" customFormat="1" ht="14.25" customHeight="1">
      <c r="A39" s="170"/>
      <c r="B39" s="170"/>
      <c r="C39" s="112">
        <v>0</v>
      </c>
      <c r="D39" s="85" t="s">
        <v>10</v>
      </c>
      <c r="E39" s="85"/>
      <c r="F39" s="105"/>
      <c r="G39" s="105"/>
      <c r="H39" s="105"/>
      <c r="I39" s="105"/>
      <c r="J39" s="85"/>
      <c r="K39" s="85"/>
      <c r="L39" s="85"/>
      <c r="M39" s="103"/>
      <c r="N39" s="85"/>
      <c r="O39" s="85"/>
      <c r="P39" s="85"/>
      <c r="Q39" s="85"/>
      <c r="R39" s="85"/>
      <c r="S39" s="85" t="s">
        <v>151</v>
      </c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5"/>
      <c r="BD39" s="85"/>
      <c r="BE39" s="85"/>
      <c r="BF39" s="85"/>
      <c r="BG39" s="85"/>
      <c r="BH39" s="85"/>
      <c r="BI39" s="85"/>
      <c r="BJ39" s="85"/>
      <c r="BK39" s="85"/>
      <c r="BL39" s="85"/>
      <c r="BM39" s="85"/>
      <c r="BN39" s="85"/>
      <c r="BO39" s="85"/>
      <c r="BP39" s="85"/>
      <c r="BQ39" s="85"/>
      <c r="BR39" s="85"/>
      <c r="BS39" s="85"/>
      <c r="BT39" s="85"/>
      <c r="BU39" s="85"/>
      <c r="BV39" s="85"/>
      <c r="BW39" s="85"/>
      <c r="BX39" s="85"/>
      <c r="BY39" s="85"/>
      <c r="BZ39" s="85"/>
      <c r="CA39" s="85"/>
      <c r="CB39" s="85"/>
      <c r="CC39" s="85"/>
      <c r="CD39" s="85"/>
      <c r="CE39" s="85"/>
      <c r="CF39" s="85"/>
      <c r="CG39" s="85"/>
      <c r="CH39" s="85"/>
      <c r="CI39" s="85"/>
      <c r="CJ39" s="85"/>
      <c r="CK39" s="85"/>
      <c r="CL39" s="85"/>
    </row>
    <row r="40" spans="1:90" s="8" customFormat="1" ht="14.25" customHeight="1">
      <c r="A40" s="168" t="s">
        <v>128</v>
      </c>
      <c r="B40" s="168"/>
      <c r="C40" s="120">
        <f>C39*0.15/12</f>
        <v>0</v>
      </c>
      <c r="D40" s="85" t="s">
        <v>165</v>
      </c>
      <c r="E40" s="85"/>
      <c r="F40" s="105"/>
      <c r="G40" s="105"/>
      <c r="H40" s="105"/>
      <c r="I40" s="105"/>
      <c r="J40" s="85"/>
      <c r="K40" s="85"/>
      <c r="L40" s="29" t="s">
        <v>54</v>
      </c>
      <c r="M40" s="103">
        <f>(1/6+Q35*Q36*Q37)/(1/2+Q35*Q37)</f>
        <v>-0.55694841549755125</v>
      </c>
      <c r="N40" s="85"/>
      <c r="O40" s="85"/>
      <c r="P40" s="85"/>
      <c r="Q40" s="85"/>
      <c r="R40" s="85"/>
      <c r="S40" s="85"/>
      <c r="U40" s="51" t="s">
        <v>181</v>
      </c>
      <c r="V40" s="111">
        <f>(V15-V22)/V37</f>
        <v>6.37125817097004</v>
      </c>
      <c r="W40" s="88">
        <v>4</v>
      </c>
      <c r="X40" s="131">
        <f>V40*W40</f>
        <v>25.48503268388016</v>
      </c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 s="85"/>
      <c r="BK40" s="85"/>
      <c r="BL40" s="85"/>
      <c r="BM40" s="85"/>
      <c r="BN40" s="85"/>
      <c r="BO40" s="85"/>
      <c r="BP40" s="85"/>
      <c r="BQ40" s="85"/>
      <c r="BR40" s="85"/>
      <c r="BS40" s="85"/>
      <c r="BT40" s="85"/>
      <c r="BU40" s="85"/>
      <c r="BV40" s="85"/>
      <c r="BW40" s="85"/>
      <c r="BX40" s="85"/>
      <c r="BY40" s="85"/>
      <c r="BZ40" s="85"/>
      <c r="CA40" s="85"/>
      <c r="CB40" s="85"/>
      <c r="CC40" s="85"/>
      <c r="CD40" s="85"/>
      <c r="CE40" s="85"/>
      <c r="CF40" s="85"/>
      <c r="CG40" s="85"/>
      <c r="CH40" s="85"/>
      <c r="CI40" s="85"/>
      <c r="CJ40" s="85"/>
      <c r="CK40" s="85"/>
      <c r="CL40" s="85"/>
    </row>
    <row r="41" spans="1:90" s="8" customFormat="1" ht="14.25" customHeight="1">
      <c r="A41" s="168" t="s">
        <v>127</v>
      </c>
      <c r="B41" s="168"/>
      <c r="C41" s="120">
        <f>C20*G41/12+0.005</f>
        <v>0.08</v>
      </c>
      <c r="D41" s="85" t="s">
        <v>165</v>
      </c>
      <c r="E41" s="85"/>
      <c r="F41" s="105" t="s">
        <v>34</v>
      </c>
      <c r="G41" s="105">
        <v>0.15</v>
      </c>
      <c r="H41" s="105" t="s">
        <v>168</v>
      </c>
      <c r="I41" s="105"/>
      <c r="J41" s="85"/>
      <c r="K41" s="85"/>
      <c r="L41" s="85"/>
      <c r="M41" s="103"/>
      <c r="N41" s="85"/>
      <c r="O41" s="85"/>
      <c r="P41" s="85"/>
      <c r="Q41" s="85"/>
      <c r="R41" s="85"/>
      <c r="S41" s="85"/>
      <c r="T41" s="85"/>
      <c r="U41" s="85"/>
      <c r="V41" s="111"/>
      <c r="W41" s="85"/>
      <c r="X41" s="131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5"/>
      <c r="BG41" s="85"/>
      <c r="BH41" s="85"/>
      <c r="BI41" s="85"/>
      <c r="BJ41" s="85"/>
      <c r="BK41" s="85"/>
      <c r="BL41" s="85"/>
      <c r="BM41" s="85"/>
      <c r="BN41" s="85"/>
      <c r="BO41" s="85"/>
      <c r="BP41" s="85"/>
      <c r="BQ41" s="85"/>
      <c r="BR41" s="85"/>
      <c r="BS41" s="85"/>
      <c r="BT41" s="85"/>
      <c r="BU41" s="85"/>
      <c r="BV41" s="85"/>
      <c r="BW41" s="85"/>
      <c r="BX41" s="85"/>
      <c r="BY41" s="85"/>
      <c r="BZ41" s="85"/>
      <c r="CA41" s="85"/>
      <c r="CB41" s="85"/>
      <c r="CC41" s="85"/>
      <c r="CD41" s="85"/>
      <c r="CE41" s="85"/>
      <c r="CF41" s="85"/>
      <c r="CG41" s="85"/>
      <c r="CH41" s="85"/>
      <c r="CI41" s="85"/>
      <c r="CJ41" s="85"/>
      <c r="CK41" s="85"/>
      <c r="CL41" s="85"/>
    </row>
    <row r="42" spans="1:90" s="8" customFormat="1" ht="14.25" customHeight="1">
      <c r="A42" s="85"/>
      <c r="B42" s="85" t="s">
        <v>169</v>
      </c>
      <c r="C42" s="85"/>
      <c r="D42" s="85"/>
      <c r="E42" s="85"/>
      <c r="F42" s="85"/>
      <c r="G42" s="85"/>
      <c r="H42" s="85"/>
      <c r="I42" s="85"/>
      <c r="J42" s="85"/>
      <c r="K42" s="85"/>
      <c r="L42" s="29" t="s">
        <v>55</v>
      </c>
      <c r="M42" s="103">
        <f>1-M40*M33</f>
        <v>1.144154092367295</v>
      </c>
      <c r="N42" s="85"/>
      <c r="O42" s="85" t="s">
        <v>56</v>
      </c>
      <c r="P42" s="85"/>
      <c r="Q42" s="85"/>
      <c r="R42" s="85"/>
      <c r="S42" s="85"/>
      <c r="U42" s="51" t="s">
        <v>182</v>
      </c>
      <c r="V42" s="111">
        <f>(V15-W33*V22)/(X33*V37)</f>
        <v>4.8086066890334482</v>
      </c>
      <c r="W42" s="88">
        <v>4</v>
      </c>
      <c r="X42" s="132">
        <f>V42*W42</f>
        <v>19.234426756133793</v>
      </c>
      <c r="Y42" s="167">
        <f>X42*0.9</f>
        <v>17.310984080520413</v>
      </c>
      <c r="Z42" s="167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  <c r="CH42" s="85"/>
      <c r="CI42" s="85"/>
      <c r="CJ42" s="85"/>
      <c r="CK42" s="85"/>
      <c r="CL42" s="85"/>
    </row>
    <row r="43" spans="1:90" s="8" customFormat="1">
      <c r="A43" s="85"/>
      <c r="B43" s="85"/>
      <c r="C43" s="85"/>
      <c r="D43" s="85"/>
      <c r="E43" s="85"/>
      <c r="F43" s="85"/>
      <c r="G43" s="85"/>
      <c r="H43" s="85"/>
      <c r="I43" s="85"/>
      <c r="J43" s="85"/>
      <c r="K43" s="103"/>
      <c r="L43" s="85"/>
      <c r="M43" s="85"/>
      <c r="N43" s="85"/>
      <c r="O43" s="85"/>
      <c r="P43" s="85"/>
      <c r="Q43" s="85"/>
      <c r="R43" s="112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  <c r="BI43" s="85"/>
      <c r="BJ43" s="85"/>
      <c r="BK43" s="85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  <c r="CH43" s="85"/>
      <c r="CI43" s="85"/>
      <c r="CJ43" s="85"/>
      <c r="CK43" s="85"/>
      <c r="CL43" s="85"/>
    </row>
    <row r="44" spans="1:90" s="8" customFormat="1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103"/>
      <c r="L44" s="85"/>
      <c r="M44" s="85"/>
      <c r="N44" s="85"/>
      <c r="O44" s="85"/>
      <c r="P44" s="85"/>
      <c r="Q44" s="85"/>
      <c r="R44" s="112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85"/>
      <c r="BG44" s="85"/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D44" s="85"/>
      <c r="CE44" s="85"/>
      <c r="CF44" s="85"/>
      <c r="CG44" s="85"/>
      <c r="CH44" s="85"/>
      <c r="CI44" s="85"/>
      <c r="CJ44" s="85"/>
      <c r="CK44" s="85"/>
      <c r="CL44" s="85"/>
    </row>
    <row r="45" spans="1:90" s="8" customFormat="1">
      <c r="A45" s="172" t="s">
        <v>125</v>
      </c>
      <c r="B45" s="172"/>
      <c r="C45" s="172"/>
      <c r="D45" s="172"/>
      <c r="E45" s="172"/>
      <c r="F45" s="172"/>
      <c r="G45" s="172"/>
      <c r="H45" s="172"/>
      <c r="I45" s="172"/>
      <c r="J45" s="85"/>
      <c r="K45" s="85"/>
      <c r="L45" s="85"/>
      <c r="M45" s="85"/>
      <c r="N45" s="85"/>
      <c r="O45" s="85"/>
      <c r="P45" s="85"/>
      <c r="Q45" s="85"/>
      <c r="R45" s="85"/>
      <c r="S45" s="172" t="s">
        <v>126</v>
      </c>
      <c r="T45" s="172"/>
      <c r="U45" s="172"/>
      <c r="V45" s="172"/>
      <c r="W45" s="172"/>
      <c r="X45" s="172"/>
      <c r="Y45" s="172"/>
      <c r="Z45" s="172"/>
      <c r="AA45" s="172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85"/>
      <c r="BG45" s="85"/>
      <c r="BH45" s="85"/>
      <c r="BI45" s="85"/>
      <c r="BJ45" s="85"/>
      <c r="BK45" s="85"/>
      <c r="BL45" s="85"/>
      <c r="BM45" s="85"/>
      <c r="BN45" s="85"/>
      <c r="BO45" s="85"/>
      <c r="BP45" s="85"/>
      <c r="BQ45" s="85"/>
      <c r="BR45" s="85"/>
      <c r="BS45" s="85"/>
      <c r="BT45" s="85"/>
      <c r="BU45" s="85"/>
      <c r="BV45" s="85"/>
      <c r="BW45" s="85"/>
      <c r="BX45" s="85"/>
      <c r="BY45" s="85"/>
      <c r="BZ45" s="85"/>
      <c r="CA45" s="85"/>
      <c r="CB45" s="85"/>
      <c r="CC45" s="85"/>
      <c r="CD45" s="85"/>
      <c r="CE45" s="85"/>
      <c r="CF45" s="85"/>
      <c r="CG45" s="85"/>
      <c r="CH45" s="85"/>
      <c r="CI45" s="85"/>
      <c r="CJ45" s="85"/>
      <c r="CK45" s="85"/>
      <c r="CL45" s="85"/>
    </row>
    <row r="46" spans="1:90" s="8" customFormat="1">
      <c r="A46" s="172"/>
      <c r="B46" s="172"/>
      <c r="C46" s="172"/>
      <c r="D46" s="172"/>
      <c r="E46" s="172"/>
      <c r="F46" s="172"/>
      <c r="G46" s="172"/>
      <c r="H46" s="172"/>
      <c r="I46" s="172"/>
      <c r="J46" s="85"/>
      <c r="K46" s="85"/>
      <c r="L46" s="85"/>
      <c r="M46" s="85"/>
      <c r="N46" s="85"/>
      <c r="O46" s="85"/>
      <c r="P46" s="85"/>
      <c r="Q46" s="85"/>
      <c r="R46" s="85"/>
      <c r="S46" s="172"/>
      <c r="T46" s="172"/>
      <c r="U46" s="172"/>
      <c r="V46" s="172"/>
      <c r="W46" s="172"/>
      <c r="X46" s="172"/>
      <c r="Y46" s="172"/>
      <c r="Z46" s="172"/>
      <c r="AA46" s="172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85"/>
      <c r="BG46" s="85"/>
      <c r="BH46" s="85"/>
      <c r="BI46" s="85"/>
      <c r="BJ46" s="85"/>
      <c r="BK46" s="85"/>
      <c r="BL46" s="85"/>
      <c r="BM46" s="85"/>
      <c r="BN46" s="85"/>
      <c r="BO46" s="85"/>
      <c r="BP46" s="85"/>
      <c r="BQ46" s="85"/>
      <c r="BR46" s="85"/>
      <c r="BS46" s="85"/>
      <c r="BT46" s="85"/>
      <c r="BU46" s="85"/>
      <c r="BV46" s="85"/>
      <c r="BW46" s="85"/>
      <c r="BX46" s="85"/>
      <c r="BY46" s="85"/>
      <c r="BZ46" s="85"/>
      <c r="CA46" s="85"/>
      <c r="CB46" s="85"/>
      <c r="CC46" s="85"/>
      <c r="CD46" s="85"/>
      <c r="CE46" s="85"/>
      <c r="CF46" s="85"/>
      <c r="CG46" s="85"/>
      <c r="CH46" s="85"/>
      <c r="CI46" s="85"/>
      <c r="CJ46" s="85"/>
      <c r="CK46" s="85"/>
      <c r="CL46" s="85"/>
    </row>
    <row r="47" spans="1:90" s="8" customFormat="1" ht="14.25" customHeight="1">
      <c r="A47" s="172"/>
      <c r="B47" s="172"/>
      <c r="C47" s="172"/>
      <c r="D47" s="172"/>
      <c r="E47" s="172"/>
      <c r="F47" s="172"/>
      <c r="G47" s="172"/>
      <c r="H47" s="172"/>
      <c r="I47" s="172"/>
      <c r="J47" s="85"/>
      <c r="K47" s="85"/>
      <c r="L47" s="85"/>
      <c r="M47" s="85"/>
      <c r="N47" s="85"/>
      <c r="O47" s="85"/>
      <c r="P47" s="85"/>
      <c r="Q47" s="85"/>
      <c r="R47" s="112"/>
      <c r="S47" s="172"/>
      <c r="T47" s="172"/>
      <c r="U47" s="172"/>
      <c r="V47" s="172"/>
      <c r="W47" s="172"/>
      <c r="X47" s="172"/>
      <c r="Y47" s="172"/>
      <c r="Z47" s="172"/>
      <c r="AA47" s="172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85"/>
      <c r="BG47" s="85"/>
      <c r="BH47" s="85"/>
      <c r="BI47" s="85"/>
      <c r="BJ47" s="85"/>
      <c r="BK47" s="85"/>
      <c r="BL47" s="85"/>
      <c r="BM47" s="85"/>
      <c r="BN47" s="85"/>
      <c r="BO47" s="85"/>
      <c r="BP47" s="85"/>
      <c r="BQ47" s="85"/>
      <c r="BR47" s="85"/>
      <c r="BS47" s="85"/>
      <c r="BT47" s="85"/>
      <c r="BU47" s="85"/>
      <c r="BV47" s="85"/>
      <c r="BW47" s="85"/>
      <c r="BX47" s="85"/>
      <c r="BY47" s="85"/>
      <c r="BZ47" s="85"/>
      <c r="CA47" s="85"/>
      <c r="CB47" s="85"/>
      <c r="CC47" s="85"/>
      <c r="CD47" s="85"/>
      <c r="CE47" s="85"/>
      <c r="CF47" s="85"/>
      <c r="CG47" s="85"/>
      <c r="CH47" s="85"/>
      <c r="CI47" s="85"/>
      <c r="CJ47" s="85"/>
      <c r="CK47" s="85"/>
      <c r="CL47" s="85"/>
    </row>
    <row r="48" spans="1:90" s="8" customFormat="1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5"/>
      <c r="BF48" s="85"/>
      <c r="BG48" s="85"/>
      <c r="BH48" s="85"/>
      <c r="BI48" s="85"/>
      <c r="BJ48" s="85"/>
      <c r="BK48" s="85"/>
      <c r="BL48" s="85"/>
      <c r="BM48" s="85"/>
      <c r="BN48" s="85"/>
      <c r="BO48" s="85"/>
      <c r="BP48" s="85"/>
      <c r="BQ48" s="85"/>
      <c r="BR48" s="85"/>
      <c r="BS48" s="85"/>
      <c r="BT48" s="85"/>
      <c r="BU48" s="85"/>
      <c r="BV48" s="85"/>
      <c r="BW48" s="85"/>
      <c r="BX48" s="85"/>
      <c r="BY48" s="85"/>
      <c r="BZ48" s="85"/>
      <c r="CA48" s="85"/>
      <c r="CB48" s="85"/>
      <c r="CC48" s="85"/>
      <c r="CD48" s="85"/>
      <c r="CE48" s="85"/>
      <c r="CF48" s="85"/>
      <c r="CG48" s="85"/>
      <c r="CH48" s="85"/>
      <c r="CI48" s="85"/>
      <c r="CJ48" s="85"/>
      <c r="CK48" s="85"/>
      <c r="CL48" s="85"/>
    </row>
    <row r="49" spans="1:90" s="8" customFormat="1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  <c r="BB49" s="85"/>
      <c r="BC49" s="85"/>
      <c r="BD49" s="85"/>
      <c r="BE49" s="85"/>
      <c r="BF49" s="85"/>
      <c r="BG49" s="85"/>
      <c r="BH49" s="85"/>
      <c r="BI49" s="85"/>
      <c r="BJ49" s="85"/>
      <c r="BK49" s="85"/>
      <c r="BL49" s="85"/>
      <c r="BM49" s="85"/>
      <c r="BN49" s="85"/>
      <c r="BO49" s="85"/>
      <c r="BP49" s="85"/>
      <c r="BQ49" s="85"/>
      <c r="BR49" s="85"/>
      <c r="BS49" s="85"/>
      <c r="BT49" s="85"/>
      <c r="BU49" s="85"/>
      <c r="BV49" s="85"/>
      <c r="BW49" s="85"/>
      <c r="BX49" s="85"/>
      <c r="BY49" s="85"/>
      <c r="BZ49" s="85"/>
      <c r="CA49" s="85"/>
      <c r="CB49" s="85"/>
      <c r="CC49" s="85"/>
      <c r="CD49" s="85"/>
      <c r="CE49" s="85"/>
      <c r="CF49" s="85"/>
      <c r="CG49" s="85"/>
      <c r="CH49" s="85"/>
      <c r="CI49" s="85"/>
      <c r="CJ49" s="85"/>
      <c r="CK49" s="85"/>
      <c r="CL49" s="85"/>
    </row>
    <row r="50" spans="1:90" s="8" customFormat="1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85"/>
      <c r="BG50" s="85"/>
      <c r="BH50" s="85"/>
      <c r="BI50" s="85"/>
      <c r="BJ50" s="85"/>
      <c r="BK50" s="85"/>
      <c r="BL50" s="85"/>
      <c r="BM50" s="85"/>
      <c r="BN50" s="85"/>
      <c r="BO50" s="85"/>
      <c r="BP50" s="85"/>
      <c r="BQ50" s="85"/>
      <c r="BR50" s="85"/>
      <c r="BS50" s="85"/>
      <c r="BT50" s="85"/>
      <c r="BU50" s="85"/>
      <c r="BV50" s="85"/>
      <c r="BW50" s="85"/>
      <c r="BX50" s="85"/>
      <c r="BY50" s="85"/>
      <c r="BZ50" s="85"/>
      <c r="CA50" s="85"/>
      <c r="CB50" s="85"/>
      <c r="CC50" s="85"/>
      <c r="CD50" s="85"/>
      <c r="CE50" s="85"/>
      <c r="CF50" s="85"/>
      <c r="CG50" s="85"/>
      <c r="CH50" s="85"/>
      <c r="CI50" s="85"/>
      <c r="CJ50" s="85"/>
      <c r="CK50" s="85"/>
      <c r="CL50" s="85"/>
    </row>
    <row r="51" spans="1:90" s="8" customFormat="1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85"/>
      <c r="BG51" s="85"/>
      <c r="BH51" s="85"/>
      <c r="BI51" s="85"/>
      <c r="BJ51" s="85"/>
      <c r="BK51" s="85"/>
      <c r="BL51" s="85"/>
      <c r="BM51" s="85"/>
      <c r="BN51" s="85"/>
      <c r="BO51" s="85"/>
      <c r="BP51" s="85"/>
      <c r="BQ51" s="85"/>
      <c r="BR51" s="85"/>
      <c r="BS51" s="85"/>
      <c r="BT51" s="85"/>
      <c r="BU51" s="85"/>
      <c r="BV51" s="85"/>
      <c r="BW51" s="85"/>
      <c r="BX51" s="85"/>
      <c r="BY51" s="85"/>
      <c r="BZ51" s="85"/>
      <c r="CA51" s="85"/>
      <c r="CB51" s="85"/>
      <c r="CC51" s="85"/>
      <c r="CD51" s="85"/>
      <c r="CE51" s="85"/>
      <c r="CF51" s="85"/>
      <c r="CG51" s="85"/>
      <c r="CH51" s="85"/>
      <c r="CI51" s="85"/>
      <c r="CJ51" s="85"/>
      <c r="CK51" s="85"/>
      <c r="CL51" s="85"/>
    </row>
    <row r="52" spans="1:90" s="8" customFormat="1" ht="14.25" customHeight="1">
      <c r="A52" s="85"/>
      <c r="B52" s="85"/>
      <c r="C52" s="85"/>
      <c r="D52" s="85"/>
      <c r="E52" s="85"/>
      <c r="F52" s="85"/>
      <c r="G52" s="85"/>
      <c r="H52" s="85"/>
      <c r="I52" s="85"/>
      <c r="J52" s="63"/>
      <c r="K52" s="64"/>
      <c r="L52" s="85"/>
      <c r="M52" s="85"/>
      <c r="N52" s="85"/>
      <c r="O52" s="85"/>
      <c r="P52" s="85"/>
      <c r="Q52" s="85"/>
      <c r="R52" s="85"/>
      <c r="S52" s="121"/>
      <c r="T52" s="122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85"/>
      <c r="BG52" s="85"/>
      <c r="BH52" s="85"/>
      <c r="BI52" s="85"/>
      <c r="BJ52" s="85"/>
      <c r="BK52" s="85"/>
      <c r="BL52" s="85"/>
      <c r="BM52" s="85"/>
      <c r="BN52" s="85"/>
      <c r="BO52" s="85"/>
      <c r="BP52" s="85"/>
      <c r="BQ52" s="85"/>
      <c r="BR52" s="85"/>
      <c r="BS52" s="85"/>
      <c r="BT52" s="85"/>
      <c r="BU52" s="85"/>
      <c r="BV52" s="85"/>
      <c r="BW52" s="85"/>
      <c r="BX52" s="85"/>
      <c r="BY52" s="85"/>
      <c r="BZ52" s="85"/>
      <c r="CA52" s="85"/>
      <c r="CB52" s="85"/>
      <c r="CC52" s="85"/>
      <c r="CD52" s="85"/>
      <c r="CE52" s="85"/>
      <c r="CF52" s="85"/>
      <c r="CG52" s="85"/>
      <c r="CH52" s="85"/>
      <c r="CI52" s="85"/>
      <c r="CJ52" s="85"/>
      <c r="CK52" s="85"/>
      <c r="CL52" s="85"/>
    </row>
    <row r="53" spans="1:90" s="8" customFormat="1">
      <c r="A53" s="85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85"/>
      <c r="BG53" s="85"/>
      <c r="BH53" s="85"/>
      <c r="BI53" s="85"/>
      <c r="BJ53" s="85"/>
      <c r="BK53" s="85"/>
      <c r="BL53" s="85"/>
      <c r="BM53" s="85"/>
      <c r="BN53" s="85"/>
      <c r="BO53" s="85"/>
      <c r="BP53" s="85"/>
      <c r="BQ53" s="85"/>
      <c r="BR53" s="85"/>
      <c r="BS53" s="85"/>
      <c r="BT53" s="85"/>
      <c r="BU53" s="85"/>
      <c r="BV53" s="85"/>
      <c r="BW53" s="85"/>
      <c r="BX53" s="85"/>
      <c r="BY53" s="85"/>
      <c r="BZ53" s="85"/>
      <c r="CA53" s="85"/>
      <c r="CB53" s="85"/>
      <c r="CC53" s="85"/>
      <c r="CD53" s="85"/>
      <c r="CE53" s="85"/>
      <c r="CF53" s="85"/>
      <c r="CG53" s="85"/>
      <c r="CH53" s="85"/>
      <c r="CI53" s="85"/>
      <c r="CJ53" s="85"/>
      <c r="CK53" s="85"/>
      <c r="CL53" s="85"/>
    </row>
    <row r="54" spans="1:90" s="8" customFormat="1">
      <c r="A54" s="85"/>
      <c r="B54" s="85"/>
      <c r="C54" s="85"/>
      <c r="D54" s="85"/>
      <c r="E54" s="85"/>
      <c r="F54" s="85"/>
      <c r="G54" s="85"/>
      <c r="H54" s="85"/>
      <c r="I54" s="85"/>
      <c r="J54" s="123"/>
      <c r="K54" s="124"/>
      <c r="L54" s="29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29"/>
      <c r="AB54" s="85"/>
      <c r="AC54" s="85"/>
      <c r="AD54" s="85"/>
      <c r="AE54" s="85"/>
      <c r="AF54" s="85"/>
      <c r="AG54" s="85"/>
      <c r="AH54" s="85"/>
      <c r="AI54" s="85"/>
      <c r="AJ54" s="85"/>
      <c r="AK54" s="85"/>
      <c r="AL54" s="85"/>
      <c r="AM54" s="85"/>
      <c r="AN54" s="85"/>
      <c r="AO54" s="85"/>
      <c r="AP54" s="85"/>
      <c r="AQ54" s="85"/>
      <c r="AR54" s="85"/>
      <c r="AS54" s="85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85"/>
      <c r="BG54" s="85"/>
      <c r="BH54" s="85"/>
      <c r="BI54" s="85"/>
      <c r="BJ54" s="85"/>
      <c r="BK54" s="85"/>
      <c r="BL54" s="85"/>
      <c r="BM54" s="85"/>
      <c r="BN54" s="85"/>
      <c r="BO54" s="85"/>
      <c r="BP54" s="85"/>
      <c r="BQ54" s="85"/>
      <c r="BR54" s="85"/>
      <c r="BS54" s="85"/>
      <c r="BT54" s="85"/>
      <c r="BU54" s="85"/>
      <c r="BV54" s="85"/>
      <c r="BW54" s="85"/>
      <c r="BX54" s="85"/>
      <c r="BY54" s="85"/>
      <c r="BZ54" s="85"/>
      <c r="CA54" s="85"/>
      <c r="CB54" s="85"/>
      <c r="CC54" s="85"/>
      <c r="CD54" s="85"/>
      <c r="CE54" s="85"/>
      <c r="CF54" s="85"/>
      <c r="CG54" s="85"/>
      <c r="CH54" s="85"/>
      <c r="CI54" s="85"/>
      <c r="CJ54" s="85"/>
      <c r="CK54" s="85"/>
      <c r="CL54" s="85"/>
    </row>
    <row r="55" spans="1:90" s="8" customFormat="1">
      <c r="A55" s="85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85"/>
      <c r="BG55" s="85"/>
      <c r="BH55" s="85"/>
      <c r="BI55" s="85"/>
      <c r="BJ55" s="85"/>
      <c r="BK55" s="85"/>
      <c r="BL55" s="85"/>
      <c r="BM55" s="85"/>
      <c r="BN55" s="85"/>
      <c r="BO55" s="85"/>
      <c r="BP55" s="85"/>
      <c r="BQ55" s="85"/>
      <c r="BR55" s="85"/>
      <c r="BS55" s="85"/>
      <c r="BT55" s="85"/>
      <c r="BU55" s="85"/>
      <c r="BV55" s="85"/>
      <c r="BW55" s="85"/>
      <c r="BX55" s="85"/>
      <c r="BY55" s="85"/>
      <c r="BZ55" s="85"/>
      <c r="CA55" s="85"/>
      <c r="CB55" s="85"/>
      <c r="CC55" s="85"/>
      <c r="CD55" s="85"/>
      <c r="CE55" s="85"/>
      <c r="CF55" s="85"/>
      <c r="CG55" s="85"/>
      <c r="CH55" s="85"/>
      <c r="CI55" s="85"/>
      <c r="CJ55" s="85"/>
      <c r="CK55" s="85"/>
      <c r="CL55" s="85"/>
    </row>
    <row r="56" spans="1:90" s="8" customFormat="1">
      <c r="A56" s="85"/>
      <c r="B56" s="85"/>
      <c r="C56" s="85"/>
      <c r="D56" s="85"/>
      <c r="E56" s="85"/>
      <c r="F56" s="85"/>
      <c r="G56" s="85"/>
      <c r="H56" s="85"/>
      <c r="I56" s="85"/>
      <c r="J56" s="170"/>
      <c r="K56" s="170"/>
      <c r="L56" s="173"/>
      <c r="M56" s="169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85"/>
      <c r="AI56" s="85"/>
      <c r="AJ56" s="85"/>
      <c r="AK56" s="85"/>
      <c r="AL56" s="85"/>
      <c r="AM56" s="85"/>
      <c r="AN56" s="85"/>
      <c r="AO56" s="85"/>
      <c r="AP56" s="85"/>
      <c r="AQ56" s="85"/>
      <c r="AR56" s="85"/>
      <c r="AS56" s="85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85"/>
      <c r="BG56" s="85"/>
      <c r="BH56" s="85"/>
      <c r="BI56" s="85"/>
      <c r="BJ56" s="85"/>
      <c r="BK56" s="85"/>
      <c r="BL56" s="85"/>
      <c r="BM56" s="85"/>
      <c r="BN56" s="85"/>
      <c r="BO56" s="85"/>
      <c r="BP56" s="85"/>
      <c r="BQ56" s="85"/>
      <c r="BR56" s="85"/>
      <c r="BS56" s="85"/>
      <c r="BT56" s="85"/>
      <c r="BU56" s="85"/>
      <c r="BV56" s="85"/>
      <c r="BW56" s="85"/>
      <c r="BX56" s="85"/>
      <c r="BY56" s="85"/>
      <c r="BZ56" s="85"/>
      <c r="CA56" s="85"/>
      <c r="CB56" s="85"/>
      <c r="CC56" s="85"/>
      <c r="CD56" s="85"/>
      <c r="CE56" s="85"/>
      <c r="CF56" s="85"/>
      <c r="CG56" s="85"/>
      <c r="CH56" s="85"/>
      <c r="CI56" s="85"/>
      <c r="CJ56" s="85"/>
      <c r="CK56" s="85"/>
      <c r="CL56" s="85"/>
    </row>
    <row r="57" spans="1:90" s="8" customFormat="1">
      <c r="A57" s="85"/>
      <c r="B57" s="85"/>
      <c r="C57" s="85"/>
      <c r="D57" s="85"/>
      <c r="E57" s="85"/>
      <c r="F57" s="85"/>
      <c r="G57" s="85"/>
      <c r="H57" s="85"/>
      <c r="I57" s="85"/>
      <c r="J57" s="170"/>
      <c r="K57" s="170"/>
      <c r="L57" s="173"/>
      <c r="M57" s="169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  <c r="BB57" s="85"/>
      <c r="BC57" s="85"/>
      <c r="BD57" s="85"/>
      <c r="BE57" s="85"/>
      <c r="BF57" s="85"/>
      <c r="BG57" s="85"/>
      <c r="BH57" s="85"/>
      <c r="BI57" s="85"/>
      <c r="BJ57" s="85"/>
      <c r="BK57" s="85"/>
      <c r="BL57" s="85"/>
      <c r="BM57" s="85"/>
      <c r="BN57" s="85"/>
      <c r="BO57" s="85"/>
      <c r="BP57" s="85"/>
      <c r="BQ57" s="85"/>
      <c r="BR57" s="85"/>
      <c r="BS57" s="85"/>
      <c r="BT57" s="85"/>
      <c r="BU57" s="85"/>
      <c r="BV57" s="85"/>
      <c r="BW57" s="85"/>
      <c r="BX57" s="85"/>
      <c r="BY57" s="85"/>
      <c r="BZ57" s="85"/>
      <c r="CA57" s="85"/>
      <c r="CB57" s="85"/>
      <c r="CC57" s="85"/>
      <c r="CD57" s="85"/>
      <c r="CE57" s="85"/>
      <c r="CF57" s="85"/>
      <c r="CG57" s="85"/>
      <c r="CH57" s="85"/>
      <c r="CI57" s="85"/>
      <c r="CJ57" s="85"/>
      <c r="CK57" s="85"/>
      <c r="CL57" s="85"/>
    </row>
    <row r="58" spans="1:90">
      <c r="A58" s="85"/>
      <c r="B58" s="104"/>
      <c r="C58" s="85"/>
      <c r="D58" s="85"/>
      <c r="E58" s="85"/>
      <c r="F58" s="85"/>
      <c r="G58" s="85"/>
      <c r="H58" s="85"/>
      <c r="I58" s="85"/>
      <c r="J58" s="85"/>
      <c r="K58" s="29"/>
      <c r="L58" s="85"/>
      <c r="M58" s="86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  <c r="AF58" s="85"/>
      <c r="AG58" s="85"/>
      <c r="AH58" s="85"/>
      <c r="AI58" s="85"/>
      <c r="AJ58" s="85"/>
      <c r="AK58" s="85"/>
      <c r="AL58" s="85"/>
      <c r="AM58" s="85"/>
      <c r="AN58" s="85"/>
      <c r="AO58" s="85"/>
      <c r="AP58" s="85"/>
      <c r="AQ58" s="85"/>
      <c r="AR58" s="85"/>
      <c r="AS58" s="85"/>
      <c r="AT58" s="85"/>
      <c r="AU58" s="85"/>
      <c r="AV58" s="85"/>
      <c r="AW58" s="85"/>
      <c r="AX58" s="85"/>
      <c r="AY58" s="85"/>
      <c r="AZ58" s="85"/>
      <c r="BA58" s="85"/>
      <c r="BB58" s="85"/>
      <c r="BC58" s="85"/>
      <c r="BD58" s="85"/>
      <c r="BE58" s="85"/>
      <c r="BF58" s="85"/>
      <c r="BG58" s="85"/>
      <c r="BH58" s="85"/>
      <c r="BI58" s="85"/>
      <c r="BJ58" s="85"/>
      <c r="BK58" s="85"/>
      <c r="BL58" s="85"/>
      <c r="BM58" s="85"/>
      <c r="BN58" s="85"/>
      <c r="BO58" s="85"/>
      <c r="BP58" s="85"/>
      <c r="BQ58" s="85"/>
      <c r="BR58" s="85"/>
      <c r="BS58" s="85"/>
      <c r="BT58" s="85"/>
      <c r="BU58" s="85"/>
      <c r="BV58" s="85"/>
      <c r="BW58" s="85"/>
      <c r="BX58" s="85"/>
      <c r="BY58" s="85"/>
      <c r="BZ58" s="85"/>
      <c r="CA58" s="85"/>
      <c r="CB58" s="85"/>
      <c r="CC58" s="85"/>
      <c r="CD58" s="85"/>
      <c r="CE58" s="85"/>
      <c r="CF58" s="85"/>
      <c r="CG58" s="85"/>
      <c r="CH58" s="85"/>
      <c r="CI58" s="85"/>
      <c r="CJ58" s="85"/>
      <c r="CK58" s="85"/>
      <c r="CL58" s="85"/>
    </row>
    <row r="59" spans="1:90">
      <c r="A59" s="85"/>
      <c r="B59" s="104"/>
      <c r="C59" s="85"/>
      <c r="D59" s="85"/>
      <c r="E59" s="85"/>
      <c r="F59" s="85"/>
      <c r="G59" s="85"/>
      <c r="H59" s="85"/>
      <c r="I59" s="85"/>
      <c r="J59" s="85"/>
      <c r="K59" s="29"/>
      <c r="L59" s="85"/>
      <c r="M59" s="86"/>
      <c r="N59" s="85"/>
      <c r="O59" s="85"/>
      <c r="P59" s="85"/>
      <c r="Q59" s="85"/>
      <c r="R59" s="85"/>
      <c r="S59" s="29"/>
      <c r="T59" s="29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85"/>
      <c r="AS59" s="85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85"/>
      <c r="BG59" s="85"/>
      <c r="BH59" s="85"/>
      <c r="BI59" s="85"/>
      <c r="BJ59" s="85"/>
      <c r="BK59" s="85"/>
      <c r="BL59" s="85"/>
      <c r="BM59" s="85"/>
      <c r="BN59" s="85"/>
      <c r="BO59" s="85"/>
      <c r="BP59" s="85"/>
      <c r="BQ59" s="85"/>
      <c r="BR59" s="85"/>
      <c r="BS59" s="85"/>
      <c r="BT59" s="85"/>
      <c r="BU59" s="85"/>
      <c r="BV59" s="85"/>
      <c r="BW59" s="85"/>
      <c r="BX59" s="85"/>
      <c r="BY59" s="85"/>
      <c r="BZ59" s="85"/>
      <c r="CA59" s="85"/>
      <c r="CB59" s="85"/>
      <c r="CC59" s="85"/>
      <c r="CD59" s="85"/>
      <c r="CE59" s="85"/>
      <c r="CF59" s="85"/>
      <c r="CG59" s="85"/>
      <c r="CH59" s="85"/>
      <c r="CI59" s="85"/>
      <c r="CJ59" s="85"/>
      <c r="CK59" s="85"/>
      <c r="CL59" s="85"/>
    </row>
    <row r="60" spans="1:90">
      <c r="A60" s="85"/>
      <c r="B60" s="104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5"/>
      <c r="AK60" s="85"/>
      <c r="AL60" s="85"/>
      <c r="AM60" s="85"/>
      <c r="AN60" s="85"/>
      <c r="AO60" s="85"/>
      <c r="AP60" s="85"/>
      <c r="AQ60" s="85"/>
      <c r="AR60" s="85"/>
      <c r="AS60" s="85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85"/>
      <c r="BG60" s="85"/>
      <c r="BH60" s="85"/>
      <c r="BI60" s="85"/>
      <c r="BJ60" s="85"/>
      <c r="BK60" s="85"/>
      <c r="BL60" s="85"/>
      <c r="BM60" s="85"/>
      <c r="BN60" s="85"/>
      <c r="BO60" s="85"/>
      <c r="BP60" s="85"/>
      <c r="BQ60" s="85"/>
      <c r="BR60" s="85"/>
      <c r="BS60" s="85"/>
      <c r="BT60" s="85"/>
      <c r="BU60" s="85"/>
      <c r="BV60" s="85"/>
      <c r="BW60" s="85"/>
      <c r="BX60" s="85"/>
      <c r="BY60" s="85"/>
      <c r="BZ60" s="85"/>
      <c r="CA60" s="85"/>
      <c r="CB60" s="85"/>
      <c r="CC60" s="85"/>
      <c r="CD60" s="85"/>
      <c r="CE60" s="85"/>
      <c r="CF60" s="85"/>
      <c r="CG60" s="85"/>
      <c r="CH60" s="85"/>
      <c r="CI60" s="85"/>
      <c r="CJ60" s="85"/>
      <c r="CK60" s="85"/>
      <c r="CL60" s="85"/>
    </row>
    <row r="61" spans="1:90">
      <c r="A61" s="85"/>
      <c r="B61" s="104"/>
      <c r="C61" s="85"/>
      <c r="D61" s="85"/>
      <c r="E61" s="85"/>
      <c r="F61" s="85"/>
      <c r="G61" s="85"/>
      <c r="H61" s="85"/>
      <c r="I61" s="85"/>
      <c r="J61" s="85"/>
      <c r="K61" s="29"/>
      <c r="L61" s="125"/>
      <c r="M61" s="85"/>
      <c r="N61" s="85"/>
      <c r="O61" s="85"/>
      <c r="P61" s="85"/>
      <c r="Q61" s="85"/>
      <c r="R61" s="85"/>
      <c r="S61" s="29"/>
      <c r="T61" s="29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85"/>
      <c r="AS61" s="85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85"/>
      <c r="BG61" s="85"/>
      <c r="BH61" s="85"/>
      <c r="BI61" s="85"/>
      <c r="BJ61" s="85"/>
      <c r="BK61" s="85"/>
      <c r="BL61" s="85"/>
      <c r="BM61" s="85"/>
      <c r="BN61" s="85"/>
      <c r="BO61" s="85"/>
      <c r="BP61" s="85"/>
      <c r="BQ61" s="85"/>
      <c r="BR61" s="85"/>
      <c r="BS61" s="85"/>
      <c r="BT61" s="85"/>
      <c r="BU61" s="85"/>
      <c r="BV61" s="85"/>
      <c r="BW61" s="85"/>
      <c r="BX61" s="85"/>
      <c r="BY61" s="85"/>
      <c r="BZ61" s="85"/>
      <c r="CA61" s="85"/>
      <c r="CB61" s="85"/>
      <c r="CC61" s="85"/>
      <c r="CD61" s="85"/>
      <c r="CE61" s="85"/>
      <c r="CF61" s="85"/>
      <c r="CG61" s="85"/>
      <c r="CH61" s="85"/>
      <c r="CI61" s="85"/>
      <c r="CJ61" s="85"/>
      <c r="CK61" s="85"/>
      <c r="CL61" s="85"/>
    </row>
    <row r="62" spans="1:90">
      <c r="A62" s="85"/>
      <c r="B62" s="104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  <c r="AF62" s="85"/>
      <c r="AG62" s="85"/>
      <c r="AH62" s="85"/>
      <c r="AI62" s="85"/>
      <c r="AJ62" s="85"/>
      <c r="AK62" s="85"/>
      <c r="AL62" s="85"/>
      <c r="AM62" s="85"/>
      <c r="AN62" s="85"/>
      <c r="AO62" s="85"/>
      <c r="AP62" s="85"/>
      <c r="AQ62" s="85"/>
      <c r="AR62" s="85"/>
      <c r="AS62" s="85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85"/>
      <c r="BG62" s="85"/>
      <c r="BH62" s="85"/>
      <c r="BI62" s="85"/>
      <c r="BJ62" s="85"/>
      <c r="BK62" s="85"/>
      <c r="BL62" s="85"/>
      <c r="BM62" s="85"/>
      <c r="BN62" s="85"/>
      <c r="BO62" s="85"/>
      <c r="BP62" s="85"/>
      <c r="BQ62" s="85"/>
      <c r="BR62" s="85"/>
      <c r="BS62" s="85"/>
      <c r="BT62" s="85"/>
      <c r="BU62" s="85"/>
      <c r="BV62" s="85"/>
      <c r="BW62" s="85"/>
      <c r="BX62" s="85"/>
      <c r="BY62" s="85"/>
      <c r="BZ62" s="85"/>
      <c r="CA62" s="85"/>
      <c r="CB62" s="85"/>
      <c r="CC62" s="85"/>
      <c r="CD62" s="85"/>
      <c r="CE62" s="85"/>
      <c r="CF62" s="85"/>
      <c r="CG62" s="85"/>
      <c r="CH62" s="85"/>
      <c r="CI62" s="85"/>
      <c r="CJ62" s="85"/>
      <c r="CK62" s="85"/>
      <c r="CL62" s="85"/>
    </row>
    <row r="63" spans="1:90">
      <c r="A63" s="85"/>
      <c r="B63" s="104"/>
      <c r="C63" s="85"/>
      <c r="D63" s="85"/>
      <c r="E63" s="85"/>
      <c r="F63" s="85"/>
      <c r="G63" s="85"/>
      <c r="H63" s="85"/>
      <c r="I63" s="85"/>
      <c r="J63" s="85"/>
      <c r="K63" s="29"/>
      <c r="L63" s="85"/>
      <c r="M63" s="85"/>
      <c r="N63" s="85"/>
      <c r="O63" s="85"/>
      <c r="P63" s="85"/>
      <c r="Q63" s="85"/>
      <c r="R63" s="85"/>
      <c r="S63" s="85"/>
      <c r="T63" s="29"/>
      <c r="U63" s="85"/>
      <c r="V63" s="85"/>
      <c r="W63" s="85"/>
      <c r="X63" s="85"/>
      <c r="Y63" s="85"/>
      <c r="Z63" s="85"/>
      <c r="AA63" s="29"/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85"/>
      <c r="AM63" s="85"/>
      <c r="AN63" s="85"/>
      <c r="AO63" s="85"/>
      <c r="AP63" s="85"/>
      <c r="AQ63" s="85"/>
      <c r="AR63" s="85"/>
      <c r="AS63" s="85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85"/>
      <c r="BG63" s="85"/>
      <c r="BH63" s="85"/>
      <c r="BI63" s="85"/>
      <c r="BJ63" s="85"/>
      <c r="BK63" s="85"/>
      <c r="BL63" s="85"/>
      <c r="BM63" s="85"/>
      <c r="BN63" s="85"/>
      <c r="BO63" s="85"/>
      <c r="BP63" s="85"/>
      <c r="BQ63" s="85"/>
      <c r="BR63" s="85"/>
      <c r="BS63" s="85"/>
      <c r="BT63" s="85"/>
      <c r="BU63" s="85"/>
      <c r="BV63" s="85"/>
      <c r="BW63" s="85"/>
      <c r="BX63" s="85"/>
      <c r="BY63" s="85"/>
      <c r="BZ63" s="85"/>
      <c r="CA63" s="85"/>
      <c r="CB63" s="85"/>
      <c r="CC63" s="85"/>
      <c r="CD63" s="85"/>
      <c r="CE63" s="85"/>
      <c r="CF63" s="85"/>
      <c r="CG63" s="85"/>
      <c r="CH63" s="85"/>
      <c r="CI63" s="85"/>
      <c r="CJ63" s="85"/>
      <c r="CK63" s="85"/>
      <c r="CL63" s="85"/>
    </row>
    <row r="64" spans="1:90">
      <c r="A64" s="85"/>
      <c r="B64" s="104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H64" s="85"/>
      <c r="AI64" s="85"/>
      <c r="AJ64" s="85"/>
      <c r="AK64" s="85"/>
      <c r="AL64" s="85"/>
      <c r="AM64" s="85"/>
      <c r="AN64" s="85"/>
      <c r="AO64" s="85"/>
      <c r="AP64" s="85"/>
      <c r="AQ64" s="85"/>
      <c r="AR64" s="85"/>
      <c r="AS64" s="85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85"/>
      <c r="BG64" s="85"/>
      <c r="BH64" s="85"/>
      <c r="BI64" s="85"/>
      <c r="BJ64" s="85"/>
      <c r="BK64" s="85"/>
      <c r="BL64" s="85"/>
      <c r="BM64" s="85"/>
      <c r="BN64" s="85"/>
      <c r="BO64" s="85"/>
      <c r="BP64" s="85"/>
      <c r="BQ64" s="85"/>
      <c r="BR64" s="85"/>
      <c r="BS64" s="85"/>
      <c r="BT64" s="85"/>
      <c r="BU64" s="85"/>
      <c r="BV64" s="85"/>
      <c r="BW64" s="85"/>
      <c r="BX64" s="85"/>
      <c r="BY64" s="85"/>
      <c r="BZ64" s="85"/>
      <c r="CA64" s="85"/>
      <c r="CB64" s="85"/>
      <c r="CC64" s="85"/>
      <c r="CD64" s="85"/>
      <c r="CE64" s="85"/>
      <c r="CF64" s="85"/>
      <c r="CG64" s="85"/>
      <c r="CH64" s="85"/>
      <c r="CI64" s="85"/>
      <c r="CJ64" s="85"/>
      <c r="CK64" s="85"/>
      <c r="CL64" s="85"/>
    </row>
    <row r="65" spans="1:90">
      <c r="A65" s="85"/>
      <c r="B65" s="104"/>
      <c r="C65" s="85"/>
      <c r="D65" s="85"/>
      <c r="E65" s="85"/>
      <c r="F65" s="85"/>
      <c r="G65" s="85"/>
      <c r="H65" s="85"/>
      <c r="I65" s="85"/>
      <c r="J65" s="85"/>
      <c r="K65" s="29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85"/>
      <c r="AS65" s="85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85"/>
      <c r="BG65" s="85"/>
      <c r="BH65" s="85"/>
      <c r="BI65" s="85"/>
      <c r="BJ65" s="85"/>
      <c r="BK65" s="85"/>
      <c r="BL65" s="85"/>
      <c r="BM65" s="85"/>
      <c r="BN65" s="85"/>
      <c r="BO65" s="85"/>
      <c r="BP65" s="85"/>
      <c r="BQ65" s="85"/>
      <c r="BR65" s="85"/>
      <c r="BS65" s="85"/>
      <c r="BT65" s="85"/>
      <c r="BU65" s="85"/>
      <c r="BV65" s="85"/>
      <c r="BW65" s="85"/>
      <c r="BX65" s="85"/>
      <c r="BY65" s="85"/>
      <c r="BZ65" s="85"/>
      <c r="CA65" s="85"/>
      <c r="CB65" s="85"/>
      <c r="CC65" s="85"/>
      <c r="CD65" s="85"/>
      <c r="CE65" s="85"/>
      <c r="CF65" s="85"/>
      <c r="CG65" s="85"/>
      <c r="CH65" s="85"/>
      <c r="CI65" s="85"/>
      <c r="CJ65" s="85"/>
      <c r="CK65" s="85"/>
      <c r="CL65" s="85"/>
    </row>
    <row r="66" spans="1:90">
      <c r="A66" s="85"/>
      <c r="B66" s="104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29"/>
      <c r="U66" s="104"/>
      <c r="V66" s="85"/>
      <c r="W66" s="85"/>
      <c r="X66" s="85"/>
      <c r="Y66" s="85"/>
      <c r="Z66" s="85"/>
      <c r="AA66" s="29"/>
      <c r="AB66" s="85"/>
      <c r="AC66" s="85"/>
      <c r="AD66" s="85"/>
      <c r="AE66" s="85"/>
      <c r="AF66" s="85"/>
      <c r="AG66" s="85"/>
      <c r="AH66" s="85"/>
      <c r="AI66" s="85"/>
      <c r="AJ66" s="85"/>
      <c r="AK66" s="85"/>
      <c r="AL66" s="85"/>
      <c r="AM66" s="85"/>
      <c r="AN66" s="85"/>
      <c r="AO66" s="85"/>
      <c r="AP66" s="85"/>
      <c r="AQ66" s="85"/>
      <c r="AR66" s="85"/>
      <c r="AS66" s="85"/>
      <c r="AT66" s="85"/>
      <c r="AU66" s="85"/>
      <c r="AV66" s="85"/>
      <c r="AW66" s="85"/>
      <c r="AX66" s="85"/>
      <c r="AY66" s="85"/>
      <c r="AZ66" s="85"/>
      <c r="BA66" s="85"/>
      <c r="BB66" s="85"/>
      <c r="BC66" s="85"/>
      <c r="BD66" s="85"/>
      <c r="BE66" s="85"/>
      <c r="BF66" s="85"/>
      <c r="BG66" s="85"/>
      <c r="BH66" s="85"/>
      <c r="BI66" s="85"/>
      <c r="BJ66" s="85"/>
      <c r="BK66" s="85"/>
      <c r="BL66" s="85"/>
      <c r="BM66" s="85"/>
      <c r="BN66" s="85"/>
      <c r="BO66" s="85"/>
      <c r="BP66" s="85"/>
      <c r="BQ66" s="85"/>
      <c r="BR66" s="85"/>
      <c r="BS66" s="85"/>
      <c r="BT66" s="85"/>
      <c r="BU66" s="85"/>
      <c r="BV66" s="85"/>
      <c r="BW66" s="85"/>
      <c r="BX66" s="85"/>
      <c r="BY66" s="85"/>
      <c r="BZ66" s="85"/>
      <c r="CA66" s="85"/>
      <c r="CB66" s="85"/>
      <c r="CC66" s="85"/>
      <c r="CD66" s="85"/>
      <c r="CE66" s="85"/>
      <c r="CF66" s="85"/>
      <c r="CG66" s="85"/>
      <c r="CH66" s="85"/>
      <c r="CI66" s="85"/>
      <c r="CJ66" s="85"/>
      <c r="CK66" s="85"/>
      <c r="CL66" s="85"/>
    </row>
    <row r="67" spans="1:90">
      <c r="A67" s="85"/>
      <c r="B67" s="104"/>
      <c r="C67" s="85"/>
      <c r="D67" s="85"/>
      <c r="E67" s="85"/>
      <c r="F67" s="85"/>
      <c r="G67" s="85"/>
      <c r="H67" s="85"/>
      <c r="I67" s="85"/>
      <c r="J67" s="121"/>
      <c r="K67" s="122"/>
      <c r="L67" s="85"/>
      <c r="M67" s="85"/>
      <c r="N67" s="85"/>
      <c r="O67" s="85"/>
      <c r="P67" s="85"/>
      <c r="Q67" s="85"/>
      <c r="R67" s="85"/>
      <c r="S67" s="85"/>
      <c r="T67" s="29"/>
      <c r="U67" s="108"/>
      <c r="V67" s="85"/>
      <c r="W67" s="85"/>
      <c r="X67" s="85"/>
      <c r="Y67" s="85"/>
      <c r="Z67" s="85"/>
      <c r="AA67" s="29"/>
      <c r="AB67" s="85"/>
      <c r="AC67" s="85"/>
      <c r="AD67" s="85"/>
      <c r="AE67" s="85"/>
      <c r="AF67" s="85"/>
      <c r="AG67" s="85"/>
      <c r="AH67" s="85"/>
      <c r="AI67" s="85"/>
      <c r="AJ67" s="85"/>
      <c r="AK67" s="85"/>
      <c r="AL67" s="85"/>
      <c r="AM67" s="85"/>
      <c r="AN67" s="85"/>
      <c r="AO67" s="85"/>
      <c r="AP67" s="85"/>
      <c r="AQ67" s="85"/>
      <c r="AR67" s="85"/>
      <c r="AS67" s="85"/>
      <c r="AT67" s="85"/>
      <c r="AU67" s="85"/>
      <c r="AV67" s="85"/>
      <c r="AW67" s="85"/>
      <c r="AX67" s="85"/>
      <c r="AY67" s="85"/>
      <c r="AZ67" s="85"/>
      <c r="BA67" s="85"/>
      <c r="BB67" s="85"/>
      <c r="BC67" s="85"/>
      <c r="BD67" s="85"/>
      <c r="BE67" s="85"/>
      <c r="BF67" s="85"/>
      <c r="BG67" s="85"/>
      <c r="BH67" s="85"/>
      <c r="BI67" s="85"/>
      <c r="BJ67" s="85"/>
      <c r="BK67" s="85"/>
      <c r="BL67" s="85"/>
      <c r="BM67" s="85"/>
      <c r="BN67" s="85"/>
      <c r="BO67" s="85"/>
      <c r="BP67" s="85"/>
      <c r="BQ67" s="85"/>
      <c r="BR67" s="85"/>
      <c r="BS67" s="85"/>
      <c r="BT67" s="85"/>
      <c r="BU67" s="85"/>
      <c r="BV67" s="85"/>
      <c r="BW67" s="85"/>
      <c r="BX67" s="85"/>
      <c r="BY67" s="85"/>
      <c r="BZ67" s="85"/>
      <c r="CA67" s="85"/>
      <c r="CB67" s="85"/>
      <c r="CC67" s="85"/>
      <c r="CD67" s="85"/>
      <c r="CE67" s="85"/>
      <c r="CF67" s="85"/>
      <c r="CG67" s="85"/>
      <c r="CH67" s="85"/>
      <c r="CI67" s="85"/>
      <c r="CJ67" s="85"/>
      <c r="CK67" s="85"/>
      <c r="CL67" s="85"/>
    </row>
    <row r="68" spans="1:90">
      <c r="A68" s="85"/>
      <c r="B68" s="104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29"/>
      <c r="U68" s="104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85"/>
      <c r="AI68" s="85"/>
      <c r="AJ68" s="85"/>
      <c r="AK68" s="85"/>
      <c r="AL68" s="85"/>
      <c r="AM68" s="85"/>
      <c r="AN68" s="85"/>
      <c r="AO68" s="85"/>
      <c r="AP68" s="85"/>
      <c r="AQ68" s="85"/>
      <c r="AR68" s="85"/>
      <c r="AS68" s="85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85"/>
      <c r="BG68" s="85"/>
      <c r="BH68" s="85"/>
      <c r="BI68" s="85"/>
      <c r="BJ68" s="85"/>
      <c r="BK68" s="85"/>
      <c r="BL68" s="85"/>
      <c r="BM68" s="85"/>
      <c r="BN68" s="85"/>
      <c r="BO68" s="85"/>
      <c r="BP68" s="85"/>
      <c r="BQ68" s="85"/>
      <c r="BR68" s="85"/>
      <c r="BS68" s="85"/>
      <c r="BT68" s="85"/>
      <c r="BU68" s="85"/>
      <c r="BV68" s="85"/>
      <c r="BW68" s="85"/>
      <c r="BX68" s="85"/>
      <c r="BY68" s="85"/>
      <c r="BZ68" s="85"/>
      <c r="CA68" s="85"/>
      <c r="CB68" s="85"/>
      <c r="CC68" s="85"/>
      <c r="CD68" s="85"/>
      <c r="CE68" s="85"/>
      <c r="CF68" s="85"/>
      <c r="CG68" s="85"/>
      <c r="CH68" s="85"/>
      <c r="CI68" s="85"/>
      <c r="CJ68" s="85"/>
      <c r="CK68" s="85"/>
      <c r="CL68" s="85"/>
    </row>
    <row r="69" spans="1:90">
      <c r="A69" s="85"/>
      <c r="B69" s="104"/>
      <c r="C69" s="85"/>
      <c r="D69" s="85"/>
      <c r="E69" s="85"/>
      <c r="F69" s="85"/>
      <c r="G69" s="85"/>
      <c r="H69" s="85"/>
      <c r="I69" s="85"/>
      <c r="J69" s="63"/>
      <c r="K69" s="64"/>
      <c r="L69" s="85"/>
      <c r="M69" s="85"/>
      <c r="N69" s="85"/>
      <c r="O69" s="85"/>
      <c r="P69" s="85"/>
      <c r="Q69" s="85"/>
      <c r="R69" s="85"/>
      <c r="S69" s="85"/>
      <c r="T69" s="29"/>
      <c r="U69" s="104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5"/>
      <c r="AM69" s="85"/>
      <c r="AN69" s="85"/>
      <c r="AO69" s="85"/>
      <c r="AP69" s="85"/>
      <c r="AQ69" s="85"/>
      <c r="AR69" s="85"/>
      <c r="AS69" s="85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85"/>
      <c r="BG69" s="85"/>
      <c r="BH69" s="85"/>
      <c r="BI69" s="85"/>
      <c r="BJ69" s="85"/>
      <c r="BK69" s="85"/>
      <c r="BL69" s="85"/>
      <c r="BM69" s="85"/>
      <c r="BN69" s="85"/>
      <c r="BO69" s="85"/>
      <c r="BP69" s="85"/>
      <c r="BQ69" s="85"/>
      <c r="BR69" s="85"/>
      <c r="BS69" s="85"/>
      <c r="BT69" s="85"/>
      <c r="BU69" s="85"/>
      <c r="BV69" s="85"/>
      <c r="BW69" s="85"/>
      <c r="BX69" s="85"/>
      <c r="BY69" s="85"/>
      <c r="BZ69" s="85"/>
      <c r="CA69" s="85"/>
      <c r="CB69" s="85"/>
      <c r="CC69" s="85"/>
      <c r="CD69" s="85"/>
      <c r="CE69" s="85"/>
      <c r="CF69" s="85"/>
      <c r="CG69" s="85"/>
      <c r="CH69" s="85"/>
      <c r="CI69" s="85"/>
      <c r="CJ69" s="85"/>
      <c r="CK69" s="85"/>
      <c r="CL69" s="85"/>
    </row>
    <row r="70" spans="1:90">
      <c r="A70" s="85"/>
      <c r="B70" s="104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85"/>
      <c r="AI70" s="85"/>
      <c r="AJ70" s="85"/>
      <c r="AK70" s="85"/>
      <c r="AL70" s="85"/>
      <c r="AM70" s="85"/>
      <c r="AN70" s="85"/>
      <c r="AO70" s="85"/>
      <c r="AP70" s="85"/>
      <c r="AQ70" s="85"/>
      <c r="AR70" s="85"/>
      <c r="AS70" s="85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85"/>
      <c r="BG70" s="85"/>
      <c r="BH70" s="85"/>
      <c r="BI70" s="85"/>
      <c r="BJ70" s="85"/>
      <c r="BK70" s="85"/>
      <c r="BL70" s="85"/>
      <c r="BM70" s="85"/>
      <c r="BN70" s="85"/>
      <c r="BO70" s="85"/>
      <c r="BP70" s="85"/>
      <c r="BQ70" s="85"/>
      <c r="BR70" s="85"/>
      <c r="BS70" s="85"/>
      <c r="BT70" s="85"/>
      <c r="BU70" s="85"/>
      <c r="BV70" s="85"/>
      <c r="BW70" s="85"/>
      <c r="BX70" s="85"/>
      <c r="BY70" s="85"/>
      <c r="BZ70" s="85"/>
      <c r="CA70" s="85"/>
      <c r="CB70" s="85"/>
      <c r="CC70" s="85"/>
      <c r="CD70" s="85"/>
      <c r="CE70" s="85"/>
      <c r="CF70" s="85"/>
      <c r="CG70" s="85"/>
      <c r="CH70" s="85"/>
      <c r="CI70" s="85"/>
      <c r="CJ70" s="85"/>
      <c r="CK70" s="85"/>
      <c r="CL70" s="85"/>
    </row>
    <row r="71" spans="1:90">
      <c r="A71" s="85"/>
      <c r="B71" s="104"/>
      <c r="C71" s="85"/>
      <c r="D71" s="85"/>
      <c r="E71" s="85"/>
      <c r="F71" s="85"/>
      <c r="G71" s="85"/>
      <c r="H71" s="85"/>
      <c r="I71" s="85"/>
      <c r="J71" s="29"/>
      <c r="K71" s="85"/>
      <c r="L71" s="85"/>
      <c r="M71" s="87"/>
      <c r="N71" s="85"/>
      <c r="O71" s="85"/>
      <c r="P71" s="85"/>
      <c r="Q71" s="85"/>
      <c r="R71" s="85"/>
      <c r="S71" s="85"/>
      <c r="T71" s="29"/>
      <c r="U71" s="87"/>
      <c r="V71" s="85"/>
      <c r="W71" s="85"/>
      <c r="X71" s="85"/>
      <c r="Y71" s="126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85"/>
      <c r="AO71" s="85"/>
      <c r="AP71" s="85"/>
      <c r="AQ71" s="85"/>
      <c r="AR71" s="85"/>
      <c r="AS71" s="85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85"/>
      <c r="BG71" s="85"/>
      <c r="BH71" s="85"/>
      <c r="BI71" s="85"/>
      <c r="BJ71" s="85"/>
      <c r="BK71" s="85"/>
      <c r="BL71" s="85"/>
      <c r="BM71" s="85"/>
      <c r="BN71" s="85"/>
      <c r="BO71" s="85"/>
      <c r="BP71" s="85"/>
      <c r="BQ71" s="85"/>
      <c r="BR71" s="85"/>
      <c r="BS71" s="85"/>
      <c r="BT71" s="85"/>
      <c r="BU71" s="85"/>
      <c r="BV71" s="85"/>
      <c r="BW71" s="85"/>
      <c r="BX71" s="85"/>
      <c r="BY71" s="85"/>
      <c r="BZ71" s="85"/>
      <c r="CA71" s="85"/>
      <c r="CB71" s="85"/>
      <c r="CC71" s="85"/>
      <c r="CD71" s="85"/>
      <c r="CE71" s="85"/>
      <c r="CF71" s="85"/>
      <c r="CG71" s="85"/>
      <c r="CH71" s="85"/>
      <c r="CI71" s="85"/>
      <c r="CJ71" s="85"/>
      <c r="CK71" s="85"/>
      <c r="CL71" s="85"/>
    </row>
    <row r="72" spans="1:90">
      <c r="A72" s="85"/>
      <c r="B72" s="104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7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85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85"/>
      <c r="BG72" s="85"/>
      <c r="BH72" s="85"/>
      <c r="BI72" s="85"/>
      <c r="BJ72" s="85"/>
      <c r="BK72" s="85"/>
      <c r="BL72" s="85"/>
      <c r="BM72" s="85"/>
      <c r="BN72" s="85"/>
      <c r="BO72" s="85"/>
      <c r="BP72" s="85"/>
      <c r="BQ72" s="85"/>
      <c r="BR72" s="85"/>
      <c r="BS72" s="85"/>
      <c r="BT72" s="85"/>
      <c r="BU72" s="85"/>
      <c r="BV72" s="85"/>
      <c r="BW72" s="85"/>
      <c r="BX72" s="85"/>
      <c r="BY72" s="85"/>
      <c r="BZ72" s="85"/>
      <c r="CA72" s="85"/>
      <c r="CB72" s="85"/>
      <c r="CC72" s="85"/>
      <c r="CD72" s="85"/>
      <c r="CE72" s="85"/>
      <c r="CF72" s="85"/>
      <c r="CG72" s="85"/>
      <c r="CH72" s="85"/>
      <c r="CI72" s="85"/>
      <c r="CJ72" s="85"/>
      <c r="CK72" s="85"/>
      <c r="CL72" s="85"/>
    </row>
    <row r="73" spans="1:90">
      <c r="A73" s="85"/>
      <c r="B73" s="104"/>
      <c r="C73" s="85"/>
      <c r="D73" s="85"/>
      <c r="E73" s="85"/>
      <c r="F73" s="85"/>
      <c r="G73" s="85"/>
      <c r="H73" s="85"/>
      <c r="I73" s="85"/>
      <c r="J73" s="29"/>
      <c r="K73" s="85"/>
      <c r="L73" s="85"/>
      <c r="M73" s="87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  <c r="AP73" s="85"/>
      <c r="AQ73" s="85"/>
      <c r="AR73" s="85"/>
      <c r="AS73" s="85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85"/>
      <c r="BG73" s="85"/>
      <c r="BH73" s="85"/>
      <c r="BI73" s="85"/>
      <c r="BJ73" s="85"/>
      <c r="BK73" s="85"/>
      <c r="BL73" s="85"/>
      <c r="BM73" s="85"/>
      <c r="BN73" s="85"/>
      <c r="BO73" s="85"/>
      <c r="BP73" s="85"/>
      <c r="BQ73" s="85"/>
      <c r="BR73" s="85"/>
      <c r="BS73" s="85"/>
      <c r="BT73" s="85"/>
      <c r="BU73" s="85"/>
      <c r="BV73" s="85"/>
      <c r="BW73" s="85"/>
      <c r="BX73" s="85"/>
      <c r="BY73" s="85"/>
      <c r="BZ73" s="85"/>
      <c r="CA73" s="85"/>
      <c r="CB73" s="85"/>
      <c r="CC73" s="85"/>
      <c r="CD73" s="85"/>
      <c r="CE73" s="85"/>
      <c r="CF73" s="85"/>
      <c r="CG73" s="85"/>
      <c r="CH73" s="85"/>
      <c r="CI73" s="85"/>
      <c r="CJ73" s="85"/>
      <c r="CK73" s="85"/>
      <c r="CL73" s="85"/>
    </row>
    <row r="74" spans="1:90">
      <c r="A74" s="85"/>
      <c r="B74" s="104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7"/>
      <c r="N74" s="85"/>
      <c r="O74" s="85"/>
      <c r="P74" s="85"/>
      <c r="Q74" s="85"/>
      <c r="R74" s="85"/>
      <c r="S74" s="121"/>
      <c r="T74" s="122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  <c r="AM74" s="85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85"/>
      <c r="BG74" s="85"/>
      <c r="BH74" s="85"/>
      <c r="BI74" s="85"/>
      <c r="BJ74" s="85"/>
      <c r="BK74" s="85"/>
      <c r="BL74" s="85"/>
      <c r="BM74" s="85"/>
      <c r="BN74" s="85"/>
      <c r="BO74" s="85"/>
      <c r="BP74" s="85"/>
      <c r="BQ74" s="85"/>
      <c r="BR74" s="85"/>
      <c r="BS74" s="85"/>
      <c r="BT74" s="85"/>
      <c r="BU74" s="85"/>
      <c r="BV74" s="85"/>
      <c r="BW74" s="85"/>
      <c r="BX74" s="85"/>
      <c r="BY74" s="85"/>
      <c r="BZ74" s="85"/>
      <c r="CA74" s="85"/>
      <c r="CB74" s="85"/>
      <c r="CC74" s="85"/>
      <c r="CD74" s="85"/>
      <c r="CE74" s="85"/>
      <c r="CF74" s="85"/>
      <c r="CG74" s="85"/>
      <c r="CH74" s="85"/>
      <c r="CI74" s="85"/>
      <c r="CJ74" s="85"/>
      <c r="CK74" s="85"/>
      <c r="CL74" s="85"/>
    </row>
    <row r="75" spans="1:90">
      <c r="A75" s="85"/>
      <c r="B75" s="104"/>
      <c r="C75" s="85"/>
      <c r="D75" s="85"/>
      <c r="E75" s="85"/>
      <c r="F75" s="85"/>
      <c r="G75" s="85"/>
      <c r="H75" s="85"/>
      <c r="I75" s="85"/>
      <c r="J75" s="29"/>
      <c r="K75" s="85"/>
      <c r="L75" s="85"/>
      <c r="M75" s="87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85"/>
      <c r="AS75" s="85"/>
      <c r="AT75" s="85"/>
      <c r="AU75" s="85"/>
      <c r="AV75" s="85"/>
      <c r="AW75" s="85"/>
      <c r="AX75" s="85"/>
      <c r="AY75" s="85"/>
      <c r="AZ75" s="85"/>
      <c r="BA75" s="85"/>
      <c r="BB75" s="85"/>
      <c r="BC75" s="85"/>
      <c r="BD75" s="85"/>
      <c r="BE75" s="85"/>
      <c r="BF75" s="85"/>
      <c r="BG75" s="85"/>
      <c r="BH75" s="85"/>
      <c r="BI75" s="85"/>
      <c r="BJ75" s="85"/>
      <c r="BK75" s="85"/>
      <c r="BL75" s="85"/>
      <c r="BM75" s="85"/>
      <c r="BN75" s="85"/>
      <c r="BO75" s="85"/>
      <c r="BP75" s="85"/>
      <c r="BQ75" s="85"/>
      <c r="BR75" s="85"/>
      <c r="BS75" s="85"/>
      <c r="BT75" s="85"/>
      <c r="BU75" s="85"/>
      <c r="BV75" s="85"/>
      <c r="BW75" s="85"/>
      <c r="BX75" s="85"/>
      <c r="BY75" s="85"/>
      <c r="BZ75" s="85"/>
      <c r="CA75" s="85"/>
      <c r="CB75" s="85"/>
      <c r="CC75" s="85"/>
      <c r="CD75" s="85"/>
      <c r="CE75" s="85"/>
      <c r="CF75" s="85"/>
      <c r="CG75" s="85"/>
      <c r="CH75" s="85"/>
      <c r="CI75" s="85"/>
      <c r="CJ75" s="85"/>
      <c r="CK75" s="85"/>
      <c r="CL75" s="85"/>
    </row>
    <row r="76" spans="1:90">
      <c r="A76" s="85"/>
      <c r="B76" s="104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127"/>
      <c r="U76" s="174"/>
      <c r="V76" s="127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85"/>
      <c r="AZ76" s="85"/>
      <c r="BA76" s="85"/>
      <c r="BB76" s="85"/>
      <c r="BC76" s="85"/>
      <c r="BD76" s="85"/>
      <c r="BE76" s="85"/>
      <c r="BF76" s="85"/>
      <c r="BG76" s="85"/>
      <c r="BH76" s="85"/>
      <c r="BI76" s="85"/>
      <c r="BJ76" s="85"/>
      <c r="BK76" s="85"/>
      <c r="BL76" s="85"/>
      <c r="BM76" s="85"/>
      <c r="BN76" s="85"/>
      <c r="BO76" s="85"/>
      <c r="BP76" s="85"/>
      <c r="BQ76" s="85"/>
      <c r="BR76" s="85"/>
      <c r="BS76" s="85"/>
      <c r="BT76" s="85"/>
      <c r="BU76" s="85"/>
      <c r="BV76" s="85"/>
      <c r="BW76" s="85"/>
      <c r="BX76" s="85"/>
      <c r="BY76" s="85"/>
      <c r="BZ76" s="85"/>
      <c r="CA76" s="85"/>
      <c r="CB76" s="85"/>
      <c r="CC76" s="85"/>
      <c r="CD76" s="85"/>
      <c r="CE76" s="85"/>
      <c r="CF76" s="85"/>
      <c r="CG76" s="85"/>
      <c r="CH76" s="85"/>
      <c r="CI76" s="85"/>
      <c r="CJ76" s="85"/>
      <c r="CK76" s="85"/>
      <c r="CL76" s="85"/>
    </row>
    <row r="77" spans="1:90">
      <c r="A77" s="85"/>
      <c r="B77" s="104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128"/>
      <c r="U77" s="174"/>
      <c r="V77" s="87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85"/>
      <c r="BW77" s="85"/>
      <c r="BX77" s="85"/>
      <c r="BY77" s="85"/>
      <c r="BZ77" s="85"/>
      <c r="CA77" s="85"/>
      <c r="CB77" s="85"/>
      <c r="CC77" s="85"/>
      <c r="CD77" s="85"/>
      <c r="CE77" s="85"/>
      <c r="CF77" s="85"/>
      <c r="CG77" s="85"/>
      <c r="CH77" s="85"/>
      <c r="CI77" s="85"/>
      <c r="CJ77" s="85"/>
      <c r="CK77" s="85"/>
      <c r="CL77" s="85"/>
    </row>
    <row r="78" spans="1:90">
      <c r="A78" s="85"/>
      <c r="B78" s="10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85"/>
      <c r="BW78" s="85"/>
      <c r="BX78" s="85"/>
      <c r="BY78" s="85"/>
      <c r="BZ78" s="85"/>
      <c r="CA78" s="85"/>
      <c r="CB78" s="85"/>
      <c r="CC78" s="85"/>
      <c r="CD78" s="85"/>
      <c r="CE78" s="85"/>
      <c r="CF78" s="85"/>
      <c r="CG78" s="85"/>
      <c r="CH78" s="85"/>
      <c r="CI78" s="85"/>
      <c r="CJ78" s="85"/>
      <c r="CK78" s="85"/>
      <c r="CL78" s="85"/>
    </row>
    <row r="79" spans="1:90">
      <c r="A79" s="85"/>
      <c r="B79" s="104"/>
      <c r="C79" s="85"/>
      <c r="D79" s="85"/>
      <c r="E79" s="85"/>
      <c r="F79" s="85"/>
      <c r="G79" s="85"/>
      <c r="H79" s="85"/>
      <c r="I79" s="85"/>
      <c r="J79" s="63" t="s">
        <v>137</v>
      </c>
      <c r="K79" s="64" t="s">
        <v>138</v>
      </c>
      <c r="L79" s="85"/>
      <c r="M79" s="85"/>
      <c r="N79" s="85"/>
      <c r="O79" s="85"/>
      <c r="P79" s="85"/>
      <c r="Q79" s="85"/>
      <c r="R79" s="85"/>
      <c r="S79" s="85"/>
      <c r="T79" s="127"/>
      <c r="U79" s="174"/>
      <c r="V79" s="127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85"/>
      <c r="BW79" s="85"/>
      <c r="BX79" s="85"/>
      <c r="BY79" s="85"/>
      <c r="BZ79" s="85"/>
      <c r="CA79" s="85"/>
      <c r="CB79" s="85"/>
      <c r="CC79" s="85"/>
      <c r="CD79" s="85"/>
      <c r="CE79" s="85"/>
      <c r="CF79" s="85"/>
      <c r="CG79" s="85"/>
      <c r="CH79" s="85"/>
      <c r="CI79" s="85"/>
      <c r="CJ79" s="85"/>
      <c r="CK79" s="85"/>
      <c r="CL79" s="85"/>
    </row>
    <row r="80" spans="1:90" ht="18">
      <c r="A80" s="85"/>
      <c r="B80" s="104"/>
      <c r="C80" s="85"/>
      <c r="D80" s="85"/>
      <c r="E80" s="85"/>
      <c r="F80" s="85"/>
      <c r="G80" s="85"/>
      <c r="H80" s="85"/>
      <c r="I80" s="85"/>
      <c r="J80" s="85"/>
      <c r="K80" s="29" t="s">
        <v>174</v>
      </c>
      <c r="L80" s="85">
        <v>12</v>
      </c>
      <c r="M80" s="85" t="s">
        <v>10</v>
      </c>
      <c r="N80" s="85"/>
      <c r="O80" s="85"/>
      <c r="P80" s="85"/>
      <c r="Q80" s="85"/>
      <c r="R80" s="85"/>
      <c r="S80" s="85"/>
      <c r="T80" s="92"/>
      <c r="U80" s="174"/>
      <c r="V80" s="87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85"/>
      <c r="BW80" s="85"/>
      <c r="BX80" s="85"/>
      <c r="BY80" s="85"/>
      <c r="BZ80" s="85"/>
      <c r="CA80" s="85"/>
      <c r="CB80" s="85"/>
      <c r="CC80" s="85"/>
      <c r="CD80" s="85"/>
      <c r="CE80" s="85"/>
      <c r="CF80" s="85"/>
      <c r="CG80" s="85"/>
      <c r="CH80" s="85"/>
      <c r="CI80" s="85"/>
      <c r="CJ80" s="85"/>
      <c r="CK80" s="85"/>
      <c r="CL80" s="85"/>
    </row>
    <row r="81" spans="1:90" ht="18">
      <c r="A81" s="85"/>
      <c r="B81" s="104"/>
      <c r="C81" s="85"/>
      <c r="D81" s="85"/>
      <c r="E81" s="85"/>
      <c r="F81" s="85"/>
      <c r="G81" s="85"/>
      <c r="H81" s="85"/>
      <c r="I81" s="85"/>
      <c r="J81" s="85"/>
      <c r="K81" s="29" t="s">
        <v>175</v>
      </c>
      <c r="L81" s="85">
        <f>IF(fc&lt;=4,0.85,MAX(0.85-(fc-4)*0.05,0.65))</f>
        <v>0.79999999999999993</v>
      </c>
      <c r="M81" s="85"/>
      <c r="N81" s="85"/>
      <c r="O81" s="85"/>
      <c r="P81" s="85"/>
      <c r="Q81" s="85"/>
      <c r="R81" s="29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85"/>
      <c r="BW81" s="85"/>
      <c r="BX81" s="85"/>
      <c r="BY81" s="85"/>
      <c r="BZ81" s="85"/>
      <c r="CA81" s="85"/>
      <c r="CB81" s="85"/>
      <c r="CC81" s="85"/>
      <c r="CD81" s="85"/>
      <c r="CE81" s="85"/>
      <c r="CF81" s="85"/>
      <c r="CG81" s="85"/>
      <c r="CH81" s="85"/>
      <c r="CI81" s="85"/>
      <c r="CJ81" s="85"/>
      <c r="CK81" s="85"/>
      <c r="CL81" s="85"/>
    </row>
    <row r="82" spans="1:90">
      <c r="A82" s="85"/>
      <c r="B82" s="104"/>
      <c r="C82" s="85"/>
      <c r="D82" s="85"/>
      <c r="E82" s="85"/>
      <c r="F82" s="85"/>
      <c r="G82" s="85"/>
      <c r="H82" s="85"/>
      <c r="I82" s="85"/>
      <c r="J82" s="85"/>
      <c r="K82" s="29" t="s">
        <v>140</v>
      </c>
      <c r="L82" s="85">
        <v>5</v>
      </c>
      <c r="M82" s="85"/>
      <c r="N82" s="85"/>
      <c r="O82" s="85"/>
      <c r="P82" s="85"/>
      <c r="Q82" s="85"/>
      <c r="R82" s="85"/>
      <c r="S82" s="85"/>
      <c r="T82" s="129"/>
      <c r="U82" s="85"/>
      <c r="V82" s="87"/>
      <c r="W82" s="85"/>
      <c r="X82" s="85"/>
      <c r="Y82" s="85"/>
      <c r="Z82" s="85"/>
      <c r="AA82" s="29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85"/>
      <c r="BW82" s="85"/>
      <c r="BX82" s="85"/>
      <c r="BY82" s="85"/>
      <c r="BZ82" s="85"/>
      <c r="CA82" s="85"/>
      <c r="CB82" s="85"/>
      <c r="CC82" s="85"/>
      <c r="CD82" s="85"/>
      <c r="CE82" s="85"/>
      <c r="CF82" s="85"/>
      <c r="CG82" s="85"/>
      <c r="CH82" s="85"/>
      <c r="CI82" s="85"/>
      <c r="CJ82" s="85"/>
      <c r="CK82" s="85"/>
      <c r="CL82" s="85"/>
    </row>
    <row r="83" spans="1:90" ht="18">
      <c r="A83" s="85"/>
      <c r="B83" s="104"/>
      <c r="C83" s="85"/>
      <c r="D83" s="85"/>
      <c r="E83" s="85"/>
      <c r="F83" s="85"/>
      <c r="G83" s="85"/>
      <c r="H83" s="85"/>
      <c r="I83" s="85"/>
      <c r="J83" s="85"/>
      <c r="K83" s="29" t="s">
        <v>176</v>
      </c>
      <c r="L83" s="104">
        <f>L82/8</f>
        <v>0.625</v>
      </c>
      <c r="M83" s="85" t="s">
        <v>10</v>
      </c>
      <c r="N83" s="85"/>
      <c r="O83" s="85"/>
      <c r="P83" s="85"/>
      <c r="Q83" s="85"/>
      <c r="R83" s="85"/>
      <c r="S83" s="85"/>
      <c r="T83" s="126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85"/>
      <c r="AS83" s="85"/>
      <c r="AT83" s="85"/>
      <c r="AU83" s="85"/>
      <c r="AV83" s="85"/>
      <c r="AW83" s="85"/>
      <c r="AX83" s="85"/>
      <c r="AY83" s="85"/>
      <c r="AZ83" s="85"/>
      <c r="BA83" s="85"/>
      <c r="BB83" s="85"/>
      <c r="BC83" s="85"/>
      <c r="BD83" s="85"/>
      <c r="BE83" s="85"/>
      <c r="BF83" s="85"/>
      <c r="BG83" s="85"/>
      <c r="BH83" s="85"/>
      <c r="BI83" s="85"/>
      <c r="BJ83" s="85"/>
      <c r="BK83" s="85"/>
      <c r="BL83" s="85"/>
      <c r="BM83" s="85"/>
      <c r="BN83" s="85"/>
      <c r="BO83" s="85"/>
      <c r="BP83" s="85"/>
      <c r="BQ83" s="85"/>
      <c r="BR83" s="85"/>
      <c r="BS83" s="85"/>
      <c r="BT83" s="85"/>
      <c r="BU83" s="85"/>
      <c r="BV83" s="85"/>
      <c r="BW83" s="85"/>
      <c r="BX83" s="85"/>
      <c r="BY83" s="85"/>
      <c r="BZ83" s="85"/>
      <c r="CA83" s="85"/>
      <c r="CB83" s="85"/>
      <c r="CC83" s="85"/>
      <c r="CD83" s="85"/>
      <c r="CE83" s="85"/>
      <c r="CF83" s="85"/>
      <c r="CG83" s="85"/>
      <c r="CH83" s="85"/>
      <c r="CI83" s="85"/>
      <c r="CJ83" s="85"/>
      <c r="CK83" s="85"/>
      <c r="CL83" s="85"/>
    </row>
    <row r="84" spans="1:90" ht="18.75">
      <c r="A84" s="85"/>
      <c r="B84" s="104"/>
      <c r="C84" s="85"/>
      <c r="D84" s="85"/>
      <c r="E84" s="85"/>
      <c r="F84" s="85"/>
      <c r="G84" s="85"/>
      <c r="H84" s="85"/>
      <c r="I84" s="85"/>
      <c r="J84" s="85"/>
      <c r="K84" s="29" t="s">
        <v>177</v>
      </c>
      <c r="L84" s="104">
        <f>0.25*PI()*L83^2</f>
        <v>0.30679615757712825</v>
      </c>
      <c r="M84" s="85" t="s">
        <v>166</v>
      </c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  <c r="AY84" s="85"/>
      <c r="AZ84" s="85"/>
      <c r="BA84" s="85"/>
      <c r="BB84" s="85"/>
      <c r="BC84" s="85"/>
      <c r="BD84" s="85"/>
      <c r="BE84" s="85"/>
      <c r="BF84" s="85"/>
      <c r="BG84" s="85"/>
      <c r="BH84" s="85"/>
      <c r="BI84" s="85"/>
      <c r="BJ84" s="85"/>
      <c r="BK84" s="85"/>
      <c r="BL84" s="85"/>
      <c r="BM84" s="85"/>
      <c r="BN84" s="85"/>
      <c r="BO84" s="85"/>
      <c r="BP84" s="85"/>
      <c r="BQ84" s="85"/>
      <c r="BR84" s="85"/>
      <c r="BS84" s="85"/>
      <c r="BT84" s="85"/>
      <c r="BU84" s="85"/>
      <c r="BV84" s="85"/>
      <c r="BW84" s="85"/>
      <c r="BX84" s="85"/>
      <c r="BY84" s="85"/>
      <c r="BZ84" s="85"/>
      <c r="CA84" s="85"/>
      <c r="CB84" s="85"/>
      <c r="CC84" s="85"/>
      <c r="CD84" s="85"/>
      <c r="CE84" s="85"/>
      <c r="CF84" s="85"/>
      <c r="CG84" s="85"/>
      <c r="CH84" s="85"/>
      <c r="CI84" s="85"/>
      <c r="CJ84" s="85"/>
      <c r="CK84" s="85"/>
      <c r="CL84" s="85"/>
    </row>
    <row r="85" spans="1:90">
      <c r="A85" s="85"/>
      <c r="B85" s="104"/>
      <c r="C85" s="85"/>
      <c r="D85" s="85"/>
      <c r="E85" s="85"/>
      <c r="F85" s="85"/>
      <c r="G85" s="85"/>
      <c r="H85" s="85"/>
      <c r="I85" s="85"/>
      <c r="J85" s="85"/>
      <c r="K85" s="29" t="s">
        <v>41</v>
      </c>
      <c r="L85" s="104">
        <v>6</v>
      </c>
      <c r="M85" s="85" t="s">
        <v>10</v>
      </c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85"/>
      <c r="BW85" s="85"/>
      <c r="BX85" s="85"/>
      <c r="BY85" s="85"/>
      <c r="BZ85" s="85"/>
      <c r="CA85" s="85"/>
      <c r="CB85" s="85"/>
      <c r="CC85" s="85"/>
      <c r="CD85" s="85"/>
      <c r="CE85" s="85"/>
      <c r="CF85" s="85"/>
      <c r="CG85" s="85"/>
      <c r="CH85" s="85"/>
      <c r="CI85" s="85"/>
      <c r="CJ85" s="85"/>
      <c r="CK85" s="85"/>
      <c r="CL85" s="85"/>
    </row>
    <row r="86" spans="1:90" ht="17.25">
      <c r="A86" s="85"/>
      <c r="B86" s="104"/>
      <c r="C86" s="85"/>
      <c r="D86" s="85"/>
      <c r="E86" s="85"/>
      <c r="F86" s="85"/>
      <c r="G86" s="85"/>
      <c r="H86" s="85"/>
      <c r="I86" s="85"/>
      <c r="J86" s="85"/>
      <c r="K86" s="29" t="s">
        <v>143</v>
      </c>
      <c r="L86" s="104">
        <f>L84*12/L85</f>
        <v>0.6135923151542565</v>
      </c>
      <c r="M86" s="85" t="s">
        <v>166</v>
      </c>
      <c r="N86" s="85"/>
      <c r="O86" s="85"/>
      <c r="P86" s="85"/>
      <c r="Q86" s="85"/>
      <c r="R86" s="85"/>
      <c r="S86" s="85"/>
      <c r="T86" s="121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85"/>
      <c r="BW86" s="85"/>
      <c r="BX86" s="85"/>
      <c r="BY86" s="85"/>
      <c r="BZ86" s="85"/>
      <c r="CA86" s="85"/>
      <c r="CB86" s="85"/>
      <c r="CC86" s="85"/>
      <c r="CD86" s="85"/>
      <c r="CE86" s="85"/>
      <c r="CF86" s="85"/>
      <c r="CG86" s="85"/>
      <c r="CH86" s="85"/>
      <c r="CI86" s="85"/>
      <c r="CJ86" s="85"/>
      <c r="CK86" s="85"/>
      <c r="CL86" s="85"/>
    </row>
    <row r="87" spans="1:90">
      <c r="A87" s="85"/>
      <c r="B87" s="104"/>
      <c r="C87" s="85"/>
      <c r="D87" s="85"/>
      <c r="E87" s="85"/>
      <c r="F87" s="85"/>
      <c r="G87" s="85"/>
      <c r="H87" s="85"/>
      <c r="I87" s="85"/>
      <c r="J87" s="85"/>
      <c r="K87" s="29" t="s">
        <v>144</v>
      </c>
      <c r="L87" s="104">
        <f>As*fy/(0.85*beta_1*fc*b_eff)</f>
        <v>0.28874932477847365</v>
      </c>
      <c r="M87" s="85" t="s">
        <v>10</v>
      </c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85"/>
      <c r="BW87" s="85"/>
      <c r="BX87" s="85"/>
      <c r="BY87" s="85"/>
      <c r="BZ87" s="85"/>
      <c r="CA87" s="85"/>
      <c r="CB87" s="85"/>
      <c r="CC87" s="85"/>
      <c r="CD87" s="85"/>
      <c r="CE87" s="85"/>
      <c r="CF87" s="85"/>
      <c r="CG87" s="85"/>
      <c r="CH87" s="85"/>
      <c r="CI87" s="85"/>
      <c r="CJ87" s="85"/>
      <c r="CK87" s="85"/>
      <c r="CL87" s="85"/>
    </row>
    <row r="88" spans="1:90">
      <c r="A88" s="85"/>
      <c r="B88" s="104"/>
      <c r="C88" s="85"/>
      <c r="D88" s="85"/>
      <c r="E88" s="85"/>
      <c r="F88" s="85"/>
      <c r="G88" s="85"/>
      <c r="H88" s="85"/>
      <c r="I88" s="85"/>
      <c r="J88" s="85"/>
      <c r="K88" s="29" t="s">
        <v>95</v>
      </c>
      <c r="L88" s="104">
        <f>conc_c*beta_1</f>
        <v>0.23099945982277889</v>
      </c>
      <c r="M88" s="85" t="s">
        <v>10</v>
      </c>
      <c r="N88" s="85"/>
      <c r="O88" s="85"/>
      <c r="P88" s="85"/>
      <c r="Q88" s="85"/>
      <c r="R88" s="85"/>
      <c r="S88" s="85"/>
      <c r="T88" s="85"/>
      <c r="U88" s="171"/>
      <c r="V88" s="171"/>
      <c r="W88" s="171"/>
      <c r="X88" s="171"/>
      <c r="Y88" s="171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85"/>
      <c r="BW88" s="85"/>
      <c r="BX88" s="85"/>
      <c r="BY88" s="85"/>
      <c r="BZ88" s="85"/>
      <c r="CA88" s="85"/>
      <c r="CB88" s="85"/>
      <c r="CC88" s="85"/>
      <c r="CD88" s="85"/>
      <c r="CE88" s="85"/>
      <c r="CF88" s="85"/>
      <c r="CG88" s="85"/>
      <c r="CH88" s="85"/>
      <c r="CI88" s="85"/>
      <c r="CJ88" s="85"/>
      <c r="CK88" s="85"/>
      <c r="CL88" s="85"/>
    </row>
    <row r="89" spans="1:90">
      <c r="A89" s="85"/>
      <c r="B89" s="104"/>
      <c r="C89" s="85"/>
      <c r="D89" s="85"/>
      <c r="E89" s="85"/>
      <c r="F89" s="85"/>
      <c r="G89" s="85"/>
      <c r="H89" s="85"/>
      <c r="I89" s="85"/>
      <c r="J89" s="85"/>
      <c r="K89" s="29" t="s">
        <v>145</v>
      </c>
      <c r="L89" s="85">
        <v>2</v>
      </c>
      <c r="M89" s="85" t="s">
        <v>10</v>
      </c>
      <c r="N89" s="85"/>
      <c r="O89" s="85"/>
      <c r="P89" s="85"/>
      <c r="Q89" s="85"/>
      <c r="R89" s="85"/>
      <c r="S89" s="85"/>
      <c r="T89" s="85"/>
      <c r="U89" s="171"/>
      <c r="V89" s="171"/>
      <c r="W89" s="171"/>
      <c r="X89" s="171"/>
      <c r="Y89" s="171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85"/>
      <c r="BW89" s="85"/>
      <c r="BX89" s="85"/>
      <c r="BY89" s="85"/>
      <c r="BZ89" s="85"/>
      <c r="CA89" s="85"/>
      <c r="CB89" s="85"/>
      <c r="CC89" s="85"/>
      <c r="CD89" s="85"/>
      <c r="CE89" s="85"/>
      <c r="CF89" s="85"/>
      <c r="CG89" s="85"/>
      <c r="CH89" s="85"/>
      <c r="CI89" s="85"/>
      <c r="CJ89" s="85"/>
      <c r="CK89" s="85"/>
      <c r="CL89" s="85"/>
    </row>
    <row r="90" spans="1:90">
      <c r="A90" s="85"/>
      <c r="B90" s="104"/>
      <c r="C90" s="85"/>
      <c r="D90" s="85"/>
      <c r="E90" s="85"/>
      <c r="F90" s="85"/>
      <c r="G90" s="85"/>
      <c r="H90" s="85"/>
      <c r="I90" s="85"/>
      <c r="J90" s="85"/>
      <c r="K90" s="29" t="s">
        <v>146</v>
      </c>
      <c r="L90" s="104">
        <f>L89+L83/2</f>
        <v>2.3125</v>
      </c>
      <c r="M90" s="85" t="s">
        <v>10</v>
      </c>
      <c r="N90" s="85"/>
      <c r="O90" s="85"/>
      <c r="P90" s="85"/>
      <c r="Q90" s="85"/>
      <c r="R90" s="29" t="s">
        <v>147</v>
      </c>
      <c r="S90" s="85"/>
      <c r="T90" s="29"/>
      <c r="U90" s="85"/>
      <c r="V90" s="85"/>
      <c r="W90" s="85"/>
      <c r="X90" s="85"/>
      <c r="Y90" s="104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85"/>
      <c r="AZ90" s="85"/>
      <c r="BA90" s="85"/>
      <c r="BB90" s="85"/>
      <c r="BC90" s="85"/>
      <c r="BD90" s="85"/>
      <c r="BE90" s="85"/>
      <c r="BF90" s="85"/>
      <c r="BG90" s="85"/>
      <c r="BH90" s="85"/>
      <c r="BI90" s="85"/>
      <c r="BJ90" s="85"/>
      <c r="BK90" s="85"/>
      <c r="BL90" s="85"/>
      <c r="BM90" s="85"/>
      <c r="BN90" s="85"/>
      <c r="BO90" s="85"/>
      <c r="BP90" s="85"/>
      <c r="BQ90" s="85"/>
      <c r="BR90" s="85"/>
      <c r="BS90" s="85"/>
      <c r="BT90" s="85"/>
      <c r="BU90" s="85"/>
      <c r="BV90" s="85"/>
      <c r="BW90" s="85"/>
      <c r="BX90" s="85"/>
      <c r="BY90" s="85"/>
      <c r="BZ90" s="85"/>
      <c r="CA90" s="85"/>
      <c r="CB90" s="85"/>
      <c r="CC90" s="85"/>
      <c r="CD90" s="85"/>
      <c r="CE90" s="85"/>
      <c r="CF90" s="85"/>
      <c r="CG90" s="85"/>
      <c r="CH90" s="85"/>
      <c r="CI90" s="85"/>
      <c r="CJ90" s="85"/>
      <c r="CK90" s="85"/>
      <c r="CL90" s="85"/>
    </row>
    <row r="91" spans="1:90">
      <c r="A91" s="85"/>
      <c r="B91" s="104"/>
      <c r="C91" s="85"/>
      <c r="D91" s="85"/>
      <c r="E91" s="85"/>
      <c r="F91" s="85"/>
      <c r="G91" s="85"/>
      <c r="H91" s="85"/>
      <c r="I91" s="85"/>
      <c r="J91" s="85"/>
      <c r="K91" s="29" t="s">
        <v>148</v>
      </c>
      <c r="L91" s="85">
        <f>C20</f>
        <v>6</v>
      </c>
      <c r="M91" s="85" t="s">
        <v>10</v>
      </c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85"/>
      <c r="AZ91" s="85"/>
      <c r="BA91" s="85"/>
      <c r="BB91" s="85"/>
      <c r="BC91" s="85"/>
      <c r="BD91" s="85"/>
      <c r="BE91" s="85"/>
      <c r="BF91" s="85"/>
      <c r="BG91" s="85"/>
      <c r="BH91" s="85"/>
      <c r="BI91" s="85"/>
      <c r="BJ91" s="85"/>
      <c r="BK91" s="85"/>
      <c r="BL91" s="85"/>
      <c r="BM91" s="85"/>
      <c r="BN91" s="85"/>
      <c r="BO91" s="85"/>
      <c r="BP91" s="85"/>
      <c r="BQ91" s="85"/>
      <c r="BR91" s="85"/>
      <c r="BS91" s="85"/>
      <c r="BT91" s="85"/>
      <c r="BU91" s="85"/>
      <c r="BV91" s="85"/>
      <c r="BW91" s="85"/>
      <c r="BX91" s="85"/>
      <c r="BY91" s="85"/>
      <c r="BZ91" s="85"/>
      <c r="CA91" s="85"/>
      <c r="CB91" s="85"/>
      <c r="CC91" s="85"/>
      <c r="CD91" s="85"/>
      <c r="CE91" s="85"/>
      <c r="CF91" s="85"/>
      <c r="CG91" s="85"/>
      <c r="CH91" s="85"/>
      <c r="CI91" s="85"/>
      <c r="CJ91" s="85"/>
      <c r="CK91" s="85"/>
      <c r="CL91" s="85"/>
    </row>
    <row r="92" spans="1:90">
      <c r="A92" s="85"/>
      <c r="B92" s="104"/>
      <c r="C92" s="85"/>
      <c r="D92" s="85"/>
      <c r="E92" s="85"/>
      <c r="F92" s="85"/>
      <c r="G92" s="85"/>
      <c r="H92" s="85"/>
      <c r="I92" s="85"/>
      <c r="J92" s="85"/>
      <c r="K92" s="29" t="s">
        <v>149</v>
      </c>
      <c r="L92" s="104">
        <f>h-Y</f>
        <v>3.6875</v>
      </c>
      <c r="M92" s="85" t="s">
        <v>10</v>
      </c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85"/>
      <c r="BW92" s="85"/>
      <c r="BX92" s="85"/>
      <c r="BY92" s="85"/>
      <c r="BZ92" s="85"/>
      <c r="CA92" s="85"/>
      <c r="CB92" s="85"/>
      <c r="CC92" s="85"/>
      <c r="CD92" s="85"/>
      <c r="CE92" s="85"/>
      <c r="CF92" s="85"/>
      <c r="CG92" s="85"/>
      <c r="CH92" s="85"/>
      <c r="CI92" s="85"/>
      <c r="CJ92" s="85"/>
      <c r="CK92" s="85"/>
      <c r="CL92" s="85"/>
    </row>
    <row r="93" spans="1:90" ht="18">
      <c r="A93" s="85"/>
      <c r="B93" s="104"/>
      <c r="C93" s="85"/>
      <c r="D93" s="85"/>
      <c r="E93" s="85"/>
      <c r="F93" s="85"/>
      <c r="G93" s="85"/>
      <c r="H93" s="85"/>
      <c r="I93" s="85"/>
      <c r="J93" s="85"/>
      <c r="K93" s="29" t="s">
        <v>178</v>
      </c>
      <c r="L93" s="104">
        <f>As*fy*(ds-a_conc/2)/12</f>
        <v>3.50680306472848</v>
      </c>
      <c r="M93" s="85" t="s">
        <v>133</v>
      </c>
      <c r="N93" s="85"/>
      <c r="O93" s="85"/>
      <c r="P93" s="85"/>
      <c r="Q93" s="85"/>
      <c r="R93" s="85"/>
      <c r="S93" s="130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85"/>
      <c r="BW93" s="85"/>
      <c r="BX93" s="85"/>
      <c r="BY93" s="85"/>
      <c r="BZ93" s="85"/>
      <c r="CA93" s="85"/>
      <c r="CB93" s="85"/>
      <c r="CC93" s="85"/>
      <c r="CD93" s="85"/>
      <c r="CE93" s="85"/>
      <c r="CF93" s="85"/>
      <c r="CG93" s="85"/>
      <c r="CH93" s="85"/>
      <c r="CI93" s="85"/>
      <c r="CJ93" s="85"/>
      <c r="CK93" s="85"/>
      <c r="CL93" s="85"/>
    </row>
    <row r="94" spans="1:90" ht="18">
      <c r="A94" s="85"/>
      <c r="B94" s="104"/>
      <c r="C94" s="85"/>
      <c r="D94" s="85"/>
      <c r="E94" s="85"/>
      <c r="F94" s="85"/>
      <c r="G94" s="85"/>
      <c r="H94" s="85"/>
      <c r="I94" s="85"/>
      <c r="J94" s="85"/>
      <c r="K94" s="29" t="s">
        <v>179</v>
      </c>
      <c r="L94" s="85">
        <v>0.9</v>
      </c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85"/>
      <c r="BW94" s="85"/>
      <c r="BX94" s="85"/>
      <c r="BY94" s="85"/>
      <c r="BZ94" s="85"/>
      <c r="CA94" s="85"/>
      <c r="CB94" s="85"/>
      <c r="CC94" s="85"/>
      <c r="CD94" s="85"/>
      <c r="CE94" s="85"/>
      <c r="CF94" s="85"/>
      <c r="CG94" s="85"/>
      <c r="CH94" s="85"/>
      <c r="CI94" s="85"/>
      <c r="CJ94" s="85"/>
      <c r="CK94" s="85"/>
      <c r="CL94" s="85"/>
    </row>
    <row r="95" spans="1:90" ht="18">
      <c r="A95" s="85"/>
      <c r="B95" s="104"/>
      <c r="C95" s="85"/>
      <c r="D95" s="85"/>
      <c r="E95" s="85"/>
      <c r="F95" s="85"/>
      <c r="G95" s="85"/>
      <c r="H95" s="85"/>
      <c r="I95" s="85"/>
      <c r="J95" s="85"/>
      <c r="K95" s="85" t="s">
        <v>180</v>
      </c>
      <c r="L95" s="104">
        <f>L94*Mn</f>
        <v>3.1561227582556319</v>
      </c>
      <c r="M95" s="85" t="s">
        <v>133</v>
      </c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85"/>
      <c r="BW95" s="85"/>
      <c r="BX95" s="85"/>
      <c r="BY95" s="85"/>
      <c r="BZ95" s="85"/>
      <c r="CA95" s="85"/>
      <c r="CB95" s="85"/>
      <c r="CC95" s="85"/>
      <c r="CD95" s="85"/>
      <c r="CE95" s="85"/>
      <c r="CF95" s="85"/>
      <c r="CG95" s="85"/>
      <c r="CH95" s="85"/>
      <c r="CI95" s="85"/>
      <c r="CJ95" s="85"/>
      <c r="CK95" s="85"/>
      <c r="CL95" s="85"/>
    </row>
    <row r="96" spans="1:90">
      <c r="A96" s="85"/>
      <c r="B96" s="104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85"/>
      <c r="BW96" s="85"/>
      <c r="BX96" s="85"/>
      <c r="BY96" s="85"/>
      <c r="BZ96" s="85"/>
      <c r="CA96" s="85"/>
      <c r="CB96" s="85"/>
      <c r="CC96" s="85"/>
      <c r="CD96" s="85"/>
      <c r="CE96" s="85"/>
      <c r="CF96" s="85"/>
      <c r="CG96" s="85"/>
      <c r="CH96" s="85"/>
      <c r="CI96" s="85"/>
      <c r="CJ96" s="85"/>
      <c r="CK96" s="85"/>
      <c r="CL96" s="85"/>
    </row>
    <row r="97" spans="1:90">
      <c r="A97" s="85"/>
      <c r="B97" s="104"/>
      <c r="C97" s="85"/>
      <c r="D97" s="85"/>
      <c r="E97" s="85"/>
      <c r="F97" s="85"/>
      <c r="G97" s="85"/>
      <c r="H97" s="85"/>
      <c r="I97" s="85"/>
      <c r="J97" s="85"/>
      <c r="K97" s="85">
        <f>Y</f>
        <v>2.3125</v>
      </c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85"/>
      <c r="BW97" s="85"/>
      <c r="BX97" s="85"/>
      <c r="BY97" s="85"/>
      <c r="BZ97" s="85"/>
      <c r="CA97" s="85"/>
      <c r="CB97" s="85"/>
      <c r="CC97" s="85"/>
      <c r="CD97" s="85"/>
      <c r="CE97" s="85"/>
      <c r="CF97" s="85"/>
      <c r="CG97" s="85"/>
      <c r="CH97" s="85"/>
      <c r="CI97" s="85"/>
      <c r="CJ97" s="85"/>
      <c r="CK97" s="85"/>
      <c r="CL97" s="85"/>
    </row>
  </sheetData>
  <mergeCells count="54">
    <mergeCell ref="A38:B39"/>
    <mergeCell ref="A37:B37"/>
    <mergeCell ref="A40:B40"/>
    <mergeCell ref="A41:B41"/>
    <mergeCell ref="Y88:Y89"/>
    <mergeCell ref="A45:I47"/>
    <mergeCell ref="S45:AA47"/>
    <mergeCell ref="J56:K57"/>
    <mergeCell ref="L56:L57"/>
    <mergeCell ref="M56:M57"/>
    <mergeCell ref="U76:U77"/>
    <mergeCell ref="U79:U80"/>
    <mergeCell ref="U88:U89"/>
    <mergeCell ref="V88:V89"/>
    <mergeCell ref="W88:W89"/>
    <mergeCell ref="X88:X89"/>
    <mergeCell ref="A31:B31"/>
    <mergeCell ref="A32:B32"/>
    <mergeCell ref="A33:B33"/>
    <mergeCell ref="A35:B35"/>
    <mergeCell ref="A36:B36"/>
    <mergeCell ref="A34:B34"/>
    <mergeCell ref="E26:F26"/>
    <mergeCell ref="A27:B27"/>
    <mergeCell ref="A28:B28"/>
    <mergeCell ref="A30:B30"/>
    <mergeCell ref="F30:G30"/>
    <mergeCell ref="A29:B29"/>
    <mergeCell ref="A26:B26"/>
    <mergeCell ref="B1:E1"/>
    <mergeCell ref="K1:N1"/>
    <mergeCell ref="T1:W1"/>
    <mergeCell ref="B4:E4"/>
    <mergeCell ref="K4:N4"/>
    <mergeCell ref="T4:W4"/>
    <mergeCell ref="B3:E3"/>
    <mergeCell ref="K3:N3"/>
    <mergeCell ref="T3:W3"/>
    <mergeCell ref="S26:S27"/>
    <mergeCell ref="Y42:Z42"/>
    <mergeCell ref="B2:E2"/>
    <mergeCell ref="K2:N2"/>
    <mergeCell ref="T2:W2"/>
    <mergeCell ref="E25:F25"/>
    <mergeCell ref="A6:I6"/>
    <mergeCell ref="J6:R6"/>
    <mergeCell ref="S6:T6"/>
    <mergeCell ref="S13:T13"/>
    <mergeCell ref="A20:B20"/>
    <mergeCell ref="A21:B21"/>
    <mergeCell ref="A22:B22"/>
    <mergeCell ref="A23:B23"/>
    <mergeCell ref="A24:B24"/>
    <mergeCell ref="A25:B25"/>
  </mergeCells>
  <pageMargins left="0.7" right="0.7" top="0.75" bottom="0.75" header="0.3" footer="0.3"/>
  <pageSetup orientation="portrait" r:id="rId1"/>
  <colBreaks count="1" manualBreakCount="1">
    <brk id="9" max="41" man="1"/>
  </colBreaks>
  <drawing r:id="rId2"/>
  <legacyDrawing r:id="rId3"/>
  <oleObjects>
    <oleObject progId="Equation.3" shapeId="2056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size="35" baseType="lpstr">
      <vt:lpstr>Roadway Deck Rating</vt:lpstr>
      <vt:lpstr>Sidewalk Deck Rating</vt:lpstr>
      <vt:lpstr>'Sidewalk Deck Rating'!a_conc</vt:lpstr>
      <vt:lpstr>a_conc</vt:lpstr>
      <vt:lpstr>'Sidewalk Deck Rating'!As</vt:lpstr>
      <vt:lpstr>As</vt:lpstr>
      <vt:lpstr>'Sidewalk Deck Rating'!As_1</vt:lpstr>
      <vt:lpstr>As_1</vt:lpstr>
      <vt:lpstr>'Sidewalk Deck Rating'!b_eff</vt:lpstr>
      <vt:lpstr>b_eff</vt:lpstr>
      <vt:lpstr>'Sidewalk Deck Rating'!beta_1</vt:lpstr>
      <vt:lpstr>beta_1</vt:lpstr>
      <vt:lpstr>'Sidewalk Deck Rating'!conc_c</vt:lpstr>
      <vt:lpstr>conc_c</vt:lpstr>
      <vt:lpstr>'Sidewalk Deck Rating'!ds</vt:lpstr>
      <vt:lpstr>ds</vt:lpstr>
      <vt:lpstr>'Sidewalk Deck Rating'!fc</vt:lpstr>
      <vt:lpstr>fc</vt:lpstr>
      <vt:lpstr>'Sidewalk Deck Rating'!fy</vt:lpstr>
      <vt:lpstr>fy</vt:lpstr>
      <vt:lpstr>'Sidewalk Deck Rating'!h</vt:lpstr>
      <vt:lpstr>h</vt:lpstr>
      <vt:lpstr>'Sidewalk Deck Rating'!Mdc</vt:lpstr>
      <vt:lpstr>Mdc</vt:lpstr>
      <vt:lpstr>MLL</vt:lpstr>
      <vt:lpstr>'Sidewalk Deck Rating'!Mn</vt:lpstr>
      <vt:lpstr>Mn</vt:lpstr>
      <vt:lpstr>'Sidewalk Deck Rating'!Mws</vt:lpstr>
      <vt:lpstr>Mws</vt:lpstr>
      <vt:lpstr>'Sidewalk Deck Rating'!n</vt:lpstr>
      <vt:lpstr>n</vt:lpstr>
      <vt:lpstr>'Roadway Deck Rating'!Print_Area</vt:lpstr>
      <vt:lpstr>'Sidewalk Deck Rating'!Print_Area</vt:lpstr>
      <vt:lpstr>'Sidewalk Deck Rating'!Y</vt:lpstr>
      <vt:lpstr>Y</vt:lpstr>
    </vt:vector>
  </TitlesOfParts>
  <Company>STV Incorporated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 Nikolo</dc:creator>
  <cp:lastModifiedBy>AnaClara Gouveia</cp:lastModifiedBy>
  <cp:lastPrinted>2012-03-28T17:01:44Z</cp:lastPrinted>
  <dcterms:created xsi:type="dcterms:W3CDTF">2010-08-04T14:43:55Z</dcterms:created>
  <dcterms:modified xsi:type="dcterms:W3CDTF">2015-08-31T21:19:36Z</dcterms:modified>
</cp:coreProperties>
</file>