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5560" yWindow="15" windowWidth="24090" windowHeight="11775"/>
  </bookViews>
  <sheets>
    <sheet name="Exterior Floorbeam" sheetId="1" r:id="rId1"/>
    <sheet name="Interior Floorbeam" sheetId="2" r:id="rId2"/>
  </sheets>
  <externalReferences>
    <externalReference r:id="rId3"/>
    <externalReference r:id="rId4"/>
  </externalReferences>
  <calcPr calcId="125725"/>
</workbook>
</file>

<file path=xl/calcChain.xml><?xml version="1.0" encoding="utf-8"?>
<calcChain xmlns="http://schemas.openxmlformats.org/spreadsheetml/2006/main">
  <c r="E56" i="2"/>
  <c r="N56" s="1"/>
  <c r="W56" s="1"/>
  <c r="AF56" s="1"/>
  <c r="AO56" s="1"/>
  <c r="AX56" s="1"/>
  <c r="E57" i="1"/>
  <c r="N57" s="1"/>
  <c r="W57" s="1"/>
  <c r="AF57" s="1"/>
  <c r="AO57" s="1"/>
  <c r="AX57" s="1"/>
  <c r="L31" i="2"/>
  <c r="L30"/>
  <c r="AO15"/>
  <c r="AP15"/>
  <c r="AP14"/>
  <c r="AO14"/>
  <c r="AO13"/>
  <c r="AP13"/>
  <c r="AP12"/>
  <c r="AO12"/>
  <c r="AP15" i="1"/>
  <c r="AO15"/>
  <c r="AP14"/>
  <c r="AO14"/>
  <c r="AP13"/>
  <c r="AO13"/>
  <c r="AP12"/>
  <c r="AO12"/>
  <c r="L14" i="2"/>
  <c r="L15"/>
  <c r="L11"/>
  <c r="L10"/>
  <c r="L13" i="1"/>
  <c r="L14"/>
  <c r="C12" i="2"/>
  <c r="F39" i="1" l="1"/>
  <c r="C23"/>
  <c r="G22"/>
  <c r="C22"/>
  <c r="C42" s="1"/>
  <c r="C17"/>
  <c r="C18" s="1"/>
  <c r="C15"/>
  <c r="D43" s="1"/>
  <c r="G14"/>
  <c r="C14"/>
  <c r="C43" s="1"/>
  <c r="G13"/>
  <c r="C13"/>
  <c r="G12"/>
  <c r="C12"/>
  <c r="H43" s="1"/>
  <c r="G11"/>
  <c r="C11"/>
  <c r="B32" s="1"/>
  <c r="B43" s="1"/>
  <c r="G10"/>
  <c r="C10"/>
  <c r="H42" l="1"/>
  <c r="G15"/>
  <c r="E43"/>
  <c r="C44"/>
  <c r="D31"/>
  <c r="H31"/>
  <c r="D42"/>
  <c r="C19"/>
  <c r="C31"/>
  <c r="D32"/>
  <c r="H32"/>
  <c r="C32"/>
  <c r="E32" l="1"/>
  <c r="C33"/>
  <c r="E31"/>
  <c r="E42"/>
  <c r="E44" s="1"/>
  <c r="E45" s="1"/>
  <c r="E33" l="1"/>
  <c r="E34" s="1"/>
  <c r="F43" l="1"/>
  <c r="G43" s="1"/>
  <c r="F42"/>
  <c r="G42" s="1"/>
  <c r="F32"/>
  <c r="G32" s="1"/>
  <c r="F31"/>
  <c r="G31" s="1"/>
  <c r="H34" l="1"/>
  <c r="H45"/>
  <c r="C36" l="1"/>
  <c r="C35"/>
  <c r="C46"/>
  <c r="C47"/>
  <c r="R3" l="1"/>
  <c r="AA3" s="1"/>
  <c r="AJ3" s="1"/>
  <c r="AS3" s="1"/>
  <c r="BB3" s="1"/>
  <c r="BB3" i="2"/>
  <c r="AS3"/>
  <c r="AJ3"/>
  <c r="AA3"/>
  <c r="R3"/>
  <c r="L35"/>
  <c r="L36" s="1"/>
  <c r="L37"/>
  <c r="L38" s="1"/>
  <c r="AP3" i="1"/>
  <c r="AS2"/>
  <c r="AL2"/>
  <c r="AL1"/>
  <c r="L33"/>
  <c r="L34" s="1"/>
  <c r="L35"/>
  <c r="L36" s="1"/>
  <c r="C22" i="2" l="1"/>
  <c r="C23"/>
  <c r="G14"/>
  <c r="G13"/>
  <c r="G12"/>
  <c r="G11"/>
  <c r="G10"/>
  <c r="C17"/>
  <c r="C15"/>
  <c r="C14"/>
  <c r="C13"/>
  <c r="C11"/>
  <c r="C10"/>
  <c r="G22" l="1"/>
  <c r="N41" l="1"/>
  <c r="F39"/>
  <c r="C18"/>
  <c r="C43"/>
  <c r="N20"/>
  <c r="H32"/>
  <c r="B32"/>
  <c r="B43" s="1"/>
  <c r="K4"/>
  <c r="AC4" s="1"/>
  <c r="AU4" s="1"/>
  <c r="F4"/>
  <c r="O4" s="1"/>
  <c r="O3"/>
  <c r="AG3" s="1"/>
  <c r="AY3" s="1"/>
  <c r="K3"/>
  <c r="T2"/>
  <c r="AL2" s="1"/>
  <c r="R2"/>
  <c r="AJ2" s="1"/>
  <c r="BB2" s="1"/>
  <c r="K2"/>
  <c r="AC2" s="1"/>
  <c r="AU2" s="1"/>
  <c r="K1"/>
  <c r="AC1" s="1"/>
  <c r="AU1" s="1"/>
  <c r="T4" l="1"/>
  <c r="AL4" s="1"/>
  <c r="T1"/>
  <c r="AL1" s="1"/>
  <c r="AA2"/>
  <c r="AS2" s="1"/>
  <c r="X3"/>
  <c r="AP3" s="1"/>
  <c r="T3"/>
  <c r="AL3" s="1"/>
  <c r="AC3"/>
  <c r="AU3" s="1"/>
  <c r="X4"/>
  <c r="AP4" s="1"/>
  <c r="AG4"/>
  <c r="AY4" s="1"/>
  <c r="G15"/>
  <c r="AQ12" s="1"/>
  <c r="AN22" s="1"/>
  <c r="AW14" s="1"/>
  <c r="C42"/>
  <c r="C44" s="1"/>
  <c r="D31"/>
  <c r="H31"/>
  <c r="C32"/>
  <c r="C19"/>
  <c r="D42"/>
  <c r="H42"/>
  <c r="D43"/>
  <c r="E43" s="1"/>
  <c r="H43"/>
  <c r="C31"/>
  <c r="D32"/>
  <c r="K1" i="1"/>
  <c r="T1" s="1"/>
  <c r="AC1" s="1"/>
  <c r="AU1" s="1"/>
  <c r="K2"/>
  <c r="T2" s="1"/>
  <c r="AC2" s="1"/>
  <c r="AU2" s="1"/>
  <c r="R2"/>
  <c r="AA2" s="1"/>
  <c r="AJ2" s="1"/>
  <c r="BB2" s="1"/>
  <c r="K3"/>
  <c r="T3" s="1"/>
  <c r="AC3" s="1"/>
  <c r="O3"/>
  <c r="X3" s="1"/>
  <c r="AG3" s="1"/>
  <c r="AY3" s="1"/>
  <c r="F4"/>
  <c r="O4" s="1"/>
  <c r="X4" s="1"/>
  <c r="AG4" s="1"/>
  <c r="K4"/>
  <c r="T4" s="1"/>
  <c r="AC4" s="1"/>
  <c r="N18"/>
  <c r="AU3" l="1"/>
  <c r="AL3"/>
  <c r="AU4"/>
  <c r="AL4"/>
  <c r="AQ15" i="2"/>
  <c r="AQ13"/>
  <c r="AQ14"/>
  <c r="AY4" i="1"/>
  <c r="AP4"/>
  <c r="N39"/>
  <c r="P44" i="2"/>
  <c r="N44"/>
  <c r="N19"/>
  <c r="P19" s="1"/>
  <c r="E32"/>
  <c r="E31"/>
  <c r="C33"/>
  <c r="E42"/>
  <c r="E44" s="1"/>
  <c r="E45" s="1"/>
  <c r="U18" l="1"/>
  <c r="N42" i="1"/>
  <c r="AQ12"/>
  <c r="AQ13"/>
  <c r="AD18" i="2"/>
  <c r="AN33"/>
  <c r="AW25" s="1"/>
  <c r="AP33"/>
  <c r="AY25" s="1"/>
  <c r="AP23"/>
  <c r="AY15" s="1"/>
  <c r="AN23"/>
  <c r="AW15" s="1"/>
  <c r="AD28"/>
  <c r="AN34"/>
  <c r="AW26" s="1"/>
  <c r="AN24"/>
  <c r="AW16" s="1"/>
  <c r="AP24"/>
  <c r="AY16" s="1"/>
  <c r="AP34"/>
  <c r="AY26" s="1"/>
  <c r="AN32"/>
  <c r="AW24" s="1"/>
  <c r="AP32"/>
  <c r="AY24" s="1"/>
  <c r="AP22"/>
  <c r="AY14" s="1"/>
  <c r="AN35"/>
  <c r="AW27" s="1"/>
  <c r="AP35"/>
  <c r="AY27" s="1"/>
  <c r="AN25"/>
  <c r="AW17" s="1"/>
  <c r="AP25"/>
  <c r="AY17" s="1"/>
  <c r="U28"/>
  <c r="AD35"/>
  <c r="U24"/>
  <c r="AD24"/>
  <c r="U35"/>
  <c r="AQ14" i="1"/>
  <c r="AQ15"/>
  <c r="N17"/>
  <c r="P17" s="1"/>
  <c r="N20"/>
  <c r="P42"/>
  <c r="E33" i="2"/>
  <c r="E34" s="1"/>
  <c r="P22"/>
  <c r="N22"/>
  <c r="AD24" i="1" l="1"/>
  <c r="AD35"/>
  <c r="AG23" i="2"/>
  <c r="X23"/>
  <c r="AD18" i="1"/>
  <c r="AD28"/>
  <c r="AD23" i="2"/>
  <c r="U23"/>
  <c r="AD34"/>
  <c r="U34"/>
  <c r="X34"/>
  <c r="AG34"/>
  <c r="U18" i="1"/>
  <c r="U35"/>
  <c r="U24"/>
  <c r="U28"/>
  <c r="P20"/>
  <c r="F31" i="2"/>
  <c r="G31" s="1"/>
  <c r="F42"/>
  <c r="G42" s="1"/>
  <c r="F32"/>
  <c r="G32" s="1"/>
  <c r="F43"/>
  <c r="G43" s="1"/>
  <c r="AN32" i="1" l="1"/>
  <c r="AW24" s="1"/>
  <c r="AN22"/>
  <c r="AW14" s="1"/>
  <c r="AP23"/>
  <c r="AY15" s="1"/>
  <c r="AD34"/>
  <c r="AN34"/>
  <c r="AW26" s="1"/>
  <c r="AN24"/>
  <c r="AW16" s="1"/>
  <c r="AP22"/>
  <c r="AY14" s="1"/>
  <c r="AG23"/>
  <c r="AN33"/>
  <c r="AW25" s="1"/>
  <c r="AN23"/>
  <c r="AW15" s="1"/>
  <c r="AN35"/>
  <c r="AW27" s="1"/>
  <c r="AN25"/>
  <c r="AW17" s="1"/>
  <c r="AG34"/>
  <c r="AD23"/>
  <c r="X34"/>
  <c r="U34"/>
  <c r="X23"/>
  <c r="U23"/>
  <c r="AP33"/>
  <c r="AY25" s="1"/>
  <c r="AP34"/>
  <c r="AY26" s="1"/>
  <c r="AP24"/>
  <c r="AY16" s="1"/>
  <c r="AP35"/>
  <c r="AY27" s="1"/>
  <c r="AP32"/>
  <c r="AY24" s="1"/>
  <c r="AP25"/>
  <c r="AY17" s="1"/>
  <c r="H34" i="2"/>
  <c r="C36" s="1"/>
  <c r="H45"/>
  <c r="AR13" l="1"/>
  <c r="AR15"/>
  <c r="AR12"/>
  <c r="AR14"/>
  <c r="N42"/>
  <c r="P41" s="1"/>
  <c r="C35"/>
  <c r="AR12" i="1"/>
  <c r="C46" i="2"/>
  <c r="C47"/>
  <c r="AG18" l="1"/>
  <c r="AD39" s="1"/>
  <c r="AD41" s="1"/>
  <c r="X18"/>
  <c r="U39" s="1"/>
  <c r="U41" s="1"/>
  <c r="X28"/>
  <c r="Y39" s="1"/>
  <c r="Y41" s="1"/>
  <c r="AQ22" i="1"/>
  <c r="AO32"/>
  <c r="AX24" s="1"/>
  <c r="AX34" s="1"/>
  <c r="AO22"/>
  <c r="AX14" s="1"/>
  <c r="AV34" s="1"/>
  <c r="AO23" i="2"/>
  <c r="AX15" s="1"/>
  <c r="AV35" s="1"/>
  <c r="AQ33"/>
  <c r="AZ25" s="1"/>
  <c r="AY35" s="1"/>
  <c r="AO33"/>
  <c r="AX25" s="1"/>
  <c r="AX35" s="1"/>
  <c r="AQ23"/>
  <c r="AZ15" s="1"/>
  <c r="AO22"/>
  <c r="AX14" s="1"/>
  <c r="AV34" s="1"/>
  <c r="AO32"/>
  <c r="AX24" s="1"/>
  <c r="AX34" s="1"/>
  <c r="AQ32"/>
  <c r="AZ24" s="1"/>
  <c r="AY34" s="1"/>
  <c r="AQ22"/>
  <c r="AZ14" s="1"/>
  <c r="AO25"/>
  <c r="AX17" s="1"/>
  <c r="AV37" s="1"/>
  <c r="AO35"/>
  <c r="AX27" s="1"/>
  <c r="AX37" s="1"/>
  <c r="AQ25"/>
  <c r="AZ17" s="1"/>
  <c r="AQ35"/>
  <c r="AZ27" s="1"/>
  <c r="AY37" s="1"/>
  <c r="AO24"/>
  <c r="AX16" s="1"/>
  <c r="AV36" s="1"/>
  <c r="AQ24"/>
  <c r="AZ16" s="1"/>
  <c r="AO34"/>
  <c r="AX26" s="1"/>
  <c r="AX36" s="1"/>
  <c r="AQ34"/>
  <c r="AZ26" s="1"/>
  <c r="AY36" s="1"/>
  <c r="AD19"/>
  <c r="AG28"/>
  <c r="AH39" s="1"/>
  <c r="AH41" s="1"/>
  <c r="U29"/>
  <c r="U19"/>
  <c r="AD29"/>
  <c r="N40" i="1"/>
  <c r="P39" s="1"/>
  <c r="AR13"/>
  <c r="AR15"/>
  <c r="AR14"/>
  <c r="BA17" i="2" l="1"/>
  <c r="AW37"/>
  <c r="BA14"/>
  <c r="AW34"/>
  <c r="BA15"/>
  <c r="AW35"/>
  <c r="BA16"/>
  <c r="AW36"/>
  <c r="AD29" i="1"/>
  <c r="AD19"/>
  <c r="AG28"/>
  <c r="AH39" s="1"/>
  <c r="AH41" s="1"/>
  <c r="AG18"/>
  <c r="AD39" s="1"/>
  <c r="AD41" s="1"/>
  <c r="AO33"/>
  <c r="AX25" s="1"/>
  <c r="AX35" s="1"/>
  <c r="AO23"/>
  <c r="AX15" s="1"/>
  <c r="AV35" s="1"/>
  <c r="AO24"/>
  <c r="AX16" s="1"/>
  <c r="AV36" s="1"/>
  <c r="AO34"/>
  <c r="AX26" s="1"/>
  <c r="AX36" s="1"/>
  <c r="AO35"/>
  <c r="AX27" s="1"/>
  <c r="AX37" s="1"/>
  <c r="AO25"/>
  <c r="AX17" s="1"/>
  <c r="AV37" s="1"/>
  <c r="U29"/>
  <c r="U19"/>
  <c r="X18"/>
  <c r="U39" s="1"/>
  <c r="U41" s="1"/>
  <c r="X28"/>
  <c r="Y39" s="1"/>
  <c r="Y41" s="1"/>
  <c r="AQ24"/>
  <c r="AZ16" s="1"/>
  <c r="AQ34"/>
  <c r="AZ26" s="1"/>
  <c r="AY36" s="1"/>
  <c r="AQ23"/>
  <c r="AZ15" s="1"/>
  <c r="AQ33"/>
  <c r="AZ25" s="1"/>
  <c r="AY35" s="1"/>
  <c r="AZ14"/>
  <c r="AQ32"/>
  <c r="AZ24" s="1"/>
  <c r="AY34" s="1"/>
  <c r="AQ25"/>
  <c r="AZ17" s="1"/>
  <c r="AQ35"/>
  <c r="AZ27" s="1"/>
  <c r="AY37" s="1"/>
  <c r="BA17" l="1"/>
  <c r="AW37"/>
  <c r="BA15"/>
  <c r="AW35"/>
  <c r="BA14"/>
  <c r="AW34"/>
  <c r="BA16"/>
  <c r="AW36"/>
</calcChain>
</file>

<file path=xl/sharedStrings.xml><?xml version="1.0" encoding="utf-8"?>
<sst xmlns="http://schemas.openxmlformats.org/spreadsheetml/2006/main" count="719" uniqueCount="181">
  <si>
    <t>I=</t>
  </si>
  <si>
    <t>=</t>
  </si>
  <si>
    <r>
      <t>V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w</t>
    </r>
  </si>
  <si>
    <r>
      <t>f</t>
    </r>
    <r>
      <rPr>
        <vertAlign val="subscript"/>
        <sz val="11"/>
        <color theme="1"/>
        <rFont val="Calibri"/>
        <family val="2"/>
        <scheme val="minor"/>
      </rPr>
      <t>LL,shear</t>
    </r>
    <r>
      <rPr>
        <sz val="11"/>
        <color theme="1"/>
        <rFont val="Calibri"/>
        <family val="2"/>
        <scheme val="minor"/>
      </rPr>
      <t>=</t>
    </r>
  </si>
  <si>
    <t>Shear Stress</t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</si>
  <si>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</si>
  <si>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</t>
    </r>
    <r>
      <rPr>
        <vertAlign val="subscript"/>
        <sz val="11"/>
        <rFont val="Calibri"/>
        <family val="2"/>
        <scheme val="minor"/>
      </rPr>
      <t>bot,steel</t>
    </r>
    <r>
      <rPr>
        <sz val="11"/>
        <rFont val="Calibri"/>
        <family val="2"/>
        <scheme val="minor"/>
      </rPr>
      <t>=</t>
    </r>
  </si>
  <si>
    <t>Sx-x</t>
  </si>
  <si>
    <r>
      <t>S</t>
    </r>
    <r>
      <rPr>
        <vertAlign val="subscript"/>
        <sz val="11"/>
        <rFont val="Calibri"/>
        <family val="2"/>
        <scheme val="minor"/>
      </rPr>
      <t>top,conc</t>
    </r>
    <r>
      <rPr>
        <sz val="1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</si>
  <si>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LL</t>
    </r>
  </si>
  <si>
    <r>
      <t>f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</si>
  <si>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</si>
  <si>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t>y1=</t>
  </si>
  <si>
    <t>Bottom of Steel</t>
  </si>
  <si>
    <t xml:space="preserve">Flexural Stresses </t>
  </si>
  <si>
    <t>Σ=</t>
  </si>
  <si>
    <t>kip</t>
  </si>
  <si>
    <r>
      <t>V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</si>
  <si>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t>Deck</t>
  </si>
  <si>
    <t>See Staad.pro Output</t>
  </si>
  <si>
    <t>V=</t>
  </si>
  <si>
    <r>
      <t>in</t>
    </r>
    <r>
      <rPr>
        <i/>
        <vertAlign val="superscript"/>
        <sz val="10"/>
        <color theme="1"/>
        <rFont val="Calibri"/>
        <family val="2"/>
        <scheme val="minor"/>
      </rPr>
      <t>4</t>
    </r>
  </si>
  <si>
    <t>in</t>
  </si>
  <si>
    <r>
      <t>in</t>
    </r>
    <r>
      <rPr>
        <i/>
        <vertAlign val="superscript"/>
        <sz val="10"/>
        <color theme="1"/>
        <rFont val="Calibri"/>
        <family val="2"/>
        <scheme val="minor"/>
      </rPr>
      <t>3</t>
    </r>
  </si>
  <si>
    <r>
      <t>in</t>
    </r>
    <r>
      <rPr>
        <i/>
        <vertAlign val="superscript"/>
        <sz val="10"/>
        <color theme="1"/>
        <rFont val="Verdana"/>
        <family val="2"/>
      </rPr>
      <t>2</t>
    </r>
  </si>
  <si>
    <t>kip-ft</t>
  </si>
  <si>
    <r>
      <t>M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</si>
  <si>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t>d</t>
  </si>
  <si>
    <t>A*y</t>
  </si>
  <si>
    <t>y</t>
  </si>
  <si>
    <t>A</t>
  </si>
  <si>
    <t>M=</t>
  </si>
  <si>
    <t>3n=</t>
  </si>
  <si>
    <t>Long Term Composite Section</t>
  </si>
  <si>
    <t>DF=</t>
  </si>
  <si>
    <t>tons</t>
  </si>
  <si>
    <t>Rating Tons=</t>
  </si>
  <si>
    <t>ASD Rating Summary</t>
  </si>
  <si>
    <t>Distribution factor</t>
  </si>
  <si>
    <t>n=</t>
  </si>
  <si>
    <t>Short Term Composite Section</t>
  </si>
  <si>
    <t>RF   =</t>
  </si>
  <si>
    <t>Impact</t>
  </si>
  <si>
    <t>Composite Section Properties</t>
  </si>
  <si>
    <t>Operational Rating - Shear</t>
  </si>
  <si>
    <t>4.2.</t>
  </si>
  <si>
    <t>ASD Operational Rating - Shear</t>
  </si>
  <si>
    <t>3.2.</t>
  </si>
  <si>
    <t>Live Load</t>
  </si>
  <si>
    <t>2.2.</t>
  </si>
  <si>
    <r>
      <t>b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>=</t>
    </r>
  </si>
  <si>
    <r>
      <t>V/A</t>
    </r>
    <r>
      <rPr>
        <vertAlign val="subscript"/>
        <sz val="11"/>
        <color theme="1"/>
        <rFont val="Calibri"/>
        <family val="2"/>
        <scheme val="minor"/>
      </rPr>
      <t>w</t>
    </r>
  </si>
  <si>
    <r>
      <t>f</t>
    </r>
    <r>
      <rPr>
        <vertAlign val="subscript"/>
        <sz val="11"/>
        <color theme="1"/>
        <rFont val="Calibri"/>
        <family val="2"/>
        <scheme val="minor"/>
      </rPr>
      <t>DL,shear</t>
    </r>
    <r>
      <rPr>
        <sz val="11"/>
        <color theme="1"/>
        <rFont val="Calibri"/>
        <family val="2"/>
        <scheme val="minor"/>
      </rPr>
      <t>=</t>
    </r>
  </si>
  <si>
    <t>ksi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</si>
  <si>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'=</t>
    </r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</si>
  <si>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</si>
  <si>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DL</t>
    </r>
  </si>
  <si>
    <r>
      <t>f</t>
    </r>
    <r>
      <rPr>
        <vertAlign val="subscript"/>
        <sz val="11"/>
        <color theme="1"/>
        <rFont val="Calibri"/>
        <family val="2"/>
        <scheme val="minor"/>
      </rPr>
      <t>DL,flexure</t>
    </r>
    <r>
      <rPr>
        <sz val="11"/>
        <color theme="1"/>
        <rFont val="Calibri"/>
        <family val="2"/>
        <scheme val="minor"/>
      </rPr>
      <t>=</t>
    </r>
  </si>
  <si>
    <t>Operating Fv=</t>
  </si>
  <si>
    <t>Operating fy=</t>
  </si>
  <si>
    <t>Operational Rating - Flexure</t>
  </si>
  <si>
    <t>4.1.</t>
  </si>
  <si>
    <t>ASD Operational Rating - Flexure</t>
  </si>
  <si>
    <t>3.1.</t>
  </si>
  <si>
    <t>Inventory fv=</t>
  </si>
  <si>
    <t>Inventory fy=</t>
  </si>
  <si>
    <t>fy=</t>
  </si>
  <si>
    <r>
      <t>V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</si>
  <si>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</si>
  <si>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</si>
  <si>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Aw=</t>
  </si>
  <si>
    <t>d=</t>
  </si>
  <si>
    <t>kip/ft</t>
  </si>
  <si>
    <t>T=</t>
  </si>
  <si>
    <t>A=</t>
  </si>
  <si>
    <t>For LFD Operating Rating A1=A2=</t>
  </si>
  <si>
    <t>For ASD Rating A1=A2=</t>
  </si>
  <si>
    <t>tw=</t>
  </si>
  <si>
    <t>Sx-x=</t>
  </si>
  <si>
    <t>tf=</t>
  </si>
  <si>
    <t>Ix-x=</t>
  </si>
  <si>
    <r>
      <t>A</t>
    </r>
    <r>
      <rPr>
        <vertAlign val="subscript"/>
        <sz val="11"/>
        <color indexed="8"/>
        <rFont val="Calibri"/>
        <family val="2"/>
        <scheme val="minor"/>
      </rPr>
      <t>2</t>
    </r>
    <r>
      <rPr>
        <sz val="11"/>
        <color indexed="8"/>
        <rFont val="Calibri"/>
        <family val="2"/>
        <scheme val="minor"/>
      </rPr>
      <t>L(1+I)</t>
    </r>
  </si>
  <si>
    <t>Section</t>
  </si>
  <si>
    <r>
      <t>C-A</t>
    </r>
    <r>
      <rPr>
        <vertAlign val="subscript"/>
        <sz val="11"/>
        <color indexed="8"/>
        <rFont val="Calibri"/>
        <family val="2"/>
        <scheme val="minor"/>
      </rPr>
      <t>1</t>
    </r>
    <r>
      <rPr>
        <sz val="11"/>
        <color indexed="8"/>
        <rFont val="Calibri"/>
        <family val="2"/>
        <scheme val="minor"/>
      </rPr>
      <t>D</t>
    </r>
  </si>
  <si>
    <t>ft</t>
  </si>
  <si>
    <t>S=</t>
  </si>
  <si>
    <t>L=</t>
  </si>
  <si>
    <t>General Rating Equation</t>
  </si>
  <si>
    <t>Dead Load</t>
  </si>
  <si>
    <t>2.1.</t>
  </si>
  <si>
    <t>Member and Material Properies</t>
  </si>
  <si>
    <t>1.</t>
  </si>
  <si>
    <t>LFD Rating</t>
  </si>
  <si>
    <t>4.</t>
  </si>
  <si>
    <t>ASD Rating</t>
  </si>
  <si>
    <t>3.</t>
  </si>
  <si>
    <t>Loading</t>
  </si>
  <si>
    <t>2.</t>
  </si>
  <si>
    <t>SUBJECT</t>
  </si>
  <si>
    <t>ARG</t>
  </si>
  <si>
    <t>REV.</t>
  </si>
  <si>
    <t xml:space="preserve">CHK. </t>
  </si>
  <si>
    <t xml:space="preserve">MADE </t>
  </si>
  <si>
    <t>PROJECT</t>
  </si>
  <si>
    <t>University Ave, Lowell, Bridge</t>
  </si>
  <si>
    <t>STV Incorporated</t>
  </si>
  <si>
    <t>CLIENT</t>
  </si>
  <si>
    <t>City of Lowell</t>
  </si>
  <si>
    <t>AASHTO</t>
  </si>
  <si>
    <t>wf =</t>
  </si>
  <si>
    <t>Vehicle</t>
  </si>
  <si>
    <t>Flexural</t>
  </si>
  <si>
    <t>Stresses</t>
  </si>
  <si>
    <t>Shear</t>
  </si>
  <si>
    <t>H20</t>
  </si>
  <si>
    <t>TYPE 3</t>
  </si>
  <si>
    <t>HS20</t>
  </si>
  <si>
    <t>TYPE 3S2</t>
  </si>
  <si>
    <r>
      <t>V</t>
    </r>
    <r>
      <rPr>
        <i/>
        <vertAlign val="subscript"/>
        <sz val="11"/>
        <color theme="1"/>
        <rFont val="Calibri"/>
        <family val="2"/>
        <scheme val="minor"/>
      </rPr>
      <t>LL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</si>
  <si>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LL</t>
    </r>
  </si>
  <si>
    <t>The same procedure is applied for the different types of vehicles:</t>
  </si>
  <si>
    <t>INVENTORY</t>
  </si>
  <si>
    <t>OPERATIONAL</t>
  </si>
  <si>
    <t>Flexure</t>
  </si>
  <si>
    <t>LFD RATING:</t>
  </si>
  <si>
    <t>ASD RATING:</t>
  </si>
  <si>
    <t>Weight</t>
  </si>
  <si>
    <t>Tons</t>
  </si>
  <si>
    <t>ASD RATING FACTORS:</t>
  </si>
  <si>
    <t>LFD RATING FACTORS:</t>
  </si>
  <si>
    <t>For HS20 Truck:</t>
  </si>
  <si>
    <r>
      <t>M</t>
    </r>
    <r>
      <rPr>
        <i/>
        <vertAlign val="subscript"/>
        <sz val="11"/>
        <color theme="1"/>
        <rFont val="Calibri"/>
        <family val="2"/>
        <scheme val="minor"/>
      </rPr>
      <t>LL</t>
    </r>
    <r>
      <rPr>
        <i/>
        <sz val="11"/>
        <color theme="1"/>
        <rFont val="Calibri"/>
        <family val="2"/>
        <scheme val="minor"/>
      </rPr>
      <t>=M*DF</t>
    </r>
  </si>
  <si>
    <r>
      <t>V</t>
    </r>
    <r>
      <rPr>
        <i/>
        <vertAlign val="subscript"/>
        <sz val="11"/>
        <color theme="1"/>
        <rFont val="Calibri"/>
        <family val="2"/>
        <scheme val="minor"/>
      </rPr>
      <t>LL</t>
    </r>
    <r>
      <rPr>
        <i/>
        <sz val="11"/>
        <color theme="1"/>
        <rFont val="Calibri"/>
        <family val="2"/>
        <scheme val="minor"/>
      </rPr>
      <t>=V*DF</t>
    </r>
  </si>
  <si>
    <t>Rating</t>
  </si>
  <si>
    <t>(Min)</t>
  </si>
  <si>
    <t>Inventory Rating factor, A2 =</t>
  </si>
  <si>
    <t>Load on stringer =</t>
  </si>
  <si>
    <t>Per DF calculations</t>
  </si>
  <si>
    <t>Shear DF =</t>
  </si>
  <si>
    <t>Moment DF=</t>
  </si>
  <si>
    <t>Per DF Calculations</t>
  </si>
  <si>
    <t>Multi-Lane DF controls</t>
  </si>
  <si>
    <t>Ref.</t>
  </si>
  <si>
    <t>ASD Inventory Rating - Flexure</t>
  </si>
  <si>
    <t>ASD Inventory Rating - Shear</t>
  </si>
  <si>
    <t>3.3.</t>
  </si>
  <si>
    <t>3.4.</t>
  </si>
  <si>
    <t>Rating Tons =</t>
  </si>
  <si>
    <r>
      <t>RF</t>
    </r>
    <r>
      <rPr>
        <vertAlign val="subscript"/>
        <sz val="11"/>
        <color theme="1"/>
        <rFont val="Calibri"/>
        <family val="2"/>
        <scheme val="minor"/>
      </rPr>
      <t xml:space="preserve">INV </t>
    </r>
    <r>
      <rPr>
        <sz val="11"/>
        <color theme="1"/>
        <rFont val="Calibri"/>
        <family val="2"/>
        <scheme val="minor"/>
      </rPr>
      <t>=</t>
    </r>
  </si>
  <si>
    <r>
      <t>RF</t>
    </r>
    <r>
      <rPr>
        <vertAlign val="subscript"/>
        <sz val="11"/>
        <color theme="1"/>
        <rFont val="Calibri"/>
        <family val="2"/>
        <scheme val="minor"/>
      </rPr>
      <t xml:space="preserve">OPR </t>
    </r>
    <r>
      <rPr>
        <sz val="11"/>
        <color theme="1"/>
        <rFont val="Calibri"/>
        <family val="2"/>
        <scheme val="minor"/>
      </rPr>
      <t>=</t>
    </r>
  </si>
  <si>
    <t>Inventory Rating - Shear</t>
  </si>
  <si>
    <t>Inventory Rating - Flexure</t>
  </si>
  <si>
    <t>4.3.</t>
  </si>
  <si>
    <t>4.4.</t>
  </si>
  <si>
    <t>4.5.</t>
  </si>
  <si>
    <t>3.5.</t>
  </si>
  <si>
    <t>Rating Summary:</t>
  </si>
  <si>
    <r>
      <t>A*d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</si>
  <si>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</si>
  <si>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FB2</t>
  </si>
  <si>
    <t>FB1</t>
  </si>
  <si>
    <t>Load Transferred by S1</t>
  </si>
  <si>
    <t>Transferred by S2 and S3</t>
  </si>
  <si>
    <t>*Shear and Moment loads are transferred from stringers;</t>
  </si>
  <si>
    <t>Shear, V*</t>
  </si>
  <si>
    <t>Mom., M*</t>
  </si>
  <si>
    <t>Load Rating page X + SW</t>
  </si>
  <si>
    <t>DF</t>
  </si>
  <si>
    <t>Exterior floor beam distribution factor</t>
  </si>
  <si>
    <t>Interior floor beam distribution factor</t>
  </si>
  <si>
    <t>Rating of Exterior Floor Beam</t>
  </si>
  <si>
    <t>Rating of Interior Floor Beam</t>
  </si>
  <si>
    <t>Interior Floor Beam Rating</t>
  </si>
  <si>
    <t>Exterior Floor Beam Rating</t>
  </si>
  <si>
    <t>Rating Summary</t>
  </si>
  <si>
    <t>ASD</t>
  </si>
  <si>
    <t>LRF</t>
  </si>
  <si>
    <t>Invent</t>
  </si>
  <si>
    <t>Oper.</t>
  </si>
  <si>
    <t>Page 10 Hand Calculations</t>
  </si>
  <si>
    <t>Page 11 Hand Calculations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</si>
</sst>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00\ &quot;ksi&quot;"/>
    <numFmt numFmtId="166" formatCode="0.0000"/>
    <numFmt numFmtId="167" formatCode="0.00&quot;*12&quot;"/>
    <numFmt numFmtId="168" formatCode="0.000"/>
    <numFmt numFmtId="169" formatCode="&quot;SHT #&quot;\ 0\ &quot;/6&quot;"/>
    <numFmt numFmtId="170" formatCode="&quot;SHT #&quot;\ 0&quot;/6&quot;"/>
  </numFmts>
  <fonts count="3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Verdana"/>
      <family val="2"/>
    </font>
    <font>
      <sz val="10"/>
      <color rgb="FFC00000"/>
      <name val="Calibri"/>
      <family val="2"/>
      <scheme val="minor"/>
    </font>
    <font>
      <sz val="12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i/>
      <vertAlign val="superscript"/>
      <sz val="10"/>
      <color theme="1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Verdana"/>
      <family val="2"/>
    </font>
    <font>
      <sz val="10"/>
      <name val="MS Sans Serif"/>
      <family val="2"/>
    </font>
    <font>
      <b/>
      <sz val="12"/>
      <color indexed="12"/>
      <name val="Times New Roman"/>
      <family val="1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gray0625"/>
    </fill>
    <fill>
      <patternFill patternType="solid">
        <fgColor rgb="FF920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8" fillId="0" borderId="0"/>
    <xf numFmtId="0" fontId="29" fillId="4" borderId="0">
      <protection locked="0"/>
    </xf>
    <xf numFmtId="0" fontId="28" fillId="0" borderId="0"/>
    <xf numFmtId="0" fontId="31" fillId="0" borderId="0"/>
  </cellStyleXfs>
  <cellXfs count="26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Border="1"/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wrapText="1"/>
    </xf>
    <xf numFmtId="0" fontId="5" fillId="0" borderId="0" xfId="0" applyFont="1" applyAlignment="1"/>
    <xf numFmtId="0" fontId="6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Fill="1" applyAlignment="1">
      <alignment vertical="center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1" fillId="0" borderId="0" xfId="0" applyFont="1" applyBorder="1" applyAlignment="1"/>
    <xf numFmtId="2" fontId="5" fillId="0" borderId="0" xfId="0" applyNumberFormat="1" applyFont="1"/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left"/>
    </xf>
    <xf numFmtId="2" fontId="0" fillId="0" borderId="0" xfId="0" applyNumberFormat="1" applyFont="1"/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0" xfId="0" applyNumberFormat="1" applyFont="1" applyAlignment="1">
      <alignment horizontal="left"/>
    </xf>
    <xf numFmtId="0" fontId="0" fillId="0" borderId="0" xfId="0" applyFont="1" applyAlignment="1">
      <alignment horizontal="right"/>
    </xf>
    <xf numFmtId="167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2" borderId="0" xfId="0" applyNumberFormat="1" applyFont="1" applyFill="1" applyAlignment="1">
      <alignment horizontal="center" vertical="center"/>
    </xf>
    <xf numFmtId="164" fontId="13" fillId="0" borderId="3" xfId="0" applyNumberFormat="1" applyFont="1" applyBorder="1" applyAlignment="1">
      <alignment horizontal="center"/>
    </xf>
    <xf numFmtId="168" fontId="13" fillId="0" borderId="3" xfId="0" applyNumberFormat="1" applyFont="1" applyBorder="1" applyAlignment="1">
      <alignment horizontal="center"/>
    </xf>
    <xf numFmtId="0" fontId="0" fillId="0" borderId="0" xfId="0" applyFont="1" applyAlignment="1">
      <alignment wrapText="1"/>
    </xf>
    <xf numFmtId="0" fontId="20" fillId="0" borderId="0" xfId="0" applyFont="1"/>
    <xf numFmtId="12" fontId="20" fillId="0" borderId="0" xfId="0" applyNumberFormat="1" applyFont="1" applyAlignment="1">
      <alignment horizontal="right"/>
    </xf>
    <xf numFmtId="0" fontId="20" fillId="0" borderId="0" xfId="0" applyFont="1" applyAlignment="1"/>
    <xf numFmtId="168" fontId="0" fillId="2" borderId="0" xfId="0" applyNumberFormat="1" applyFont="1" applyFill="1" applyAlignment="1">
      <alignment horizontal="center" vertical="center"/>
    </xf>
    <xf numFmtId="2" fontId="0" fillId="0" borderId="0" xfId="0" applyNumberFormat="1" applyBorder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/>
    <xf numFmtId="168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2" fontId="0" fillId="0" borderId="0" xfId="0" applyNumberFormat="1" applyFont="1" applyBorder="1" applyAlignment="1"/>
    <xf numFmtId="168" fontId="0" fillId="0" borderId="0" xfId="0" applyNumberFormat="1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8" fontId="13" fillId="0" borderId="3" xfId="0" applyNumberFormat="1" applyFont="1" applyBorder="1" applyAlignment="1">
      <alignment horizontal="center" vertical="center"/>
    </xf>
    <xf numFmtId="0" fontId="21" fillId="0" borderId="0" xfId="0" applyFont="1" applyAlignment="1"/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168" fontId="0" fillId="0" borderId="0" xfId="0" applyNumberFormat="1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13" fillId="0" borderId="0" xfId="0" applyNumberFormat="1" applyFont="1" applyAlignment="1"/>
    <xf numFmtId="0" fontId="2" fillId="0" borderId="0" xfId="0" applyFont="1" applyAlignment="1">
      <alignment horizontal="right"/>
    </xf>
    <xf numFmtId="165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68" fontId="0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 vertical="center" wrapText="1"/>
    </xf>
    <xf numFmtId="2" fontId="13" fillId="0" borderId="0" xfId="0" applyNumberFormat="1" applyFont="1" applyBorder="1" applyAlignment="1"/>
    <xf numFmtId="0" fontId="5" fillId="0" borderId="0" xfId="0" applyFont="1" applyAlignment="1">
      <alignment horizontal="center"/>
    </xf>
    <xf numFmtId="0" fontId="24" fillId="0" borderId="0" xfId="0" applyFont="1" applyAlignment="1"/>
    <xf numFmtId="49" fontId="24" fillId="0" borderId="0" xfId="0" applyNumberFormat="1" applyFont="1" applyAlignment="1">
      <alignment horizontal="right"/>
    </xf>
    <xf numFmtId="49" fontId="24" fillId="0" borderId="0" xfId="0" applyNumberFormat="1" applyFont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25" fillId="0" borderId="3" xfId="0" applyFont="1" applyBorder="1" applyAlignment="1">
      <alignment horizontal="center"/>
    </xf>
    <xf numFmtId="14" fontId="25" fillId="0" borderId="3" xfId="0" applyNumberFormat="1" applyFont="1" applyBorder="1" applyAlignment="1">
      <alignment horizontal="center"/>
    </xf>
    <xf numFmtId="0" fontId="25" fillId="0" borderId="3" xfId="0" applyFont="1" applyBorder="1"/>
    <xf numFmtId="0" fontId="25" fillId="0" borderId="3" xfId="0" applyFont="1" applyBorder="1" applyAlignment="1">
      <alignment horizontal="center" vertical="center"/>
    </xf>
    <xf numFmtId="14" fontId="25" fillId="0" borderId="3" xfId="0" applyNumberFormat="1" applyFont="1" applyBorder="1" applyAlignment="1">
      <alignment horizontal="center" vertical="center"/>
    </xf>
    <xf numFmtId="0" fontId="26" fillId="3" borderId="4" xfId="0" applyFont="1" applyFill="1" applyBorder="1" applyAlignment="1">
      <alignment horizontal="right"/>
    </xf>
    <xf numFmtId="0" fontId="26" fillId="3" borderId="9" xfId="0" applyFont="1" applyFill="1" applyBorder="1" applyAlignment="1"/>
    <xf numFmtId="0" fontId="26" fillId="3" borderId="10" xfId="0" applyFont="1" applyFill="1" applyBorder="1" applyAlignment="1"/>
    <xf numFmtId="0" fontId="0" fillId="0" borderId="0" xfId="0" applyFont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7" fillId="0" borderId="0" xfId="0" applyFont="1"/>
    <xf numFmtId="0" fontId="2" fillId="0" borderId="0" xfId="0" applyFont="1"/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8" fontId="2" fillId="2" borderId="6" xfId="0" applyNumberFormat="1" applyFont="1" applyFill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2" xfId="0" applyNumberFormat="1" applyFont="1" applyBorder="1" applyAlignment="1">
      <alignment horizontal="center"/>
    </xf>
    <xf numFmtId="168" fontId="0" fillId="0" borderId="0" xfId="0" applyNumberFormat="1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right" vertical="top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0" fillId="0" borderId="0" xfId="0" applyFont="1" applyBorder="1"/>
    <xf numFmtId="0" fontId="21" fillId="0" borderId="0" xfId="0" applyFont="1" applyBorder="1" applyAlignment="1">
      <alignment horizontal="right"/>
    </xf>
    <xf numFmtId="0" fontId="32" fillId="0" borderId="0" xfId="0" applyFont="1"/>
    <xf numFmtId="169" fontId="25" fillId="0" borderId="3" xfId="0" applyNumberFormat="1" applyFont="1" applyBorder="1" applyAlignment="1">
      <alignment horizontal="center" vertical="center"/>
    </xf>
    <xf numFmtId="170" fontId="25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/>
    <xf numFmtId="0" fontId="35" fillId="2" borderId="3" xfId="0" applyFont="1" applyFill="1" applyBorder="1" applyAlignment="1"/>
    <xf numFmtId="0" fontId="21" fillId="2" borderId="3" xfId="0" applyFont="1" applyFill="1" applyBorder="1" applyAlignment="1">
      <alignment horizontal="center"/>
    </xf>
    <xf numFmtId="168" fontId="16" fillId="0" borderId="1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26" fillId="5" borderId="10" xfId="0" applyFont="1" applyFill="1" applyBorder="1" applyAlignment="1"/>
    <xf numFmtId="0" fontId="26" fillId="5" borderId="9" xfId="0" applyFont="1" applyFill="1" applyBorder="1" applyAlignment="1"/>
    <xf numFmtId="0" fontId="26" fillId="5" borderId="4" xfId="0" applyFont="1" applyFill="1" applyBorder="1" applyAlignment="1"/>
    <xf numFmtId="2" fontId="0" fillId="0" borderId="13" xfId="0" applyNumberFormat="1" applyFont="1" applyBorder="1" applyAlignment="1">
      <alignment horizontal="center"/>
    </xf>
    <xf numFmtId="0" fontId="16" fillId="0" borderId="2" xfId="0" applyFont="1" applyBorder="1"/>
    <xf numFmtId="0" fontId="0" fillId="0" borderId="0" xfId="0" applyFont="1"/>
    <xf numFmtId="0" fontId="16" fillId="0" borderId="0" xfId="0" applyFont="1" applyAlignment="1">
      <alignment horizontal="left"/>
    </xf>
    <xf numFmtId="0" fontId="20" fillId="0" borderId="0" xfId="0" applyFont="1"/>
    <xf numFmtId="0" fontId="16" fillId="0" borderId="0" xfId="0" applyFont="1"/>
    <xf numFmtId="0" fontId="30" fillId="0" borderId="0" xfId="0" applyFont="1"/>
    <xf numFmtId="2" fontId="0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5" fillId="0" borderId="10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5" fillId="0" borderId="4" xfId="0" applyFont="1" applyBorder="1" applyAlignment="1">
      <alignment horizontal="left"/>
    </xf>
    <xf numFmtId="0" fontId="25" fillId="0" borderId="8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5" fillId="0" borderId="7" xfId="0" applyFont="1" applyBorder="1" applyAlignment="1">
      <alignment vertical="top" wrapText="1"/>
    </xf>
    <xf numFmtId="0" fontId="25" fillId="0" borderId="6" xfId="0" applyFont="1" applyBorder="1" applyAlignment="1">
      <alignment vertical="top" wrapText="1"/>
    </xf>
    <xf numFmtId="0" fontId="25" fillId="0" borderId="2" xfId="0" applyFont="1" applyBorder="1" applyAlignment="1">
      <alignment vertical="top" wrapText="1"/>
    </xf>
    <xf numFmtId="0" fontId="25" fillId="0" borderId="5" xfId="0" applyFont="1" applyBorder="1" applyAlignment="1">
      <alignment vertical="top" wrapTex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/>
    <xf numFmtId="0" fontId="13" fillId="0" borderId="0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36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36" fillId="2" borderId="8" xfId="0" applyNumberFormat="1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/>
    </xf>
    <xf numFmtId="168" fontId="36" fillId="2" borderId="11" xfId="0" applyNumberFormat="1" applyFont="1" applyFill="1" applyBorder="1" applyAlignment="1">
      <alignment horizontal="center" vertical="center"/>
    </xf>
    <xf numFmtId="168" fontId="36" fillId="2" borderId="6" xfId="0" applyNumberFormat="1" applyFont="1" applyFill="1" applyBorder="1" applyAlignment="1">
      <alignment horizontal="center" vertical="center"/>
    </xf>
    <xf numFmtId="168" fontId="36" fillId="0" borderId="11" xfId="0" applyNumberFormat="1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8" fontId="36" fillId="0" borderId="6" xfId="0" applyNumberFormat="1" applyFont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/>
    </xf>
    <xf numFmtId="168" fontId="36" fillId="2" borderId="14" xfId="0" applyNumberFormat="1" applyFont="1" applyFill="1" applyBorder="1" applyAlignment="1">
      <alignment horizontal="center"/>
    </xf>
    <xf numFmtId="168" fontId="36" fillId="2" borderId="15" xfId="0" applyNumberFormat="1" applyFont="1" applyFill="1" applyBorder="1" applyAlignment="1">
      <alignment horizontal="center"/>
    </xf>
    <xf numFmtId="0" fontId="36" fillId="2" borderId="10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5">
    <cellStyle name="Input (Shaded)" xfId="2"/>
    <cellStyle name="Normal" xfId="0" builtinId="0"/>
    <cellStyle name="Normal 2" xfId="1"/>
    <cellStyle name="Normal 3" xfId="4"/>
    <cellStyle name="Normal 4" xfId="3"/>
  </cellStyles>
  <dxfs count="0"/>
  <tableStyles count="0" defaultTableStyle="TableStyleMedium9" defaultPivotStyle="PivotStyleLight16"/>
  <colors>
    <mruColors>
      <color rgb="FF92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-String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ridge Information"/>
      <sheetName val="ASD Summary"/>
      <sheetName val="LRF Summary"/>
      <sheetName val="Description"/>
      <sheetName val="Assumptions"/>
      <sheetName val="Members"/>
      <sheetName val="Database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Member Connection</v>
          </cell>
          <cell r="C7" t="str">
            <v>Deck</v>
          </cell>
          <cell r="D7" t="str">
            <v>FS1</v>
          </cell>
          <cell r="E7" t="str">
            <v>S1</v>
          </cell>
          <cell r="F7" t="str">
            <v>FB1</v>
          </cell>
          <cell r="G7" t="str">
            <v>FB2</v>
          </cell>
          <cell r="H7" t="str">
            <v>FB</v>
          </cell>
          <cell r="I7" t="str">
            <v>BFB</v>
          </cell>
          <cell r="J7" t="str">
            <v>EFB</v>
          </cell>
          <cell r="K7" t="str">
            <v>JB</v>
          </cell>
          <cell r="L7" t="str">
            <v>BR1</v>
          </cell>
          <cell r="M7" t="str">
            <v>BRT</v>
          </cell>
          <cell r="N7" t="str">
            <v>SB1</v>
          </cell>
          <cell r="O7" t="str">
            <v>SB2</v>
          </cell>
          <cell r="P7" t="str">
            <v>SB3</v>
          </cell>
          <cell r="Q7" t="str">
            <v>TLB</v>
          </cell>
          <cell r="R7" t="str">
            <v>BLB</v>
          </cell>
          <cell r="S7" t="str">
            <v>HMA</v>
          </cell>
        </row>
        <row r="8">
          <cell r="B8" t="str">
            <v>Yield Strength</v>
          </cell>
          <cell r="C8">
            <v>4</v>
          </cell>
          <cell r="D8">
            <v>50</v>
          </cell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  <cell r="J8">
            <v>50</v>
          </cell>
          <cell r="K8">
            <v>50</v>
          </cell>
          <cell r="L8">
            <v>50</v>
          </cell>
          <cell r="M8">
            <v>50</v>
          </cell>
          <cell r="N8">
            <v>50</v>
          </cell>
          <cell r="Q8">
            <v>50</v>
          </cell>
          <cell r="R8">
            <v>50</v>
          </cell>
          <cell r="S8">
            <v>50</v>
          </cell>
        </row>
        <row r="9">
          <cell r="B9" t="str">
            <v>Mod. Elasticity</v>
          </cell>
        </row>
        <row r="10">
          <cell r="B10" t="str">
            <v>Poisson's</v>
          </cell>
        </row>
        <row r="11">
          <cell r="B11" t="str">
            <v>Damping Fact</v>
          </cell>
        </row>
        <row r="12">
          <cell r="B12" t="str">
            <v>Fracture Critical</v>
          </cell>
        </row>
        <row r="13">
          <cell r="B13" t="str">
            <v>Section</v>
          </cell>
          <cell r="C13" t="str">
            <v>Rectangular</v>
          </cell>
          <cell r="D13" t="str">
            <v>Built-up</v>
          </cell>
          <cell r="E13" t="str">
            <v>W24X55</v>
          </cell>
          <cell r="F13" t="str">
            <v>Built-up</v>
          </cell>
          <cell r="G13" t="str">
            <v>Built-up</v>
          </cell>
          <cell r="H13" t="str">
            <v>W21X62</v>
          </cell>
          <cell r="I13" t="str">
            <v>W27x84</v>
          </cell>
          <cell r="J13" t="str">
            <v>W27x178</v>
          </cell>
          <cell r="K13" t="str">
            <v>Built-up</v>
          </cell>
          <cell r="L13" t="str">
            <v>W30X90</v>
          </cell>
          <cell r="M13" t="str">
            <v>W30X90</v>
          </cell>
          <cell r="N13" t="str">
            <v>WT8x50</v>
          </cell>
          <cell r="O13" t="str">
            <v>WT6x25</v>
          </cell>
          <cell r="P13" t="str">
            <v>WT12x96</v>
          </cell>
          <cell r="Q13" t="str">
            <v>WT8x33.5</v>
          </cell>
          <cell r="R13" t="str">
            <v>W30x116</v>
          </cell>
          <cell r="S13">
            <v>0.02</v>
          </cell>
        </row>
        <row r="14">
          <cell r="B14" t="str">
            <v>Length</v>
          </cell>
          <cell r="D14">
            <v>21.667000000000002</v>
          </cell>
          <cell r="E14">
            <v>21.666666666666668</v>
          </cell>
          <cell r="F14">
            <v>21</v>
          </cell>
          <cell r="G14">
            <v>21</v>
          </cell>
          <cell r="H14">
            <v>21</v>
          </cell>
          <cell r="I14">
            <v>21</v>
          </cell>
          <cell r="J14">
            <v>21</v>
          </cell>
          <cell r="K14">
            <v>21</v>
          </cell>
          <cell r="L14">
            <v>6.489583333333333</v>
          </cell>
          <cell r="M14">
            <v>3.1666666666666665</v>
          </cell>
          <cell r="N14">
            <v>30.17381131047253</v>
          </cell>
          <cell r="O14">
            <v>30.17381131047253</v>
          </cell>
          <cell r="P14">
            <v>30.17381131047253</v>
          </cell>
          <cell r="Q14">
            <v>30.17381131047253</v>
          </cell>
          <cell r="R14">
            <v>30.17381131047253</v>
          </cell>
          <cell r="S14">
            <v>23</v>
          </cell>
        </row>
        <row r="15">
          <cell r="B15" t="str">
            <v>Spacing</v>
          </cell>
          <cell r="D15">
            <v>7.333333333333333</v>
          </cell>
          <cell r="E15">
            <v>6.833333333333333</v>
          </cell>
          <cell r="F15">
            <v>21.667000000000002</v>
          </cell>
          <cell r="G15">
            <v>21.667000000000002</v>
          </cell>
          <cell r="H15">
            <v>21.667000000000002</v>
          </cell>
          <cell r="I15">
            <v>21.667000000000002</v>
          </cell>
          <cell r="J15">
            <v>21.667000000000002</v>
          </cell>
          <cell r="K15">
            <v>21.667000000000002</v>
          </cell>
          <cell r="L15">
            <v>21.667000000000002</v>
          </cell>
          <cell r="M15">
            <v>21.667000000000002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-</v>
          </cell>
          <cell r="S15">
            <v>4.4169999999999998</v>
          </cell>
        </row>
        <row r="16">
          <cell r="B16" t="str">
            <v>Weight</v>
          </cell>
          <cell r="C16">
            <v>116.16000000000001</v>
          </cell>
          <cell r="D16">
            <v>7.4861111111111101E-2</v>
          </cell>
          <cell r="E16">
            <v>5.5E-2</v>
          </cell>
          <cell r="F16">
            <v>0.14568142361111111</v>
          </cell>
          <cell r="G16">
            <v>0.15312500000000001</v>
          </cell>
          <cell r="H16">
            <v>6.2E-2</v>
          </cell>
          <cell r="I16">
            <v>8.4000000000000005E-2</v>
          </cell>
          <cell r="J16">
            <v>0.17799999999999999</v>
          </cell>
          <cell r="K16">
            <v>0.37324218749999999</v>
          </cell>
          <cell r="L16">
            <v>0.09</v>
          </cell>
          <cell r="M16">
            <v>0.09</v>
          </cell>
          <cell r="N16">
            <v>0.05</v>
          </cell>
          <cell r="O16">
            <v>2.5000000000000001E-2</v>
          </cell>
          <cell r="P16">
            <v>9.6000000000000002E-2</v>
          </cell>
          <cell r="Q16">
            <v>3.3500000000000002E-2</v>
          </cell>
          <cell r="R16">
            <v>0.11600000000000001</v>
          </cell>
          <cell r="S16" t="e">
            <v>#N/A</v>
          </cell>
        </row>
        <row r="17">
          <cell r="B17" t="str">
            <v>Area</v>
          </cell>
          <cell r="C17">
            <v>704</v>
          </cell>
          <cell r="D17">
            <v>22</v>
          </cell>
          <cell r="E17">
            <v>16.2</v>
          </cell>
          <cell r="F17">
            <v>42.8125</v>
          </cell>
          <cell r="G17">
            <v>45</v>
          </cell>
          <cell r="H17">
            <v>18.3</v>
          </cell>
          <cell r="I17">
            <v>24.7</v>
          </cell>
          <cell r="J17">
            <v>52.5</v>
          </cell>
          <cell r="K17">
            <v>109.6875</v>
          </cell>
          <cell r="L17">
            <v>26.3</v>
          </cell>
          <cell r="M17">
            <v>26.3</v>
          </cell>
          <cell r="N17">
            <v>14.7</v>
          </cell>
          <cell r="O17">
            <v>7.3</v>
          </cell>
          <cell r="P17">
            <v>28.2</v>
          </cell>
          <cell r="Q17">
            <v>9.81</v>
          </cell>
          <cell r="R17">
            <v>34.200000000000003</v>
          </cell>
          <cell r="S17" t="e">
            <v>#N/A</v>
          </cell>
        </row>
        <row r="18">
          <cell r="B18" t="str">
            <v>Depth, d</v>
          </cell>
          <cell r="C18">
            <v>8</v>
          </cell>
          <cell r="D18">
            <v>32</v>
          </cell>
          <cell r="E18">
            <v>23.6</v>
          </cell>
          <cell r="F18">
            <v>34.75</v>
          </cell>
          <cell r="G18">
            <v>38.25</v>
          </cell>
          <cell r="H18">
            <v>21</v>
          </cell>
          <cell r="I18">
            <v>26.7</v>
          </cell>
          <cell r="J18">
            <v>27.8</v>
          </cell>
          <cell r="K18">
            <v>30</v>
          </cell>
          <cell r="L18">
            <v>29.5</v>
          </cell>
          <cell r="M18">
            <v>29.5</v>
          </cell>
          <cell r="N18">
            <v>8.49</v>
          </cell>
          <cell r="O18">
            <v>6.1</v>
          </cell>
          <cell r="P18">
            <v>12.7</v>
          </cell>
          <cell r="Q18">
            <v>8.17</v>
          </cell>
          <cell r="R18">
            <v>30</v>
          </cell>
          <cell r="S18" t="e">
            <v>#N/A</v>
          </cell>
        </row>
        <row r="19">
          <cell r="B19" t="str">
            <v>Width, b</v>
          </cell>
          <cell r="C19">
            <v>88</v>
          </cell>
          <cell r="D19">
            <v>8.375</v>
          </cell>
          <cell r="E19">
            <v>7.01</v>
          </cell>
          <cell r="F19">
            <v>10</v>
          </cell>
          <cell r="G19">
            <v>10</v>
          </cell>
          <cell r="H19">
            <v>8.24</v>
          </cell>
          <cell r="I19">
            <v>10</v>
          </cell>
          <cell r="J19">
            <v>14.1</v>
          </cell>
          <cell r="K19">
            <v>18</v>
          </cell>
          <cell r="L19">
            <v>10.4</v>
          </cell>
          <cell r="M19">
            <v>10.4</v>
          </cell>
          <cell r="N19">
            <v>10.4</v>
          </cell>
          <cell r="O19">
            <v>8.08</v>
          </cell>
          <cell r="P19">
            <v>13</v>
          </cell>
          <cell r="Q19">
            <v>10.199999999999999</v>
          </cell>
          <cell r="R19">
            <v>10.5</v>
          </cell>
          <cell r="S19" t="e">
            <v>#N/A</v>
          </cell>
        </row>
        <row r="20">
          <cell r="B20" t="str">
            <v>Flange Thickness, tf</v>
          </cell>
          <cell r="D20">
            <v>0.625</v>
          </cell>
          <cell r="E20">
            <v>0.505</v>
          </cell>
          <cell r="F20">
            <v>1.125</v>
          </cell>
          <cell r="G20">
            <v>1.125</v>
          </cell>
          <cell r="H20">
            <v>0.61499999999999999</v>
          </cell>
          <cell r="I20">
            <v>0.64</v>
          </cell>
          <cell r="J20">
            <v>1.19</v>
          </cell>
          <cell r="K20">
            <v>2.25</v>
          </cell>
          <cell r="L20">
            <v>0.61</v>
          </cell>
          <cell r="M20">
            <v>0.61</v>
          </cell>
          <cell r="N20">
            <v>0.98499999999999999</v>
          </cell>
          <cell r="O20">
            <v>0.64</v>
          </cell>
          <cell r="P20">
            <v>1.46</v>
          </cell>
          <cell r="Q20">
            <v>0.66500000000000004</v>
          </cell>
          <cell r="R20">
            <v>0.85</v>
          </cell>
          <cell r="S20" t="e">
            <v>#N/A</v>
          </cell>
        </row>
        <row r="21">
          <cell r="B21" t="str">
            <v>Web Thickness, tw</v>
          </cell>
          <cell r="D21">
            <v>0.375</v>
          </cell>
          <cell r="E21">
            <v>0.39500000000000002</v>
          </cell>
          <cell r="F21">
            <v>0.625</v>
          </cell>
          <cell r="G21">
            <v>0.625</v>
          </cell>
          <cell r="H21">
            <v>0.4</v>
          </cell>
          <cell r="I21">
            <v>0.46</v>
          </cell>
          <cell r="J21">
            <v>0.72499999999999998</v>
          </cell>
          <cell r="K21">
            <v>1.125</v>
          </cell>
          <cell r="L21">
            <v>0.47</v>
          </cell>
          <cell r="M21">
            <v>0.47</v>
          </cell>
          <cell r="N21">
            <v>0.58499999999999996</v>
          </cell>
          <cell r="O21">
            <v>0.37</v>
          </cell>
          <cell r="P21">
            <v>0.81</v>
          </cell>
          <cell r="Q21">
            <v>0.39500000000000002</v>
          </cell>
          <cell r="R21">
            <v>0.56499999999999995</v>
          </cell>
          <cell r="S21" t="e">
            <v>#N/A</v>
          </cell>
        </row>
        <row r="22">
          <cell r="B22" t="str">
            <v>Web Height, T</v>
          </cell>
          <cell r="D22">
            <v>30.75</v>
          </cell>
          <cell r="E22">
            <v>20.75</v>
          </cell>
          <cell r="F22">
            <v>32.5</v>
          </cell>
          <cell r="G22">
            <v>36</v>
          </cell>
          <cell r="H22">
            <v>19.77</v>
          </cell>
          <cell r="I22">
            <v>25.419999999999998</v>
          </cell>
          <cell r="J22">
            <v>25.42</v>
          </cell>
          <cell r="K22">
            <v>25.5</v>
          </cell>
          <cell r="L22">
            <v>28.28</v>
          </cell>
          <cell r="M22">
            <v>28.28</v>
          </cell>
          <cell r="N22">
            <v>6.5200000000000005</v>
          </cell>
          <cell r="O22">
            <v>4.8199999999999994</v>
          </cell>
          <cell r="P22">
            <v>9.7799999999999994</v>
          </cell>
          <cell r="Q22">
            <v>6.84</v>
          </cell>
          <cell r="R22">
            <v>28.3</v>
          </cell>
          <cell r="S22">
            <v>9.25</v>
          </cell>
        </row>
        <row r="23">
          <cell r="B23" t="str">
            <v>Ix</v>
          </cell>
          <cell r="D23">
            <v>3485.3020833333339</v>
          </cell>
          <cell r="E23">
            <v>1350</v>
          </cell>
          <cell r="F23">
            <v>8150.149739583333</v>
          </cell>
          <cell r="G23">
            <v>10185.1171875</v>
          </cell>
          <cell r="H23">
            <v>1330</v>
          </cell>
          <cell r="I23">
            <v>2850</v>
          </cell>
          <cell r="J23">
            <v>7020</v>
          </cell>
          <cell r="K23">
            <v>17182.44140625</v>
          </cell>
          <cell r="L23">
            <v>3610</v>
          </cell>
          <cell r="M23">
            <v>3610</v>
          </cell>
          <cell r="N23">
            <v>76.8</v>
          </cell>
          <cell r="O23">
            <v>18.7</v>
          </cell>
          <cell r="P23">
            <v>350</v>
          </cell>
          <cell r="Q23">
            <v>48.6</v>
          </cell>
          <cell r="R23">
            <v>4930</v>
          </cell>
          <cell r="S23" t="e">
            <v>#N/A</v>
          </cell>
        </row>
        <row r="24">
          <cell r="B24" t="str">
            <v>Sx</v>
          </cell>
          <cell r="D24">
            <v>217.83138020833337</v>
          </cell>
          <cell r="E24">
            <v>114</v>
          </cell>
          <cell r="F24">
            <v>469.07336630695443</v>
          </cell>
          <cell r="G24">
            <v>532.55514705882354</v>
          </cell>
          <cell r="H24">
            <v>127</v>
          </cell>
          <cell r="I24">
            <v>213</v>
          </cell>
          <cell r="J24">
            <v>505</v>
          </cell>
          <cell r="K24">
            <v>1145.49609375</v>
          </cell>
          <cell r="L24">
            <v>245</v>
          </cell>
          <cell r="M24">
            <v>245</v>
          </cell>
          <cell r="N24">
            <v>11.4</v>
          </cell>
          <cell r="O24">
            <v>3.79</v>
          </cell>
          <cell r="P24">
            <v>35.200000000000003</v>
          </cell>
          <cell r="Q24">
            <v>7.36</v>
          </cell>
          <cell r="R24">
            <v>329</v>
          </cell>
          <cell r="S24" t="e">
            <v>#N/A</v>
          </cell>
        </row>
        <row r="25">
          <cell r="B25" t="str">
            <v>rx</v>
          </cell>
          <cell r="D25">
            <v>12.586612807649919</v>
          </cell>
          <cell r="E25">
            <v>9.11</v>
          </cell>
          <cell r="F25">
            <v>20.030929609622241</v>
          </cell>
          <cell r="G25">
            <v>30.088930688876268</v>
          </cell>
          <cell r="H25">
            <v>8.5399999999999991</v>
          </cell>
          <cell r="I25">
            <v>10.7</v>
          </cell>
          <cell r="J25">
            <v>11.6</v>
          </cell>
          <cell r="K25">
            <v>24.47350007420992</v>
          </cell>
          <cell r="L25">
            <v>11.7</v>
          </cell>
          <cell r="M25">
            <v>11.7</v>
          </cell>
          <cell r="N25">
            <v>2.2799999999999998</v>
          </cell>
          <cell r="O25">
            <v>1.6</v>
          </cell>
          <cell r="P25">
            <v>3.53</v>
          </cell>
          <cell r="Q25">
            <v>2.2200000000000002</v>
          </cell>
          <cell r="R25">
            <v>12</v>
          </cell>
          <cell r="S25" t="e">
            <v>#N/A</v>
          </cell>
        </row>
        <row r="26">
          <cell r="B26" t="str">
            <v>ybar</v>
          </cell>
          <cell r="D26">
            <v>16</v>
          </cell>
          <cell r="E26" t="str">
            <v>–</v>
          </cell>
          <cell r="F26">
            <v>17.375</v>
          </cell>
          <cell r="G26">
            <v>19.125</v>
          </cell>
          <cell r="H26" t="str">
            <v>–</v>
          </cell>
          <cell r="I26" t="str">
            <v>–</v>
          </cell>
          <cell r="J26" t="str">
            <v>–</v>
          </cell>
          <cell r="K26">
            <v>15</v>
          </cell>
          <cell r="L26" t="str">
            <v>–</v>
          </cell>
          <cell r="M26" t="str">
            <v>–</v>
          </cell>
          <cell r="N26">
            <v>1.76</v>
          </cell>
          <cell r="O26">
            <v>1.17</v>
          </cell>
          <cell r="P26">
            <v>2.8</v>
          </cell>
          <cell r="Q26">
            <v>1.56</v>
          </cell>
          <cell r="R26" t="str">
            <v>–</v>
          </cell>
          <cell r="S26" t="e">
            <v>#N/A</v>
          </cell>
        </row>
        <row r="27">
          <cell r="B27" t="str">
            <v>Iy</v>
          </cell>
          <cell r="D27">
            <v>149.12026515151513</v>
          </cell>
          <cell r="E27">
            <v>29.1</v>
          </cell>
          <cell r="F27">
            <v>188.16121419270831</v>
          </cell>
          <cell r="G27">
            <v>188.232421875</v>
          </cell>
          <cell r="H27">
            <v>57.5</v>
          </cell>
          <cell r="I27">
            <v>106</v>
          </cell>
          <cell r="J27">
            <v>555</v>
          </cell>
          <cell r="K27">
            <v>2190.025634765625</v>
          </cell>
          <cell r="L27">
            <v>115</v>
          </cell>
          <cell r="M27">
            <v>115</v>
          </cell>
          <cell r="N27">
            <v>93.1</v>
          </cell>
          <cell r="O27">
            <v>28.2</v>
          </cell>
          <cell r="P27">
            <v>265</v>
          </cell>
          <cell r="Q27">
            <v>59.5</v>
          </cell>
          <cell r="R27">
            <v>164</v>
          </cell>
          <cell r="S27" t="e">
            <v>#N/A</v>
          </cell>
        </row>
        <row r="28">
          <cell r="B28" t="str">
            <v>Sy</v>
          </cell>
          <cell r="D28">
            <v>71.318387681159408</v>
          </cell>
          <cell r="E28">
            <v>8.3000000000000007</v>
          </cell>
          <cell r="F28">
            <v>37.632242838541664</v>
          </cell>
          <cell r="G28">
            <v>37.646484375</v>
          </cell>
          <cell r="H28">
            <v>14</v>
          </cell>
          <cell r="I28">
            <v>21.2</v>
          </cell>
          <cell r="J28">
            <v>78.8</v>
          </cell>
          <cell r="K28">
            <v>243.336181640625</v>
          </cell>
          <cell r="L28">
            <v>22.1</v>
          </cell>
          <cell r="M28">
            <v>22.1</v>
          </cell>
          <cell r="N28">
            <v>17.899999999999999</v>
          </cell>
          <cell r="O28">
            <v>6.97</v>
          </cell>
          <cell r="P28">
            <v>40.9</v>
          </cell>
          <cell r="Q28">
            <v>11.6</v>
          </cell>
          <cell r="R28">
            <v>31.3</v>
          </cell>
          <cell r="S28" t="e">
            <v>#N/A</v>
          </cell>
        </row>
        <row r="29">
          <cell r="B29" t="str">
            <v>ry</v>
          </cell>
          <cell r="D29">
            <v>2.6034964702344836</v>
          </cell>
          <cell r="E29">
            <v>1.34</v>
          </cell>
          <cell r="F29">
            <v>3.043570487782822</v>
          </cell>
          <cell r="G29">
            <v>4.0904487325149708</v>
          </cell>
          <cell r="H29">
            <v>1.77</v>
          </cell>
          <cell r="I29">
            <v>2.0699999999999998</v>
          </cell>
          <cell r="J29">
            <v>3.25</v>
          </cell>
          <cell r="K29">
            <v>8.7373201193298993</v>
          </cell>
          <cell r="L29">
            <v>2.09</v>
          </cell>
          <cell r="M29">
            <v>2.09</v>
          </cell>
          <cell r="N29">
            <v>2.5099999999999998</v>
          </cell>
          <cell r="O29">
            <v>1.96</v>
          </cell>
          <cell r="P29">
            <v>3.07</v>
          </cell>
          <cell r="Q29">
            <v>2.46</v>
          </cell>
          <cell r="R29">
            <v>2.19</v>
          </cell>
          <cell r="S29" t="e">
            <v>#N/A</v>
          </cell>
        </row>
        <row r="30">
          <cell r="B30" t="str">
            <v>xbar</v>
          </cell>
          <cell r="D30">
            <v>2.0909090909090908</v>
          </cell>
          <cell r="E30" t="str">
            <v>–</v>
          </cell>
          <cell r="F30">
            <v>5</v>
          </cell>
          <cell r="G30">
            <v>5</v>
          </cell>
          <cell r="H30" t="str">
            <v>–</v>
          </cell>
          <cell r="I30" t="str">
            <v>–</v>
          </cell>
          <cell r="J30" t="str">
            <v>–</v>
          </cell>
          <cell r="K30">
            <v>9</v>
          </cell>
          <cell r="L30" t="str">
            <v>–</v>
          </cell>
          <cell r="M30" t="str">
            <v>–</v>
          </cell>
          <cell r="N30" t="str">
            <v>–</v>
          </cell>
          <cell r="O30" t="str">
            <v>–</v>
          </cell>
          <cell r="P30" t="str">
            <v>–</v>
          </cell>
          <cell r="Q30" t="str">
            <v>–</v>
          </cell>
          <cell r="R30" t="str">
            <v>–</v>
          </cell>
          <cell r="S30" t="e">
            <v>#N/A</v>
          </cell>
        </row>
        <row r="31">
          <cell r="B31" t="str">
            <v>J</v>
          </cell>
          <cell r="D31">
            <v>3488.4907145593115</v>
          </cell>
          <cell r="E31">
            <v>1.18</v>
          </cell>
          <cell r="F31">
            <v>8152.3214742891942</v>
          </cell>
          <cell r="G31">
            <v>10186.856412444069</v>
          </cell>
          <cell r="H31">
            <v>1.83</v>
          </cell>
          <cell r="I31">
            <v>2.81</v>
          </cell>
          <cell r="J31">
            <v>20.100000000000001</v>
          </cell>
          <cell r="K31">
            <v>17321.446387647455</v>
          </cell>
          <cell r="L31">
            <v>2.84</v>
          </cell>
          <cell r="M31">
            <v>2.84</v>
          </cell>
          <cell r="N31">
            <v>3.85</v>
          </cell>
          <cell r="O31">
            <v>0.85499999999999998</v>
          </cell>
          <cell r="P31">
            <v>15.3</v>
          </cell>
          <cell r="Q31">
            <v>1.19</v>
          </cell>
          <cell r="R31">
            <v>6.43</v>
          </cell>
          <cell r="S31" t="e">
            <v>#N/A</v>
          </cell>
        </row>
        <row r="32">
          <cell r="B32" t="str">
            <v>Connection</v>
          </cell>
        </row>
        <row r="33">
          <cell r="B33" t="str">
            <v>Bolt/Weld Size</v>
          </cell>
          <cell r="H33">
            <v>1331.2423708701583</v>
          </cell>
        </row>
        <row r="34">
          <cell r="B34" t="str">
            <v>Depth/Length</v>
          </cell>
          <cell r="D34">
            <v>10.25</v>
          </cell>
        </row>
        <row r="35">
          <cell r="B35" t="str">
            <v>Number of</v>
          </cell>
        </row>
        <row r="36">
          <cell r="B36" t="str">
            <v>Addt'l Members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terior Stringer"/>
      <sheetName val="Interior Stringer"/>
    </sheetNames>
    <sheetDataSet>
      <sheetData sheetId="0"/>
      <sheetData sheetId="1">
        <row r="56">
          <cell r="AX56">
            <v>103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CT104"/>
  <sheetViews>
    <sheetView tabSelected="1" view="pageLayout" zoomScale="55" zoomScaleNormal="100" zoomScaleSheetLayoutView="85" zoomScalePageLayoutView="55" workbookViewId="0">
      <selection activeCell="I57" sqref="A57:I57"/>
    </sheetView>
  </sheetViews>
  <sheetFormatPr defaultRowHeight="15" outlineLevelRow="1" outlineLevelCol="3"/>
  <cols>
    <col min="1" max="1" width="13.42578125" customWidth="1"/>
    <col min="2" max="2" width="11.5703125" style="2" customWidth="1" outlineLevel="3"/>
    <col min="3" max="3" width="11.5703125" customWidth="1" outlineLevel="3"/>
    <col min="4" max="5" width="11.5703125" customWidth="1" outlineLevel="2"/>
    <col min="6" max="6" width="15.140625" customWidth="1" outlineLevel="1"/>
    <col min="7" max="7" width="9.85546875" customWidth="1" outlineLevel="1"/>
    <col min="8" max="8" width="11.5703125" customWidth="1" outlineLevel="1"/>
    <col min="9" max="9" width="12.7109375" customWidth="1" outlineLevel="1"/>
    <col min="10" max="10" width="15" customWidth="1" outlineLevel="1"/>
    <col min="11" max="11" width="11.42578125" customWidth="1" outlineLevel="1"/>
    <col min="12" max="12" width="9.5703125" customWidth="1" outlineLevel="1"/>
    <col min="13" max="13" width="9" customWidth="1" outlineLevel="1"/>
    <col min="14" max="14" width="12.85546875" customWidth="1" outlineLevel="1"/>
    <col min="15" max="15" width="14.140625" customWidth="1" outlineLevel="1"/>
    <col min="16" max="16" width="13.42578125" customWidth="1" outlineLevel="1"/>
    <col min="17" max="17" width="7.7109375" customWidth="1" outlineLevel="1"/>
    <col min="18" max="18" width="14.85546875" style="1" customWidth="1" outlineLevel="1"/>
    <col min="19" max="19" width="13.140625" customWidth="1" outlineLevel="1"/>
    <col min="20" max="20" width="10.85546875" customWidth="1" outlineLevel="1"/>
    <col min="21" max="21" width="13.28515625" customWidth="1" outlineLevel="1"/>
    <col min="22" max="22" width="12.140625" customWidth="1" outlineLevel="1"/>
    <col min="23" max="23" width="12.28515625" customWidth="1" outlineLevel="1"/>
    <col min="24" max="24" width="14.140625" customWidth="1" outlineLevel="1"/>
    <col min="25" max="25" width="9.5703125" customWidth="1" outlineLevel="1"/>
    <col min="26" max="26" width="7.7109375" customWidth="1" outlineLevel="1"/>
    <col min="27" max="27" width="15.28515625" customWidth="1" outlineLevel="1"/>
    <col min="28" max="28" width="15.85546875" customWidth="1" outlineLevel="1"/>
    <col min="29" max="29" width="10.140625" customWidth="1"/>
    <col min="30" max="30" width="10.7109375" customWidth="1"/>
    <col min="31" max="31" width="10.140625" customWidth="1"/>
    <col min="32" max="32" width="12" customWidth="1"/>
    <col min="33" max="33" width="15.140625" customWidth="1"/>
    <col min="36" max="36" width="16.5703125" customWidth="1"/>
    <col min="37" max="37" width="13.140625" customWidth="1"/>
    <col min="38" max="41" width="10.85546875" customWidth="1"/>
    <col min="42" max="42" width="13.140625" customWidth="1"/>
    <col min="43" max="44" width="10.85546875" customWidth="1"/>
    <col min="45" max="45" width="15.5703125" customWidth="1"/>
    <col min="46" max="46" width="14.42578125" customWidth="1"/>
    <col min="47" max="47" width="11.85546875" customWidth="1"/>
    <col min="48" max="48" width="10.28515625" customWidth="1"/>
    <col min="50" max="50" width="10.140625" customWidth="1"/>
    <col min="51" max="51" width="14.140625" customWidth="1"/>
    <col min="52" max="52" width="10.85546875" customWidth="1"/>
    <col min="53" max="53" width="10.7109375" customWidth="1"/>
    <col min="54" max="54" width="16.7109375" customWidth="1"/>
  </cols>
  <sheetData>
    <row r="1" spans="1:98" ht="20.25">
      <c r="A1" s="120" t="s">
        <v>106</v>
      </c>
      <c r="B1" s="215" t="s">
        <v>107</v>
      </c>
      <c r="C1" s="216"/>
      <c r="D1" s="216"/>
      <c r="E1" s="217"/>
      <c r="F1" s="197" t="s">
        <v>105</v>
      </c>
      <c r="G1" s="198"/>
      <c r="H1" s="198"/>
      <c r="I1" s="199"/>
      <c r="J1" s="120" t="s">
        <v>106</v>
      </c>
      <c r="K1" s="215" t="str">
        <f>B1</f>
        <v>City of Lowell</v>
      </c>
      <c r="L1" s="216"/>
      <c r="M1" s="216"/>
      <c r="N1" s="217"/>
      <c r="O1" s="125" t="s">
        <v>105</v>
      </c>
      <c r="P1" s="124"/>
      <c r="Q1" s="124"/>
      <c r="R1" s="123"/>
      <c r="S1" s="120" t="s">
        <v>106</v>
      </c>
      <c r="T1" s="215" t="str">
        <f>K1</f>
        <v>City of Lowell</v>
      </c>
      <c r="U1" s="216"/>
      <c r="V1" s="216"/>
      <c r="W1" s="217"/>
      <c r="X1" s="125" t="s">
        <v>105</v>
      </c>
      <c r="Y1" s="124"/>
      <c r="Z1" s="124"/>
      <c r="AA1" s="123"/>
      <c r="AB1" s="120" t="s">
        <v>106</v>
      </c>
      <c r="AC1" s="215" t="str">
        <f>T1</f>
        <v>City of Lowell</v>
      </c>
      <c r="AD1" s="216"/>
      <c r="AE1" s="216"/>
      <c r="AF1" s="217"/>
      <c r="AG1" s="125" t="s">
        <v>105</v>
      </c>
      <c r="AH1" s="124"/>
      <c r="AI1" s="124"/>
      <c r="AJ1" s="123"/>
      <c r="AK1" s="120" t="s">
        <v>106</v>
      </c>
      <c r="AL1" s="215" t="str">
        <f>AC1</f>
        <v>City of Lowell</v>
      </c>
      <c r="AM1" s="216"/>
      <c r="AN1" s="216"/>
      <c r="AO1" s="217"/>
      <c r="AP1" s="125" t="s">
        <v>105</v>
      </c>
      <c r="AQ1" s="124"/>
      <c r="AR1" s="124"/>
      <c r="AS1" s="123"/>
      <c r="AT1" s="120" t="s">
        <v>106</v>
      </c>
      <c r="AU1" s="215" t="str">
        <f>AC1</f>
        <v>City of Lowell</v>
      </c>
      <c r="AV1" s="216"/>
      <c r="AW1" s="216"/>
      <c r="AX1" s="217"/>
      <c r="AY1" s="125" t="s">
        <v>105</v>
      </c>
      <c r="AZ1" s="124"/>
      <c r="BA1" s="124"/>
      <c r="BB1" s="123"/>
    </row>
    <row r="2" spans="1:98">
      <c r="A2" s="120" t="s">
        <v>103</v>
      </c>
      <c r="B2" s="215" t="s">
        <v>104</v>
      </c>
      <c r="C2" s="216"/>
      <c r="D2" s="216"/>
      <c r="E2" s="217"/>
      <c r="F2" s="121" t="s">
        <v>102</v>
      </c>
      <c r="G2" s="121" t="s">
        <v>101</v>
      </c>
      <c r="H2" s="121" t="s">
        <v>100</v>
      </c>
      <c r="I2" s="121">
        <v>4014312</v>
      </c>
      <c r="J2" s="120" t="s">
        <v>103</v>
      </c>
      <c r="K2" s="215" t="str">
        <f>B2</f>
        <v>University Ave, Lowell, Bridge</v>
      </c>
      <c r="L2" s="216"/>
      <c r="M2" s="216"/>
      <c r="N2" s="217"/>
      <c r="O2" s="121" t="s">
        <v>102</v>
      </c>
      <c r="P2" s="121" t="s">
        <v>101</v>
      </c>
      <c r="Q2" s="121" t="s">
        <v>100</v>
      </c>
      <c r="R2" s="121">
        <f>I2</f>
        <v>4014312</v>
      </c>
      <c r="S2" s="120" t="s">
        <v>103</v>
      </c>
      <c r="T2" s="215" t="str">
        <f>K2</f>
        <v>University Ave, Lowell, Bridge</v>
      </c>
      <c r="U2" s="216"/>
      <c r="V2" s="216"/>
      <c r="W2" s="217"/>
      <c r="X2" s="118" t="s">
        <v>102</v>
      </c>
      <c r="Y2" s="118" t="s">
        <v>101</v>
      </c>
      <c r="Z2" s="118" t="s">
        <v>100</v>
      </c>
      <c r="AA2" s="118">
        <f>R2</f>
        <v>4014312</v>
      </c>
      <c r="AB2" s="120" t="s">
        <v>103</v>
      </c>
      <c r="AC2" s="215" t="str">
        <f>T2</f>
        <v>University Ave, Lowell, Bridge</v>
      </c>
      <c r="AD2" s="216"/>
      <c r="AE2" s="216"/>
      <c r="AF2" s="217"/>
      <c r="AG2" s="118" t="s">
        <v>102</v>
      </c>
      <c r="AH2" s="118" t="s">
        <v>101</v>
      </c>
      <c r="AI2" s="118" t="s">
        <v>100</v>
      </c>
      <c r="AJ2" s="118">
        <f>AA2</f>
        <v>4014312</v>
      </c>
      <c r="AK2" s="120" t="s">
        <v>103</v>
      </c>
      <c r="AL2" s="215" t="str">
        <f>AC2</f>
        <v>University Ave, Lowell, Bridge</v>
      </c>
      <c r="AM2" s="216"/>
      <c r="AN2" s="216"/>
      <c r="AO2" s="217"/>
      <c r="AP2" s="118" t="s">
        <v>102</v>
      </c>
      <c r="AQ2" s="118" t="s">
        <v>101</v>
      </c>
      <c r="AR2" s="118" t="s">
        <v>100</v>
      </c>
      <c r="AS2" s="118">
        <f>AJ2</f>
        <v>4014312</v>
      </c>
      <c r="AT2" s="120" t="s">
        <v>103</v>
      </c>
      <c r="AU2" s="215" t="str">
        <f>AC2</f>
        <v>University Ave, Lowell, Bridge</v>
      </c>
      <c r="AV2" s="216"/>
      <c r="AW2" s="216"/>
      <c r="AX2" s="217"/>
      <c r="AY2" s="118" t="s">
        <v>102</v>
      </c>
      <c r="AZ2" s="118" t="s">
        <v>101</v>
      </c>
      <c r="BA2" s="118" t="s">
        <v>100</v>
      </c>
      <c r="BB2" s="118">
        <f>AJ2</f>
        <v>4014312</v>
      </c>
    </row>
    <row r="3" spans="1:98" ht="15" customHeight="1">
      <c r="A3" s="120" t="s">
        <v>98</v>
      </c>
      <c r="B3" s="218" t="s">
        <v>173</v>
      </c>
      <c r="C3" s="219"/>
      <c r="D3" s="219"/>
      <c r="E3" s="220"/>
      <c r="F3" s="121" t="s">
        <v>99</v>
      </c>
      <c r="G3" s="121"/>
      <c r="H3" s="121"/>
      <c r="I3" s="188">
        <v>1</v>
      </c>
      <c r="J3" s="120" t="s">
        <v>98</v>
      </c>
      <c r="K3" s="218" t="str">
        <f>B3</f>
        <v>Exterior Floor Beam Rating</v>
      </c>
      <c r="L3" s="219"/>
      <c r="M3" s="219"/>
      <c r="N3" s="220"/>
      <c r="O3" s="121" t="str">
        <f>F3</f>
        <v>ARG</v>
      </c>
      <c r="P3" s="121"/>
      <c r="Q3" s="121"/>
      <c r="R3" s="189">
        <f>I3+1</f>
        <v>2</v>
      </c>
      <c r="S3" s="120" t="s">
        <v>98</v>
      </c>
      <c r="T3" s="218" t="str">
        <f>K3</f>
        <v>Exterior Floor Beam Rating</v>
      </c>
      <c r="U3" s="219"/>
      <c r="V3" s="219"/>
      <c r="W3" s="220"/>
      <c r="X3" s="118" t="str">
        <f>O3</f>
        <v>ARG</v>
      </c>
      <c r="Y3" s="118"/>
      <c r="Z3" s="118"/>
      <c r="AA3" s="189">
        <f>R3+1</f>
        <v>3</v>
      </c>
      <c r="AB3" s="120" t="s">
        <v>98</v>
      </c>
      <c r="AC3" s="218" t="str">
        <f>T3</f>
        <v>Exterior Floor Beam Rating</v>
      </c>
      <c r="AD3" s="219"/>
      <c r="AE3" s="219"/>
      <c r="AF3" s="220"/>
      <c r="AG3" s="118" t="str">
        <f>X3</f>
        <v>ARG</v>
      </c>
      <c r="AH3" s="118"/>
      <c r="AI3" s="118"/>
      <c r="AJ3" s="189">
        <f>AA3+1</f>
        <v>4</v>
      </c>
      <c r="AK3" s="120" t="s">
        <v>98</v>
      </c>
      <c r="AL3" s="218" t="str">
        <f>AC3</f>
        <v>Exterior Floor Beam Rating</v>
      </c>
      <c r="AM3" s="219"/>
      <c r="AN3" s="219"/>
      <c r="AO3" s="220"/>
      <c r="AP3" s="118" t="str">
        <f>AG3</f>
        <v>ARG</v>
      </c>
      <c r="AQ3" s="118"/>
      <c r="AR3" s="118"/>
      <c r="AS3" s="189">
        <f>AJ3+1</f>
        <v>5</v>
      </c>
      <c r="AT3" s="120" t="s">
        <v>98</v>
      </c>
      <c r="AU3" s="218" t="str">
        <f>AC3</f>
        <v>Exterior Floor Beam Rating</v>
      </c>
      <c r="AV3" s="219"/>
      <c r="AW3" s="219"/>
      <c r="AX3" s="220"/>
      <c r="AY3" s="118" t="str">
        <f>AG3</f>
        <v>ARG</v>
      </c>
      <c r="AZ3" s="118"/>
      <c r="BA3" s="118"/>
      <c r="BB3" s="189">
        <f>AS3+1</f>
        <v>6</v>
      </c>
    </row>
    <row r="4" spans="1:98" ht="15" customHeight="1">
      <c r="A4" s="120"/>
      <c r="B4" s="221" t="s">
        <v>160</v>
      </c>
      <c r="C4" s="222"/>
      <c r="D4" s="222"/>
      <c r="E4" s="223"/>
      <c r="F4" s="122">
        <f ca="1">TODAY()</f>
        <v>42306</v>
      </c>
      <c r="G4" s="121"/>
      <c r="H4" s="121"/>
      <c r="I4" s="121"/>
      <c r="J4" s="120"/>
      <c r="K4" s="221" t="str">
        <f>IF(B4="","",B4)</f>
        <v>FB1</v>
      </c>
      <c r="L4" s="222"/>
      <c r="M4" s="222"/>
      <c r="N4" s="223"/>
      <c r="O4" s="122">
        <f ca="1">F4</f>
        <v>42306</v>
      </c>
      <c r="P4" s="121"/>
      <c r="Q4" s="121"/>
      <c r="R4" s="121"/>
      <c r="S4" s="120"/>
      <c r="T4" s="221" t="str">
        <f>IF(K4="","",K4)</f>
        <v>FB1</v>
      </c>
      <c r="U4" s="222"/>
      <c r="V4" s="222"/>
      <c r="W4" s="223"/>
      <c r="X4" s="119">
        <f ca="1">O4</f>
        <v>42306</v>
      </c>
      <c r="Y4" s="118"/>
      <c r="Z4" s="118"/>
      <c r="AA4" s="118"/>
      <c r="AB4" s="120"/>
      <c r="AC4" s="221" t="str">
        <f>IF(T4="","",T4)</f>
        <v>FB1</v>
      </c>
      <c r="AD4" s="222"/>
      <c r="AE4" s="222"/>
      <c r="AF4" s="223"/>
      <c r="AG4" s="119">
        <f ca="1">X4</f>
        <v>42306</v>
      </c>
      <c r="AH4" s="118"/>
      <c r="AI4" s="118"/>
      <c r="AJ4" s="118"/>
      <c r="AK4" s="120"/>
      <c r="AL4" s="221" t="str">
        <f>IF(AC4="","",AC4)</f>
        <v>FB1</v>
      </c>
      <c r="AM4" s="222"/>
      <c r="AN4" s="222"/>
      <c r="AO4" s="223"/>
      <c r="AP4" s="119">
        <f ca="1">AG4</f>
        <v>42306</v>
      </c>
      <c r="AQ4" s="118"/>
      <c r="AR4" s="118"/>
      <c r="AS4" s="118"/>
      <c r="AT4" s="120"/>
      <c r="AU4" s="221" t="str">
        <f>IF(AC4="","",AC4)</f>
        <v>FB1</v>
      </c>
      <c r="AV4" s="222"/>
      <c r="AW4" s="222"/>
      <c r="AX4" s="223"/>
      <c r="AY4" s="119">
        <f ca="1">AG4</f>
        <v>42306</v>
      </c>
      <c r="AZ4" s="118"/>
      <c r="BA4" s="118"/>
      <c r="BB4" s="118"/>
    </row>
    <row r="5" spans="1:98" s="27" customFormat="1" ht="14.25" customHeight="1">
      <c r="A5" s="117"/>
      <c r="B5" s="117"/>
      <c r="C5" s="117"/>
      <c r="D5" s="117"/>
      <c r="E5" s="117"/>
      <c r="F5" s="117"/>
      <c r="G5" s="117"/>
      <c r="H5" s="117"/>
      <c r="I5" s="117"/>
      <c r="J5" s="3"/>
      <c r="K5" s="3"/>
      <c r="L5" s="3"/>
      <c r="M5" s="3"/>
      <c r="N5" s="3"/>
      <c r="O5" s="117"/>
      <c r="P5" s="117"/>
      <c r="Q5" s="117"/>
      <c r="R5" s="116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80"/>
      <c r="AL5" s="180"/>
      <c r="AM5" s="180"/>
      <c r="AN5" s="180"/>
      <c r="AO5" s="180"/>
      <c r="AP5" s="180"/>
      <c r="AQ5" s="180"/>
      <c r="AR5" s="180"/>
      <c r="AS5" s="180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</row>
    <row r="6" spans="1:98" s="27" customFormat="1" ht="15" customHeight="1">
      <c r="B6" s="113"/>
      <c r="C6" s="113"/>
      <c r="D6" s="113"/>
      <c r="E6" s="115" t="s">
        <v>170</v>
      </c>
      <c r="F6" s="114" t="s">
        <v>160</v>
      </c>
      <c r="G6" s="113"/>
      <c r="H6" s="113"/>
      <c r="I6" s="113"/>
      <c r="J6" s="111" t="s">
        <v>97</v>
      </c>
      <c r="K6" s="110" t="s">
        <v>96</v>
      </c>
      <c r="L6" s="22"/>
      <c r="M6" s="26"/>
      <c r="N6" s="19"/>
      <c r="O6" s="19"/>
      <c r="P6" s="22"/>
      <c r="Q6" s="26"/>
      <c r="R6" s="22"/>
      <c r="S6" s="111" t="s">
        <v>95</v>
      </c>
      <c r="T6" s="112" t="s">
        <v>94</v>
      </c>
      <c r="U6" s="3"/>
      <c r="V6" s="3"/>
      <c r="W6" s="3"/>
      <c r="X6" s="3"/>
      <c r="Y6" s="3"/>
      <c r="Z6" s="3"/>
      <c r="AA6" s="3"/>
      <c r="AB6" s="111" t="s">
        <v>93</v>
      </c>
      <c r="AC6" s="112" t="s">
        <v>92</v>
      </c>
      <c r="AD6" s="3"/>
      <c r="AE6" s="3"/>
      <c r="AF6" s="3"/>
      <c r="AG6" s="3"/>
      <c r="AH6" s="3"/>
      <c r="AI6" s="3"/>
      <c r="AJ6" s="3"/>
      <c r="AK6" s="180"/>
      <c r="AL6" s="187" t="s">
        <v>156</v>
      </c>
      <c r="AM6" s="180"/>
      <c r="AN6" s="180"/>
      <c r="AO6" s="180"/>
      <c r="AP6" s="180"/>
      <c r="AQ6" s="180"/>
      <c r="AR6" s="180"/>
      <c r="AS6" s="180"/>
      <c r="AT6" s="111"/>
      <c r="AU6" s="187" t="s">
        <v>156</v>
      </c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 s="27" customFormat="1" ht="14.25" customHeight="1">
      <c r="A7" s="109"/>
      <c r="B7" s="109"/>
      <c r="C7" s="109"/>
      <c r="D7" s="109"/>
      <c r="E7" s="109"/>
      <c r="F7" s="109"/>
      <c r="G7" s="109"/>
      <c r="H7" s="109"/>
      <c r="I7" s="109"/>
      <c r="J7" s="3"/>
      <c r="K7" s="24"/>
      <c r="L7" s="10"/>
      <c r="M7" s="24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180"/>
      <c r="AL7" s="180"/>
      <c r="AM7" s="180"/>
      <c r="AN7" s="180"/>
      <c r="AO7" s="180"/>
      <c r="AP7" s="180"/>
      <c r="AQ7" s="180"/>
      <c r="AR7" s="180"/>
      <c r="AS7" s="180"/>
      <c r="AT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 s="27" customFormat="1" ht="14.25" customHeight="1">
      <c r="A8" s="111" t="s">
        <v>91</v>
      </c>
      <c r="B8" s="110" t="s">
        <v>90</v>
      </c>
      <c r="C8" s="19"/>
      <c r="D8" s="19"/>
      <c r="E8" s="19"/>
      <c r="F8" s="19"/>
      <c r="G8" s="19"/>
      <c r="H8" s="19"/>
      <c r="I8" s="19"/>
      <c r="J8" s="93" t="s">
        <v>89</v>
      </c>
      <c r="K8" s="246" t="s">
        <v>88</v>
      </c>
      <c r="L8" s="8"/>
      <c r="M8" s="24"/>
      <c r="N8" s="24"/>
      <c r="O8" s="3"/>
      <c r="P8" s="201" t="s">
        <v>142</v>
      </c>
      <c r="Q8" s="183"/>
      <c r="R8" s="183"/>
      <c r="S8" s="3"/>
      <c r="T8" s="3" t="s">
        <v>87</v>
      </c>
      <c r="U8" s="109"/>
      <c r="V8" s="109"/>
      <c r="W8" s="3"/>
      <c r="X8" s="3"/>
      <c r="Y8" s="3"/>
      <c r="Z8" s="3"/>
      <c r="AA8" s="3"/>
      <c r="AB8" s="3"/>
      <c r="AC8" s="3" t="s">
        <v>87</v>
      </c>
      <c r="AD8" s="109"/>
      <c r="AE8" s="109"/>
      <c r="AF8" s="3"/>
      <c r="AG8" s="3"/>
      <c r="AH8" s="3"/>
      <c r="AI8" s="3"/>
      <c r="AJ8" s="3"/>
      <c r="AK8" s="180"/>
      <c r="AL8" s="129" t="s">
        <v>120</v>
      </c>
      <c r="AS8" s="180"/>
      <c r="AT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 s="36" customFormat="1" ht="14.25" customHeight="1">
      <c r="A9" s="41"/>
      <c r="B9" s="41"/>
      <c r="C9" s="41"/>
      <c r="D9" s="98"/>
      <c r="E9" s="98"/>
      <c r="F9" s="98"/>
      <c r="G9" s="99"/>
      <c r="H9" s="98"/>
      <c r="I9" s="98"/>
      <c r="K9" s="92"/>
      <c r="L9" s="108"/>
      <c r="M9" s="41"/>
      <c r="N9" s="41"/>
      <c r="U9" s="59"/>
      <c r="V9" s="59"/>
      <c r="AD9" s="59"/>
      <c r="AE9" s="59"/>
      <c r="AK9" s="181"/>
      <c r="AL9" s="27"/>
      <c r="AM9" s="27"/>
      <c r="AN9" s="27"/>
      <c r="AO9" s="27"/>
      <c r="AP9" s="27"/>
      <c r="AQ9" s="27"/>
      <c r="AR9" s="27"/>
      <c r="AS9" s="181"/>
    </row>
    <row r="10" spans="1:98" s="36" customFormat="1" ht="14.25" customHeight="1">
      <c r="A10" s="47"/>
      <c r="B10" s="47" t="s">
        <v>86</v>
      </c>
      <c r="C10" s="46">
        <f>HLOOKUP($F$6,[1]Members!$B$7:$S$37,8,FALSE)</f>
        <v>21</v>
      </c>
      <c r="D10" s="41" t="s">
        <v>84</v>
      </c>
      <c r="E10" s="41"/>
      <c r="F10" s="107" t="s">
        <v>85</v>
      </c>
      <c r="G10" s="46">
        <f>HLOOKUP($F$6,[1]Members!$B$7:$S$37,9,FALSE)</f>
        <v>21.667000000000002</v>
      </c>
      <c r="H10" s="45" t="s">
        <v>84</v>
      </c>
      <c r="I10" s="41"/>
      <c r="K10" s="106" t="s">
        <v>136</v>
      </c>
      <c r="L10" s="105">
        <v>27.74</v>
      </c>
      <c r="M10" s="41" t="s">
        <v>16</v>
      </c>
      <c r="N10" s="41"/>
      <c r="P10" s="177" t="s">
        <v>161</v>
      </c>
      <c r="T10" s="227" t="s">
        <v>41</v>
      </c>
      <c r="U10" s="104" t="s">
        <v>83</v>
      </c>
      <c r="V10" s="59"/>
      <c r="AC10" s="227" t="s">
        <v>41</v>
      </c>
      <c r="AD10" s="104" t="s">
        <v>83</v>
      </c>
      <c r="AE10" s="59"/>
      <c r="AK10" s="181"/>
      <c r="AL10" s="126"/>
      <c r="AM10" s="126"/>
      <c r="AN10" s="126"/>
      <c r="AQ10" s="138" t="s">
        <v>113</v>
      </c>
      <c r="AR10" s="138" t="s">
        <v>111</v>
      </c>
      <c r="AS10" s="181"/>
      <c r="AU10" s="130" t="s">
        <v>125</v>
      </c>
    </row>
    <row r="11" spans="1:98" s="36" customFormat="1" ht="14.25" customHeight="1">
      <c r="A11" s="181"/>
      <c r="B11" s="47" t="s">
        <v>82</v>
      </c>
      <c r="C11" s="103" t="str">
        <f>HLOOKUP($F$6,[1]Members!$B$7:$S$37,7,FALSE)</f>
        <v>Built-up</v>
      </c>
      <c r="D11" s="41"/>
      <c r="E11" s="41"/>
      <c r="F11" s="100" t="s">
        <v>109</v>
      </c>
      <c r="G11" s="99">
        <f>HLOOKUP($F$6,[1]Members!$B$7:$S$37,13,FALSE)</f>
        <v>10</v>
      </c>
      <c r="H11" s="45" t="s">
        <v>22</v>
      </c>
      <c r="I11" s="41"/>
      <c r="K11" s="106" t="s">
        <v>136</v>
      </c>
      <c r="L11" s="105">
        <v>21.52</v>
      </c>
      <c r="M11" s="41" t="s">
        <v>16</v>
      </c>
      <c r="N11" s="102"/>
      <c r="P11" s="177" t="s">
        <v>162</v>
      </c>
      <c r="T11" s="227"/>
      <c r="U11" s="50" t="s">
        <v>81</v>
      </c>
      <c r="V11" s="59"/>
      <c r="AC11" s="227"/>
      <c r="AD11" s="50" t="s">
        <v>81</v>
      </c>
      <c r="AE11" s="59"/>
      <c r="AK11" s="181"/>
      <c r="AL11" s="137" t="s">
        <v>110</v>
      </c>
      <c r="AM11" s="140" t="s">
        <v>164</v>
      </c>
      <c r="AN11" s="140" t="s">
        <v>165</v>
      </c>
      <c r="AO11" s="164" t="s">
        <v>118</v>
      </c>
      <c r="AP11" s="165" t="s">
        <v>119</v>
      </c>
      <c r="AQ11" s="163" t="s">
        <v>112</v>
      </c>
      <c r="AR11" s="154" t="s">
        <v>112</v>
      </c>
      <c r="AS11" s="181"/>
    </row>
    <row r="12" spans="1:98" s="36" customFormat="1" ht="14.25" customHeight="1">
      <c r="A12" s="41"/>
      <c r="B12" s="53" t="s">
        <v>80</v>
      </c>
      <c r="C12" s="99">
        <f>HLOOKUP($F$6,[1]Members!$B$7:$S$37,17,FALSE)</f>
        <v>8150.149739583333</v>
      </c>
      <c r="D12" s="60" t="s">
        <v>11</v>
      </c>
      <c r="E12" s="181"/>
      <c r="F12" s="100" t="s">
        <v>79</v>
      </c>
      <c r="G12" s="99">
        <f>HLOOKUP($F$6,[1]Members!$B$7:$S$37,14,FALSE)</f>
        <v>1.125</v>
      </c>
      <c r="H12" s="45" t="s">
        <v>22</v>
      </c>
      <c r="I12" s="47"/>
      <c r="K12" s="53"/>
      <c r="L12" s="97"/>
      <c r="M12" s="60"/>
      <c r="AK12" s="181"/>
      <c r="AL12" s="251" t="s">
        <v>114</v>
      </c>
      <c r="AM12" s="156">
        <v>17.170000000000002</v>
      </c>
      <c r="AN12" s="128">
        <v>90.12</v>
      </c>
      <c r="AO12" s="156">
        <f>AM12*$AD$46</f>
        <v>17.994160000000001</v>
      </c>
      <c r="AP12" s="157">
        <f>AN12*$AD$46</f>
        <v>94.445760000000007</v>
      </c>
      <c r="AQ12" s="156">
        <f>AO12/$G$15</f>
        <v>0.88586633846153851</v>
      </c>
      <c r="AR12" s="157">
        <f>AP12*12/$C$36</f>
        <v>1.6203090451096882</v>
      </c>
      <c r="AS12" s="181"/>
      <c r="AV12" s="138" t="s">
        <v>126</v>
      </c>
      <c r="AW12" s="235" t="s">
        <v>121</v>
      </c>
      <c r="AX12" s="236"/>
      <c r="AY12" s="235" t="s">
        <v>122</v>
      </c>
      <c r="AZ12" s="236"/>
      <c r="BA12" s="166" t="s">
        <v>133</v>
      </c>
    </row>
    <row r="13" spans="1:98" s="36" customFormat="1" ht="14.25" customHeight="1" outlineLevel="1">
      <c r="A13" s="41"/>
      <c r="B13" s="53" t="s">
        <v>78</v>
      </c>
      <c r="C13" s="46">
        <f>HLOOKUP($F$6,[1]Members!$B$7:$S$37,18,FALSE)</f>
        <v>469.07336630695443</v>
      </c>
      <c r="D13" s="60" t="s">
        <v>5</v>
      </c>
      <c r="E13" s="41"/>
      <c r="F13" s="170" t="s">
        <v>77</v>
      </c>
      <c r="G13" s="99">
        <f>HLOOKUP($F$6,[1]Members!$B$7:$S$37,15,FALSE)</f>
        <v>0.625</v>
      </c>
      <c r="H13" s="56" t="s">
        <v>22</v>
      </c>
      <c r="I13" s="53"/>
      <c r="K13" s="1" t="s">
        <v>68</v>
      </c>
      <c r="L13" s="196">
        <f>199.24+188.75</f>
        <v>387.99</v>
      </c>
      <c r="M13" s="60" t="s">
        <v>25</v>
      </c>
      <c r="T13" s="36" t="s">
        <v>76</v>
      </c>
      <c r="V13" s="59"/>
      <c r="W13" s="59">
        <v>1</v>
      </c>
      <c r="X13" s="59"/>
      <c r="AC13" t="s">
        <v>75</v>
      </c>
      <c r="AE13" s="59"/>
      <c r="AG13" s="59">
        <v>1.3</v>
      </c>
      <c r="AK13" s="181"/>
      <c r="AL13" s="252" t="s">
        <v>116</v>
      </c>
      <c r="AM13" s="158">
        <v>21.34</v>
      </c>
      <c r="AN13" s="159">
        <v>112.03</v>
      </c>
      <c r="AO13" s="158">
        <f>AM13*$AE$46</f>
        <v>26.41892</v>
      </c>
      <c r="AP13" s="160">
        <f>AN13*$AE$46</f>
        <v>138.69314</v>
      </c>
      <c r="AQ13" s="158">
        <f>AO13/$G$15</f>
        <v>1.3006237538461538</v>
      </c>
      <c r="AR13" s="160">
        <f t="shared" ref="AR13:AR15" si="0">AP13*12/$C$36</f>
        <v>2.3794159656999354</v>
      </c>
      <c r="AS13" s="181"/>
      <c r="AU13" s="261" t="s">
        <v>110</v>
      </c>
      <c r="AV13" s="138" t="s">
        <v>127</v>
      </c>
      <c r="AW13" s="137" t="s">
        <v>113</v>
      </c>
      <c r="AX13" s="139" t="s">
        <v>123</v>
      </c>
      <c r="AY13" s="140" t="s">
        <v>113</v>
      </c>
      <c r="AZ13" s="139" t="s">
        <v>123</v>
      </c>
      <c r="BA13" s="136" t="s">
        <v>134</v>
      </c>
    </row>
    <row r="14" spans="1:98" s="36" customFormat="1" ht="14.25" customHeight="1" outlineLevel="1">
      <c r="A14" s="41"/>
      <c r="B14" s="47" t="s">
        <v>74</v>
      </c>
      <c r="C14" s="46">
        <f>HLOOKUP($F$6,[1]Members!$B$7:$S$37,11,FALSE)</f>
        <v>42.8125</v>
      </c>
      <c r="D14" s="60" t="s">
        <v>69</v>
      </c>
      <c r="E14" s="41"/>
      <c r="F14" s="100" t="s">
        <v>73</v>
      </c>
      <c r="G14" s="99">
        <f>HLOOKUP($F$6,[1]Members!$B$7:$S$37,16,FALSE)</f>
        <v>32.5</v>
      </c>
      <c r="H14" s="45" t="s">
        <v>22</v>
      </c>
      <c r="I14" s="47"/>
      <c r="K14" s="1" t="s">
        <v>67</v>
      </c>
      <c r="L14" s="97">
        <f>37.95+33.76</f>
        <v>71.710000000000008</v>
      </c>
      <c r="M14" s="60" t="s">
        <v>16</v>
      </c>
      <c r="P14" s="205" t="s">
        <v>166</v>
      </c>
      <c r="X14" s="59"/>
      <c r="AB14" s="181"/>
      <c r="AC14" t="s">
        <v>135</v>
      </c>
      <c r="AD14" s="181"/>
      <c r="AE14" s="181"/>
      <c r="AF14" s="181"/>
      <c r="AG14" s="59">
        <v>2.17</v>
      </c>
      <c r="AH14" s="181"/>
      <c r="AI14" s="181"/>
      <c r="AJ14" s="181"/>
      <c r="AK14" s="181"/>
      <c r="AL14" s="253" t="s">
        <v>115</v>
      </c>
      <c r="AM14" s="158">
        <v>16.170000000000002</v>
      </c>
      <c r="AN14" s="159">
        <v>84.91</v>
      </c>
      <c r="AO14" s="158">
        <f>AM14*$AF$46</f>
        <v>22.088220000000003</v>
      </c>
      <c r="AP14" s="160">
        <f>AN14*AF46</f>
        <v>115.98706</v>
      </c>
      <c r="AQ14" s="158">
        <f t="shared" ref="AQ14:AQ15" si="1">AO14/$G$15</f>
        <v>1.0874200615384617</v>
      </c>
      <c r="AR14" s="160">
        <f t="shared" si="0"/>
        <v>1.9898710374471031</v>
      </c>
      <c r="AS14" s="181"/>
      <c r="AU14" s="255" t="s">
        <v>114</v>
      </c>
      <c r="AV14" s="131">
        <v>20</v>
      </c>
      <c r="AW14" s="146">
        <f>$AV$14*AN22</f>
        <v>125.67083996789722</v>
      </c>
      <c r="AX14" s="152">
        <f>$AV$14*AO22</f>
        <v>93.100997391775223</v>
      </c>
      <c r="AY14" s="146">
        <f>$AV$14*AP22</f>
        <v>183.80844344901521</v>
      </c>
      <c r="AZ14" s="147">
        <f>$AV$14*AQ22</f>
        <v>146.07663813778723</v>
      </c>
      <c r="BA14" s="167">
        <f>MIN(AY14:AZ14)</f>
        <v>146.07663813778723</v>
      </c>
    </row>
    <row r="15" spans="1:98" s="36" customFormat="1" ht="14.25" customHeight="1">
      <c r="A15" s="41"/>
      <c r="B15" s="47" t="s">
        <v>71</v>
      </c>
      <c r="C15" s="99">
        <f>HLOOKUP($F$6,[1]Members!$B$7:$S$37,12,FALSE)</f>
        <v>34.75</v>
      </c>
      <c r="D15" s="60" t="s">
        <v>22</v>
      </c>
      <c r="E15" s="41"/>
      <c r="F15" s="100" t="s">
        <v>70</v>
      </c>
      <c r="G15" s="46">
        <f>G14*G13</f>
        <v>20.3125</v>
      </c>
      <c r="H15" s="45" t="s">
        <v>69</v>
      </c>
      <c r="I15" s="47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254" t="s">
        <v>117</v>
      </c>
      <c r="AM15" s="161">
        <v>15.38</v>
      </c>
      <c r="AN15" s="127">
        <v>80.75</v>
      </c>
      <c r="AO15" s="161">
        <f>AM15*$AG$46</f>
        <v>21.132120000000004</v>
      </c>
      <c r="AP15" s="162">
        <f>AN15*AG46</f>
        <v>110.95050000000001</v>
      </c>
      <c r="AQ15" s="161">
        <f t="shared" si="1"/>
        <v>1.0403505230769232</v>
      </c>
      <c r="AR15" s="162">
        <f t="shared" si="0"/>
        <v>1.9034639427904698</v>
      </c>
      <c r="AS15" s="181"/>
      <c r="AU15" s="256" t="s">
        <v>116</v>
      </c>
      <c r="AV15" s="131">
        <v>36</v>
      </c>
      <c r="AW15" s="146">
        <f>$AV$15*AN23</f>
        <v>154.07193644138852</v>
      </c>
      <c r="AX15" s="152">
        <f>$AV$15*AO23</f>
        <v>114.11804520226171</v>
      </c>
      <c r="AY15" s="146">
        <f>$AV$15*AP23</f>
        <v>225.34840081996376</v>
      </c>
      <c r="AZ15" s="147">
        <f>$AV$15*AQ23</f>
        <v>179.05265100280332</v>
      </c>
      <c r="BA15" s="168">
        <f t="shared" ref="BA15:BA17" si="2">MIN(AY15:AZ15)</f>
        <v>179.05265100280332</v>
      </c>
    </row>
    <row r="16" spans="1:98" s="36" customFormat="1" ht="14.25" customHeight="1">
      <c r="A16" s="41"/>
      <c r="B16" s="53"/>
      <c r="C16" s="99"/>
      <c r="D16" s="60"/>
      <c r="E16" s="181"/>
      <c r="F16" s="100"/>
      <c r="G16" s="99"/>
      <c r="H16" s="45"/>
      <c r="I16" s="47"/>
      <c r="K16" s="1" t="s">
        <v>14</v>
      </c>
      <c r="L16" s="60" t="s">
        <v>13</v>
      </c>
      <c r="S16" s="88" t="s">
        <v>63</v>
      </c>
      <c r="T16" s="87" t="s">
        <v>143</v>
      </c>
      <c r="U16" s="59"/>
      <c r="V16" s="181"/>
      <c r="W16" s="181"/>
      <c r="X16" s="181"/>
      <c r="Y16" s="181"/>
      <c r="Z16" s="181"/>
      <c r="AA16" s="181"/>
      <c r="AB16" s="88" t="s">
        <v>61</v>
      </c>
      <c r="AC16" s="87" t="s">
        <v>151</v>
      </c>
      <c r="AD16" s="59"/>
      <c r="AE16" s="181"/>
      <c r="AF16" s="181"/>
      <c r="AG16" s="181"/>
      <c r="AH16" s="181"/>
      <c r="AI16" s="181"/>
      <c r="AJ16" s="181"/>
      <c r="AK16" s="181"/>
      <c r="AL16" s="195" t="s">
        <v>163</v>
      </c>
      <c r="AM16" s="181"/>
      <c r="AN16" s="181"/>
      <c r="AO16" s="181"/>
      <c r="AP16" s="181"/>
      <c r="AQ16" s="181"/>
      <c r="AR16" s="181"/>
      <c r="AS16" s="181"/>
      <c r="AU16" s="255" t="s">
        <v>115</v>
      </c>
      <c r="AV16" s="131">
        <v>25</v>
      </c>
      <c r="AW16" s="146">
        <f>$AV$16*AN24</f>
        <v>127.97212732152803</v>
      </c>
      <c r="AX16" s="152">
        <f>$AV$16*AO24</f>
        <v>94.762666363646815</v>
      </c>
      <c r="AY16" s="146">
        <f>$AV$16*AP24</f>
        <v>187.17434795405262</v>
      </c>
      <c r="AZ16" s="147">
        <f>$AV$16*AQ24</f>
        <v>148.68381769449431</v>
      </c>
      <c r="BA16" s="168">
        <f t="shared" si="2"/>
        <v>148.68381769449431</v>
      </c>
    </row>
    <row r="17" spans="1:53" s="36" customFormat="1" ht="18.75" customHeight="1">
      <c r="A17" s="41"/>
      <c r="B17" s="53" t="s">
        <v>66</v>
      </c>
      <c r="C17" s="99">
        <f>HLOOKUP($F$6,[1]Members!$B$7:$S$37,2,FALSE)</f>
        <v>50</v>
      </c>
      <c r="D17" s="60" t="s">
        <v>53</v>
      </c>
      <c r="E17" s="181"/>
      <c r="F17" s="170"/>
      <c r="G17" s="182"/>
      <c r="H17" s="56"/>
      <c r="I17" s="53"/>
      <c r="K17" s="178" t="s">
        <v>57</v>
      </c>
      <c r="L17" s="55" t="s">
        <v>56</v>
      </c>
      <c r="M17" s="142" t="s">
        <v>1</v>
      </c>
      <c r="N17" s="54">
        <f>L13</f>
        <v>387.99</v>
      </c>
      <c r="O17" s="142" t="s">
        <v>1</v>
      </c>
      <c r="P17" s="143">
        <f>N17*12/N18</f>
        <v>9.9256967767239708</v>
      </c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U17" s="257" t="s">
        <v>117</v>
      </c>
      <c r="AV17" s="132">
        <v>36</v>
      </c>
      <c r="AW17" s="148">
        <f>$AV$17*AN25</f>
        <v>192.61740720240695</v>
      </c>
      <c r="AX17" s="153">
        <f>$AV$17*AO25</f>
        <v>142.65271467693805</v>
      </c>
      <c r="AY17" s="148">
        <f>$AV$17*AP25</f>
        <v>281.72570349735645</v>
      </c>
      <c r="AZ17" s="149">
        <f>$AV$17*AQ25</f>
        <v>223.82390699368585</v>
      </c>
      <c r="BA17" s="169">
        <f t="shared" si="2"/>
        <v>223.82390699368585</v>
      </c>
    </row>
    <row r="18" spans="1:53" s="36" customFormat="1" ht="14.25" customHeight="1">
      <c r="A18" s="98"/>
      <c r="B18" s="47" t="s">
        <v>65</v>
      </c>
      <c r="C18" s="99">
        <f>0.55*C17</f>
        <v>27.500000000000004</v>
      </c>
      <c r="D18" s="60" t="s">
        <v>53</v>
      </c>
      <c r="E18" s="41"/>
      <c r="F18" s="170" t="s">
        <v>64</v>
      </c>
      <c r="G18" s="182">
        <v>16.5</v>
      </c>
      <c r="H18" s="56" t="s">
        <v>53</v>
      </c>
      <c r="K18" s="141"/>
      <c r="L18" s="51" t="s">
        <v>7</v>
      </c>
      <c r="M18" s="142"/>
      <c r="N18" s="174">
        <f>C13</f>
        <v>469.07336630695443</v>
      </c>
      <c r="O18" s="142"/>
      <c r="P18" s="143"/>
      <c r="S18" s="181"/>
      <c r="T18" s="170" t="s">
        <v>41</v>
      </c>
      <c r="U18" s="214" t="str">
        <f>TEXT(C18,"0.0")&amp;"-"&amp;TEXT(P17,"0.00")</f>
        <v>27.5-9.93</v>
      </c>
      <c r="V18" s="214"/>
      <c r="W18" s="182" t="s">
        <v>1</v>
      </c>
      <c r="X18" s="173">
        <f>(C18-P17*W13)/(P39*(L24+1))*W13</f>
        <v>3.1699457000628253</v>
      </c>
      <c r="Y18" s="181"/>
      <c r="Z18" s="181"/>
      <c r="AA18" s="181"/>
      <c r="AB18" s="181"/>
      <c r="AC18" s="170" t="s">
        <v>41</v>
      </c>
      <c r="AD18" s="214" t="str">
        <f>TEXT(C19,"0.0")&amp;"- 1.3*"&amp;TEXT(P17,"0.00")</f>
        <v>37.5- 1.3*9.93</v>
      </c>
      <c r="AE18" s="214"/>
      <c r="AF18" s="182" t="s">
        <v>1</v>
      </c>
      <c r="AG18" s="173">
        <f>(C19-AG13*P17)/(AG14*P39*(1+L24))</f>
        <v>2.0445086377116612</v>
      </c>
      <c r="AH18" s="181"/>
      <c r="AI18" s="181"/>
      <c r="AJ18" s="181"/>
      <c r="AK18" s="181"/>
      <c r="AL18" s="130" t="s">
        <v>128</v>
      </c>
      <c r="AR18" s="181"/>
      <c r="AS18" s="181"/>
      <c r="AT18" s="88"/>
      <c r="AU18" s="180"/>
    </row>
    <row r="19" spans="1:53" s="36" customFormat="1" ht="14.25" customHeight="1">
      <c r="A19" s="98"/>
      <c r="B19" s="47" t="s">
        <v>59</v>
      </c>
      <c r="C19" s="99">
        <f>0.75*C17</f>
        <v>37.5</v>
      </c>
      <c r="D19" s="60" t="s">
        <v>53</v>
      </c>
      <c r="E19" s="41"/>
      <c r="F19" s="100" t="s">
        <v>58</v>
      </c>
      <c r="G19" s="99">
        <v>22.5</v>
      </c>
      <c r="H19" s="45" t="s">
        <v>53</v>
      </c>
      <c r="I19" s="41"/>
      <c r="J19" s="53"/>
      <c r="K19" s="40" t="s">
        <v>4</v>
      </c>
      <c r="P19" s="96"/>
      <c r="S19" s="181"/>
      <c r="T19" s="170"/>
      <c r="U19" s="213" t="str">
        <f>"1*"&amp; TEXT(P39,"0.0")&amp;"*(1+1.33)"</f>
        <v>1*2.4*(1+1.33)</v>
      </c>
      <c r="V19" s="213"/>
      <c r="W19" s="182"/>
      <c r="X19" s="173"/>
      <c r="Y19" s="181"/>
      <c r="Z19" s="181"/>
      <c r="AA19" s="181"/>
      <c r="AB19" s="181"/>
      <c r="AC19" s="170"/>
      <c r="AD19" s="213" t="str">
        <f>"2.17*"&amp; TEXT(P39,"0.0")&amp;"*(1+1.33)"</f>
        <v>2.17*2.4*(1+1.33)</v>
      </c>
      <c r="AE19" s="213"/>
      <c r="AF19" s="182"/>
      <c r="AG19" s="173"/>
      <c r="AH19" s="181"/>
      <c r="AI19" s="181"/>
      <c r="AJ19" s="181"/>
      <c r="AK19" s="181"/>
      <c r="AR19" s="181"/>
      <c r="AS19" s="181"/>
    </row>
    <row r="20" spans="1:53" s="36" customFormat="1" ht="14.25" customHeight="1">
      <c r="A20" s="98"/>
      <c r="B20" s="181"/>
      <c r="C20" s="182"/>
      <c r="D20" s="181"/>
      <c r="E20" s="58"/>
      <c r="F20" s="41"/>
      <c r="G20" s="41"/>
      <c r="H20" s="41"/>
      <c r="I20" s="41"/>
      <c r="K20" s="1" t="s">
        <v>52</v>
      </c>
      <c r="L20" s="38" t="s">
        <v>51</v>
      </c>
      <c r="M20" s="38" t="s">
        <v>1</v>
      </c>
      <c r="N20" s="142" t="str">
        <f>TEXT(L14,"0.00")&amp;"/"&amp;TEXT(G15,"0.00")</f>
        <v>71.71/20.31</v>
      </c>
      <c r="O20" s="38" t="s">
        <v>1</v>
      </c>
      <c r="P20" s="143">
        <f>L14/G15</f>
        <v>3.5303384615384621</v>
      </c>
      <c r="S20" s="181"/>
      <c r="T20" s="79"/>
      <c r="U20" s="74"/>
      <c r="V20" s="80"/>
      <c r="W20" s="79"/>
      <c r="X20" s="78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M20" s="135" t="s">
        <v>126</v>
      </c>
      <c r="AN20" s="235" t="s">
        <v>121</v>
      </c>
      <c r="AO20" s="236"/>
      <c r="AP20" s="235" t="s">
        <v>122</v>
      </c>
      <c r="AQ20" s="236"/>
      <c r="AR20" s="181"/>
      <c r="AS20" s="181"/>
      <c r="AU20" s="130" t="s">
        <v>124</v>
      </c>
    </row>
    <row r="21" spans="1:53" s="36" customFormat="1" ht="14.25" customHeight="1" outlineLevel="1">
      <c r="A21" s="98"/>
      <c r="B21" s="96" t="s">
        <v>18</v>
      </c>
      <c r="C21" s="97"/>
      <c r="D21" s="41"/>
      <c r="E21" s="181"/>
      <c r="F21" s="181"/>
      <c r="G21" s="181"/>
      <c r="H21" s="41"/>
      <c r="I21" s="41"/>
      <c r="K21" s="95"/>
      <c r="P21" s="94"/>
      <c r="S21" s="88" t="s">
        <v>47</v>
      </c>
      <c r="T21" s="87" t="s">
        <v>144</v>
      </c>
      <c r="U21" s="59"/>
      <c r="V21" s="181"/>
      <c r="W21" s="181"/>
      <c r="X21" s="181"/>
      <c r="Y21" s="181"/>
      <c r="Z21" s="181"/>
      <c r="AA21" s="181"/>
      <c r="AB21" s="88" t="s">
        <v>45</v>
      </c>
      <c r="AC21" s="87" t="s">
        <v>150</v>
      </c>
      <c r="AD21" s="59"/>
      <c r="AE21" s="181"/>
      <c r="AF21" s="181"/>
      <c r="AG21" s="181"/>
      <c r="AH21" s="181"/>
      <c r="AI21" s="181"/>
      <c r="AJ21" s="181"/>
      <c r="AK21" s="181"/>
      <c r="AL21" s="138" t="s">
        <v>110</v>
      </c>
      <c r="AM21" s="136" t="s">
        <v>127</v>
      </c>
      <c r="AN21" s="137" t="s">
        <v>113</v>
      </c>
      <c r="AO21" s="139" t="s">
        <v>123</v>
      </c>
      <c r="AP21" s="140" t="s">
        <v>113</v>
      </c>
      <c r="AQ21" s="139" t="s">
        <v>123</v>
      </c>
      <c r="AR21" s="181"/>
      <c r="AS21" s="181"/>
    </row>
    <row r="22" spans="1:53" s="36" customFormat="1" ht="14.25" customHeight="1" outlineLevel="1">
      <c r="A22" s="181"/>
      <c r="B22" s="53" t="s">
        <v>55</v>
      </c>
      <c r="C22" s="182">
        <f>HLOOKUP($B$21,[1]Members!$B$7:$S$37,12,FALSE)</f>
        <v>8</v>
      </c>
      <c r="D22" s="42" t="s">
        <v>22</v>
      </c>
      <c r="E22" s="44"/>
      <c r="F22" s="53" t="s">
        <v>54</v>
      </c>
      <c r="G22" s="182">
        <f>HLOOKUP($B$21,[1]Members!$B$7:$S$37,2,FALSE)</f>
        <v>4</v>
      </c>
      <c r="H22" s="181" t="s">
        <v>53</v>
      </c>
      <c r="I22" s="47"/>
      <c r="J22" s="93" t="s">
        <v>49</v>
      </c>
      <c r="K22" s="246" t="s">
        <v>48</v>
      </c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255" t="s">
        <v>114</v>
      </c>
      <c r="AM22" s="133">
        <v>20</v>
      </c>
      <c r="AN22" s="144">
        <f>($G$18-$W$13*$P$20)/($W$13*(AQ12*(1+$L$24)))</f>
        <v>6.2835419983948615</v>
      </c>
      <c r="AO22" s="145">
        <f>($C$18-$W$13*$P$17)/($W$13*(AR12*(1+$L$24)))</f>
        <v>4.655049869588761</v>
      </c>
      <c r="AP22" s="144">
        <f>($G$19-$W$13*$P$20)/($W$13*(AQ12*(1+$L$24)))</f>
        <v>9.1904221724507611</v>
      </c>
      <c r="AQ22" s="145">
        <f>($C$19-$W$13*$P$17)/($W$13*(AR12*(1+$L$24)))</f>
        <v>7.3038319068893616</v>
      </c>
      <c r="AR22" s="181"/>
      <c r="AS22" s="181"/>
      <c r="AV22" s="138" t="s">
        <v>126</v>
      </c>
      <c r="AW22" s="235" t="s">
        <v>121</v>
      </c>
      <c r="AX22" s="236"/>
      <c r="AY22" s="235" t="s">
        <v>122</v>
      </c>
      <c r="AZ22" s="236"/>
      <c r="BA22" s="166" t="s">
        <v>133</v>
      </c>
    </row>
    <row r="23" spans="1:53" s="36" customFormat="1" ht="14.25" customHeight="1" outlineLevel="1">
      <c r="A23" s="181"/>
      <c r="B23" s="53" t="s">
        <v>50</v>
      </c>
      <c r="C23" s="182">
        <f>HLOOKUP($B$21,[1]Members!$B$7:$S$37,13,FALSE)</f>
        <v>88</v>
      </c>
      <c r="D23" s="41" t="s">
        <v>22</v>
      </c>
      <c r="E23" s="44"/>
      <c r="F23" s="92"/>
      <c r="G23" s="181"/>
      <c r="H23" s="41"/>
      <c r="I23" s="41"/>
      <c r="K23" s="53"/>
      <c r="S23" s="181"/>
      <c r="T23" s="171" t="s">
        <v>41</v>
      </c>
      <c r="U23" s="214" t="str">
        <f>TEXT(G19,"0.0")&amp;"-"&amp;TEXT(P20,"0.00")</f>
        <v>22.5-3.53</v>
      </c>
      <c r="V23" s="214"/>
      <c r="W23" s="182" t="s">
        <v>1</v>
      </c>
      <c r="X23" s="173">
        <f>(G18-W13*P20)/(W13*(P42*(1+L24)))</f>
        <v>4.2797760122607924</v>
      </c>
      <c r="Y23" s="181"/>
      <c r="Z23" s="181"/>
      <c r="AA23" s="181"/>
      <c r="AB23" s="181"/>
      <c r="AC23" s="171" t="s">
        <v>41</v>
      </c>
      <c r="AD23" s="214" t="str">
        <f>TEXT(G19,"0.0")&amp;"- 1.3*"&amp;TEXT(P20,"0.00")</f>
        <v>22.5- 1.3*3.53</v>
      </c>
      <c r="AE23" s="214"/>
      <c r="AF23" s="182" t="s">
        <v>1</v>
      </c>
      <c r="AG23" s="173">
        <f>(G19-AG13*P20)/(AG14*P42*(1+L24))</f>
        <v>2.7235906123919071</v>
      </c>
      <c r="AH23" s="181"/>
      <c r="AI23" s="181"/>
      <c r="AJ23" s="181"/>
      <c r="AK23" s="181"/>
      <c r="AL23" s="256" t="s">
        <v>116</v>
      </c>
      <c r="AM23" s="133">
        <v>36</v>
      </c>
      <c r="AN23" s="146">
        <f>($G$18-$P$20)/(AQ13*(1+$L$24))</f>
        <v>4.2797760122607924</v>
      </c>
      <c r="AO23" s="147">
        <f>($C$18-$P$17)/(AR13*(1+$L$24))</f>
        <v>3.1699457000628253</v>
      </c>
      <c r="AP23" s="146">
        <f>($G$19-$P$20)/(AQ13*(1+$L$24))</f>
        <v>6.2596778005545488</v>
      </c>
      <c r="AQ23" s="147">
        <f>($C$19-$P$17)/(AR13*(1+$L$24))</f>
        <v>4.9736847500778696</v>
      </c>
      <c r="AR23" s="181"/>
      <c r="AS23" s="181"/>
      <c r="AU23" s="138" t="s">
        <v>110</v>
      </c>
      <c r="AV23" s="138" t="s">
        <v>127</v>
      </c>
      <c r="AW23" s="137" t="s">
        <v>113</v>
      </c>
      <c r="AX23" s="139" t="s">
        <v>123</v>
      </c>
      <c r="AY23" s="140" t="s">
        <v>113</v>
      </c>
      <c r="AZ23" s="139" t="s">
        <v>123</v>
      </c>
      <c r="BA23" s="136" t="s">
        <v>134</v>
      </c>
    </row>
    <row r="24" spans="1:53" s="36" customFormat="1" ht="14.25" customHeight="1" outlineLevel="1">
      <c r="A24" s="181"/>
      <c r="B24" s="181"/>
      <c r="C24" s="181"/>
      <c r="D24" s="181"/>
      <c r="E24" s="44"/>
      <c r="F24" s="92"/>
      <c r="G24" s="92"/>
      <c r="H24" s="181"/>
      <c r="I24" s="47"/>
      <c r="K24" s="142" t="s">
        <v>42</v>
      </c>
      <c r="L24" s="96">
        <v>1.33</v>
      </c>
      <c r="P24" s="177" t="s">
        <v>108</v>
      </c>
      <c r="S24" s="181"/>
      <c r="T24" s="170"/>
      <c r="U24" s="213" t="str">
        <f>"1*"&amp; TEXT(P42,"0.0")&amp;"*(1+1.33)"</f>
        <v>1*1.3*(1+1.33)</v>
      </c>
      <c r="V24" s="213"/>
      <c r="W24" s="182"/>
      <c r="X24" s="173"/>
      <c r="Y24" s="181"/>
      <c r="Z24" s="181"/>
      <c r="AA24" s="181"/>
      <c r="AB24" s="181"/>
      <c r="AC24" s="170"/>
      <c r="AD24" s="213" t="str">
        <f>"2.17*"&amp; TEXT(P42,"0.0")&amp;"*(1+1.33)"</f>
        <v>2.17*1.3*(1+1.33)</v>
      </c>
      <c r="AE24" s="213"/>
      <c r="AF24" s="182"/>
      <c r="AG24" s="173"/>
      <c r="AH24" s="181"/>
      <c r="AI24" s="181"/>
      <c r="AJ24" s="181"/>
      <c r="AK24" s="181"/>
      <c r="AL24" s="255" t="s">
        <v>115</v>
      </c>
      <c r="AM24" s="133">
        <v>25</v>
      </c>
      <c r="AN24" s="146">
        <f>($G$18-$P$20)/(AQ14*(1+$L$24))</f>
        <v>5.1188850928611211</v>
      </c>
      <c r="AO24" s="147">
        <f>($C$18-$P$17)/(AR14*(1+$L$24))</f>
        <v>3.7905066545458728</v>
      </c>
      <c r="AP24" s="146">
        <f>($G$19-$P$20)/(AQ14*(1+$L$24))</f>
        <v>7.4869739181621053</v>
      </c>
      <c r="AQ24" s="147">
        <f>($C$19-$P$17)/(AR14*(1+$L$24))</f>
        <v>5.9473527077797721</v>
      </c>
      <c r="AR24" s="181"/>
      <c r="AS24" s="181"/>
      <c r="AT24" s="88"/>
      <c r="AU24" s="255" t="s">
        <v>114</v>
      </c>
      <c r="AV24" s="131">
        <v>20</v>
      </c>
      <c r="AW24" s="146">
        <f>$AV$24*AN32</f>
        <v>79.975194731549351</v>
      </c>
      <c r="AX24" s="152">
        <f>$AV$24*AO32</f>
        <v>60.047020156617457</v>
      </c>
      <c r="AY24" s="146">
        <f>$AV$24*AP32</f>
        <v>133.49705582112466</v>
      </c>
      <c r="AZ24" s="147">
        <f>$AV$24*AQ32</f>
        <v>100.23233364604606</v>
      </c>
      <c r="BA24" s="167">
        <v>96.005491216872599</v>
      </c>
    </row>
    <row r="25" spans="1:53" s="36" customFormat="1" ht="14.25" customHeight="1" outlineLevel="1">
      <c r="A25" s="181"/>
      <c r="B25" s="72" t="s">
        <v>43</v>
      </c>
      <c r="C25" s="70"/>
      <c r="D25" s="70"/>
      <c r="E25" s="181"/>
      <c r="F25" s="92"/>
      <c r="G25" s="92"/>
      <c r="H25" s="181"/>
      <c r="K25" s="53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257" t="s">
        <v>117</v>
      </c>
      <c r="AM25" s="134">
        <v>36</v>
      </c>
      <c r="AN25" s="148">
        <f>($G$18-$P$20)/(AQ15*(1+$L$24))</f>
        <v>5.350483533400193</v>
      </c>
      <c r="AO25" s="149">
        <f>($C$18-$P$17)/(AR15*(1+$L$24))</f>
        <v>3.9625754076927233</v>
      </c>
      <c r="AP25" s="148">
        <f>($G$19-$P$20)/(AQ15*(1+$L$24))</f>
        <v>7.8257139860376794</v>
      </c>
      <c r="AQ25" s="149">
        <f>($C$19-$P$17)/(AR15*(1+$L$24))</f>
        <v>6.2173307498246073</v>
      </c>
      <c r="AR25" s="181"/>
      <c r="AS25" s="181"/>
      <c r="AU25" s="256" t="s">
        <v>116</v>
      </c>
      <c r="AV25" s="131">
        <v>36</v>
      </c>
      <c r="AW25" s="146">
        <f>$AV$25*AN33</f>
        <v>98.049262046108652</v>
      </c>
      <c r="AX25" s="152">
        <f>$AV$25*AO33</f>
        <v>73.602310957619807</v>
      </c>
      <c r="AY25" s="146">
        <f>$AV$25*AP33</f>
        <v>163.66684510773518</v>
      </c>
      <c r="AZ25" s="147">
        <f>$AV$25*AQ33</f>
        <v>122.85924213694997</v>
      </c>
      <c r="BA25" s="168">
        <v>147.93452424337414</v>
      </c>
    </row>
    <row r="26" spans="1:53" s="36" customFormat="1" ht="14.25" customHeight="1" outlineLevel="1">
      <c r="A26" s="181"/>
      <c r="B26" s="181"/>
      <c r="C26" s="181"/>
      <c r="D26" s="181"/>
      <c r="E26" s="181"/>
      <c r="F26" s="181"/>
      <c r="G26" s="92"/>
      <c r="H26" s="181"/>
      <c r="K26" s="89" t="s">
        <v>38</v>
      </c>
      <c r="L26" s="70"/>
      <c r="S26" s="88" t="s">
        <v>145</v>
      </c>
      <c r="T26" s="87" t="s">
        <v>62</v>
      </c>
      <c r="U26" s="59"/>
      <c r="V26" s="181"/>
      <c r="W26" s="181"/>
      <c r="X26" s="181"/>
      <c r="Y26" s="181"/>
      <c r="Z26" s="181"/>
      <c r="AA26" s="181"/>
      <c r="AB26" s="88" t="s">
        <v>152</v>
      </c>
      <c r="AC26" s="87" t="s">
        <v>60</v>
      </c>
      <c r="AD26" s="59"/>
      <c r="AE26" s="181"/>
      <c r="AF26" s="181"/>
      <c r="AG26" s="181"/>
      <c r="AH26" s="181"/>
      <c r="AI26" s="181"/>
      <c r="AJ26" s="181"/>
      <c r="AK26" s="181"/>
      <c r="AR26" s="181"/>
      <c r="AS26" s="181"/>
      <c r="AU26" s="255" t="s">
        <v>115</v>
      </c>
      <c r="AV26" s="131">
        <v>25</v>
      </c>
      <c r="AW26" s="146">
        <f>$AV$26*AN34</f>
        <v>81.439702363446216</v>
      </c>
      <c r="AX26" s="152">
        <f>$AV$26*AO34</f>
        <v>61.118740901216206</v>
      </c>
      <c r="AY26" s="146">
        <f>$AV$26*AP34</f>
        <v>135.94165702206021</v>
      </c>
      <c r="AZ26" s="147">
        <f>$AV$26*AQ34</f>
        <v>102.02128288895321</v>
      </c>
      <c r="BA26" s="168">
        <v>164.25025164319953</v>
      </c>
    </row>
    <row r="27" spans="1:53" s="36" customFormat="1" ht="14.25" customHeight="1" outlineLevel="1">
      <c r="A27" s="181"/>
      <c r="B27" s="72" t="s">
        <v>40</v>
      </c>
      <c r="C27" s="71"/>
      <c r="D27" s="70"/>
      <c r="E27" s="181"/>
      <c r="F27" s="181"/>
      <c r="G27" s="181"/>
      <c r="H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R27" s="181"/>
      <c r="AS27" s="181"/>
      <c r="AU27" s="257" t="s">
        <v>117</v>
      </c>
      <c r="AV27" s="132">
        <v>36</v>
      </c>
      <c r="AW27" s="148">
        <f>$AV$27*AN35</f>
        <v>122.57906968421439</v>
      </c>
      <c r="AX27" s="153">
        <f>$AV$27*AO35</f>
        <v>92.006215546290449</v>
      </c>
      <c r="AY27" s="148">
        <f>$AV$27*AP35</f>
        <v>204.61275478057323</v>
      </c>
      <c r="AZ27" s="149">
        <f>$AV$27*AQ35</f>
        <v>153.57960595034635</v>
      </c>
      <c r="BA27" s="169">
        <v>190.58211666180193</v>
      </c>
    </row>
    <row r="28" spans="1:53" s="36" customFormat="1" ht="14.25" customHeight="1" outlineLevel="1">
      <c r="A28" s="69"/>
      <c r="B28" s="181"/>
      <c r="C28" s="181"/>
      <c r="D28" s="181"/>
      <c r="E28" s="53" t="s">
        <v>39</v>
      </c>
      <c r="F28" s="46">
        <v>6</v>
      </c>
      <c r="G28" s="181"/>
      <c r="H28" s="181"/>
      <c r="J28" s="185"/>
      <c r="S28" s="181"/>
      <c r="T28" s="170" t="s">
        <v>41</v>
      </c>
      <c r="U28" s="214" t="str">
        <f>TEXT(C19,"0.0")&amp;"-"&amp;TEXT(P17,"0.00")</f>
        <v>37.5-9.93</v>
      </c>
      <c r="V28" s="214"/>
      <c r="W28" s="182" t="s">
        <v>1</v>
      </c>
      <c r="X28" s="173">
        <f>(C19-P17*W13)/(P39*(L24+1))*W13</f>
        <v>4.9736847500778696</v>
      </c>
      <c r="Y28" s="181"/>
      <c r="Z28" s="181"/>
      <c r="AA28" s="181"/>
      <c r="AB28" s="181"/>
      <c r="AC28" s="170" t="s">
        <v>41</v>
      </c>
      <c r="AD28" s="214" t="str">
        <f>TEXT(C19,"0.0")&amp;"- 1.3*"&amp;TEXT(P17,"0.00")</f>
        <v>37.5- 1.3*9.93</v>
      </c>
      <c r="AE28" s="214"/>
      <c r="AF28" s="182" t="s">
        <v>1</v>
      </c>
      <c r="AG28" s="173">
        <f>(C19-AG13*P17)/(AG13*P39*(1+L24))</f>
        <v>3.4127567260263878</v>
      </c>
      <c r="AH28" s="181"/>
      <c r="AI28" s="181"/>
      <c r="AJ28" s="181"/>
      <c r="AK28" s="181"/>
      <c r="AL28" s="130" t="s">
        <v>129</v>
      </c>
      <c r="AR28" s="181"/>
      <c r="AS28" s="181"/>
      <c r="AU28" s="180"/>
    </row>
    <row r="29" spans="1:53" s="36" customFormat="1" ht="18" customHeight="1" outlineLevel="1">
      <c r="A29" s="181"/>
      <c r="B29" s="228"/>
      <c r="C29" s="191" t="s">
        <v>30</v>
      </c>
      <c r="D29" s="191" t="s">
        <v>29</v>
      </c>
      <c r="E29" s="191" t="s">
        <v>28</v>
      </c>
      <c r="F29" s="191" t="s">
        <v>27</v>
      </c>
      <c r="G29" s="191" t="s">
        <v>157</v>
      </c>
      <c r="H29" s="191" t="s">
        <v>158</v>
      </c>
      <c r="J29" s="241"/>
      <c r="Q29" s="59"/>
      <c r="R29" s="181"/>
      <c r="S29" s="181"/>
      <c r="T29" s="170"/>
      <c r="U29" s="213" t="str">
        <f>"1*"&amp; TEXT(P39,"0.0")&amp;"*(1+1.33)"</f>
        <v>1*2.4*(1+1.33)</v>
      </c>
      <c r="V29" s="213"/>
      <c r="W29" s="182"/>
      <c r="X29" s="173"/>
      <c r="Y29" s="181"/>
      <c r="Z29" s="181"/>
      <c r="AA29" s="181"/>
      <c r="AB29" s="181"/>
      <c r="AC29" s="170"/>
      <c r="AD29" s="213" t="str">
        <f>"1.3*"&amp; TEXT(P39,"0.0")&amp;"*(1+1.33)"</f>
        <v>1.3*2.4*(1+1.33)</v>
      </c>
      <c r="AE29" s="213"/>
      <c r="AF29" s="182"/>
      <c r="AG29" s="173"/>
      <c r="AH29" s="181"/>
      <c r="AI29" s="181"/>
      <c r="AJ29" s="181"/>
      <c r="AK29" s="181"/>
      <c r="AR29" s="181"/>
      <c r="AS29" s="181"/>
      <c r="AU29" s="180"/>
    </row>
    <row r="30" spans="1:53" s="36" customFormat="1" ht="15" customHeight="1" outlineLevel="1">
      <c r="A30" s="181"/>
      <c r="B30" s="229"/>
      <c r="C30" s="190" t="s">
        <v>24</v>
      </c>
      <c r="D30" s="190" t="s">
        <v>22</v>
      </c>
      <c r="E30" s="190" t="s">
        <v>23</v>
      </c>
      <c r="F30" s="190" t="s">
        <v>22</v>
      </c>
      <c r="G30" s="190" t="s">
        <v>21</v>
      </c>
      <c r="H30" s="190" t="s">
        <v>21</v>
      </c>
      <c r="J30" s="185"/>
      <c r="K30" s="53" t="s">
        <v>34</v>
      </c>
      <c r="L30" s="73">
        <v>1.238</v>
      </c>
      <c r="P30" s="205" t="s">
        <v>137</v>
      </c>
      <c r="Q30" s="181"/>
      <c r="R30" s="181"/>
      <c r="S30" s="181"/>
      <c r="T30" s="79"/>
      <c r="U30" s="74"/>
      <c r="V30" s="80"/>
      <c r="W30" s="79"/>
      <c r="X30" s="78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M30" s="138" t="s">
        <v>126</v>
      </c>
      <c r="AN30" s="235" t="s">
        <v>121</v>
      </c>
      <c r="AO30" s="236"/>
      <c r="AP30" s="235" t="s">
        <v>122</v>
      </c>
      <c r="AQ30" s="236"/>
      <c r="AR30" s="181"/>
      <c r="AS30" s="181"/>
      <c r="AT30" s="88"/>
      <c r="AU30" s="204" t="s">
        <v>174</v>
      </c>
      <c r="AV30" s="202"/>
      <c r="AW30" s="202"/>
      <c r="AX30" s="202"/>
      <c r="AY30" s="202"/>
    </row>
    <row r="31" spans="1:53" s="36" customFormat="1" ht="14.25" customHeight="1" outlineLevel="1">
      <c r="A31" s="181"/>
      <c r="B31" s="192" t="s">
        <v>18</v>
      </c>
      <c r="C31" s="84">
        <f>C22*C23/F28</f>
        <v>117.33333333333333</v>
      </c>
      <c r="D31" s="86">
        <f>C15+C22/2</f>
        <v>38.75</v>
      </c>
      <c r="E31" s="82">
        <f>C31*D31</f>
        <v>4546.6666666666661</v>
      </c>
      <c r="F31" s="84">
        <f>ABS(D31-$E$34)</f>
        <v>5.7142740991283958</v>
      </c>
      <c r="G31" s="83">
        <f>C31*F31^2</f>
        <v>3831.2769416497708</v>
      </c>
      <c r="H31" s="83">
        <f>(1/12)*(C23*C22^3)/F28</f>
        <v>625.77777777777771</v>
      </c>
      <c r="J31" s="185"/>
      <c r="P31" s="205"/>
      <c r="Q31" s="173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38" t="s">
        <v>110</v>
      </c>
      <c r="AM31" s="138" t="s">
        <v>127</v>
      </c>
      <c r="AN31" s="137" t="s">
        <v>113</v>
      </c>
      <c r="AO31" s="139" t="s">
        <v>123</v>
      </c>
      <c r="AP31" s="150" t="s">
        <v>113</v>
      </c>
      <c r="AQ31" s="151" t="s">
        <v>123</v>
      </c>
      <c r="AR31" s="181"/>
      <c r="AS31" s="181"/>
      <c r="AU31" s="202"/>
      <c r="AV31" s="202"/>
      <c r="AW31" s="202"/>
      <c r="AX31" s="202"/>
      <c r="AY31" s="202"/>
    </row>
    <row r="32" spans="1:53" s="36" customFormat="1" ht="14.25" customHeight="1" outlineLevel="1">
      <c r="A32" s="181"/>
      <c r="B32" s="193" t="str">
        <f>C11</f>
        <v>Built-up</v>
      </c>
      <c r="C32" s="85">
        <f>C14</f>
        <v>42.8125</v>
      </c>
      <c r="D32" s="84">
        <f>C15/2</f>
        <v>17.375</v>
      </c>
      <c r="E32" s="82">
        <f>C32*D32</f>
        <v>743.8671875</v>
      </c>
      <c r="F32" s="84">
        <f>ABS(D32-$E$34)</f>
        <v>15.660725900871604</v>
      </c>
      <c r="G32" s="83">
        <f>C32*F32^2</f>
        <v>10500.122498964252</v>
      </c>
      <c r="H32" s="82">
        <f>C12</f>
        <v>8150.149739583333</v>
      </c>
      <c r="K32" s="70" t="s">
        <v>130</v>
      </c>
      <c r="L32" s="142"/>
      <c r="P32" s="205"/>
      <c r="Q32" s="75"/>
      <c r="R32" s="80"/>
      <c r="S32" s="88" t="s">
        <v>146</v>
      </c>
      <c r="T32" s="87" t="s">
        <v>46</v>
      </c>
      <c r="U32" s="59"/>
      <c r="V32" s="181"/>
      <c r="W32" s="181"/>
      <c r="X32" s="181"/>
      <c r="Y32" s="181"/>
      <c r="Z32" s="181"/>
      <c r="AA32" s="181"/>
      <c r="AB32" s="88" t="s">
        <v>153</v>
      </c>
      <c r="AC32" s="87" t="s">
        <v>44</v>
      </c>
      <c r="AD32" s="59"/>
      <c r="AE32" s="181"/>
      <c r="AF32" s="181"/>
      <c r="AG32" s="181"/>
      <c r="AH32" s="181"/>
      <c r="AI32" s="181"/>
      <c r="AJ32" s="181"/>
      <c r="AK32" s="181"/>
      <c r="AL32" s="255" t="s">
        <v>114</v>
      </c>
      <c r="AM32" s="133">
        <v>20</v>
      </c>
      <c r="AN32" s="144">
        <f>($G$19-$AG$13*$P$20)/($AG$14*(AQ12*(1+$L$24)))</f>
        <v>3.9987597365774676</v>
      </c>
      <c r="AO32" s="145">
        <f>($C$19-$AG$13*$P$17)/($AG$14*(AR12*(1+$L$24)))</f>
        <v>3.0023510078308728</v>
      </c>
      <c r="AP32" s="144">
        <f>($G$19-$AG$13*$P$20)/($AG$13*(AQ12*(1+$L$24)))</f>
        <v>6.6748527910562334</v>
      </c>
      <c r="AQ32" s="145">
        <f>($C$19-$AG$13*$P$17)/($AG$13*(AR12*(1+$L$24)))</f>
        <v>5.0116166823023027</v>
      </c>
      <c r="AR32" s="181"/>
      <c r="AS32" s="181"/>
      <c r="AU32" s="202"/>
      <c r="AV32" s="237" t="s">
        <v>175</v>
      </c>
      <c r="AW32" s="238"/>
      <c r="AX32" s="237" t="s">
        <v>176</v>
      </c>
      <c r="AY32" s="238"/>
    </row>
    <row r="33" spans="1:51" s="36" customFormat="1" ht="14.25" customHeight="1">
      <c r="A33" s="181"/>
      <c r="B33" s="53" t="s">
        <v>15</v>
      </c>
      <c r="C33" s="61">
        <f>SUM(C31:C32)</f>
        <v>160.14583333333331</v>
      </c>
      <c r="D33" s="53" t="s">
        <v>15</v>
      </c>
      <c r="E33" s="61">
        <f>SUM(E31:E32)</f>
        <v>5290.5338541666661</v>
      </c>
      <c r="F33" s="58"/>
      <c r="G33" s="43"/>
      <c r="H33" s="42"/>
      <c r="K33" s="53" t="s">
        <v>31</v>
      </c>
      <c r="L33" s="97">
        <f>AN13</f>
        <v>112.03</v>
      </c>
      <c r="M33" s="36" t="s">
        <v>25</v>
      </c>
      <c r="P33" s="203" t="s">
        <v>19</v>
      </c>
      <c r="Q33" s="75"/>
      <c r="R33" s="74"/>
      <c r="S33" s="181"/>
      <c r="T33" s="181"/>
      <c r="U33" s="181"/>
      <c r="V33" s="181"/>
      <c r="W33" s="181"/>
      <c r="X33" s="181"/>
      <c r="Y33" s="77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256" t="s">
        <v>116</v>
      </c>
      <c r="AM33" s="133">
        <v>36</v>
      </c>
      <c r="AN33" s="146">
        <f>($G$19-$AG$13*$P$20)/($AG$14*(AQ13*(1+$L$24)))</f>
        <v>2.7235906123919071</v>
      </c>
      <c r="AO33" s="147">
        <f>($C$19-$AG$13*$P$17)/($AG$14*(AR13*(1+$L$24)))</f>
        <v>2.0445086377116612</v>
      </c>
      <c r="AP33" s="146">
        <f>($G$19-$AG$13*$P$20)/($AG$13*(AQ13*(1+$L$24)))</f>
        <v>4.5463012529926443</v>
      </c>
      <c r="AQ33" s="147">
        <f>($C$19-$AG$13*$P$17)/($AG$13*(AR13*(1+$L$24)))</f>
        <v>3.4127567260263882</v>
      </c>
      <c r="AR33" s="181"/>
      <c r="AS33" s="181"/>
      <c r="AU33" s="209" t="s">
        <v>110</v>
      </c>
      <c r="AV33" s="209" t="s">
        <v>177</v>
      </c>
      <c r="AW33" s="209" t="s">
        <v>178</v>
      </c>
      <c r="AX33" s="209" t="s">
        <v>177</v>
      </c>
      <c r="AY33" s="209" t="s">
        <v>178</v>
      </c>
    </row>
    <row r="34" spans="1:51" s="36" customFormat="1" ht="14.25" customHeight="1">
      <c r="A34" s="181"/>
      <c r="B34" s="181"/>
      <c r="C34" s="53"/>
      <c r="D34" s="57" t="s">
        <v>12</v>
      </c>
      <c r="E34" s="59">
        <f>E33/C33</f>
        <v>33.035725900871604</v>
      </c>
      <c r="F34" s="58"/>
      <c r="G34" s="57" t="s">
        <v>0</v>
      </c>
      <c r="H34" s="46">
        <f>SUM(G31:H32)</f>
        <v>23107.326957975132</v>
      </c>
      <c r="I34" s="36" t="s">
        <v>11</v>
      </c>
      <c r="K34" s="1" t="s">
        <v>26</v>
      </c>
      <c r="L34" s="66">
        <f>L33*L30</f>
        <v>138.69314</v>
      </c>
      <c r="M34" s="36" t="s">
        <v>25</v>
      </c>
      <c r="P34" s="203" t="s">
        <v>131</v>
      </c>
      <c r="S34" s="181"/>
      <c r="T34" s="171" t="s">
        <v>41</v>
      </c>
      <c r="U34" s="214" t="str">
        <f>TEXT(G19,"0.0")&amp;"-"&amp;TEXT(P20,"0.00")</f>
        <v>22.5-3.53</v>
      </c>
      <c r="V34" s="214"/>
      <c r="W34" s="182" t="s">
        <v>1</v>
      </c>
      <c r="X34" s="173">
        <f>(G19-W13*P20)/(W13*(P42*(1+L24)))</f>
        <v>6.2596778005545488</v>
      </c>
      <c r="Y34" s="181"/>
      <c r="Z34" s="181"/>
      <c r="AA34" s="181"/>
      <c r="AB34" s="181"/>
      <c r="AC34" s="171" t="s">
        <v>41</v>
      </c>
      <c r="AD34" s="214" t="str">
        <f>TEXT(G19,"0.0")&amp;"- 1.3*"&amp;TEXT(P20,"0.00")</f>
        <v>22.5- 1.3*3.53</v>
      </c>
      <c r="AE34" s="214"/>
      <c r="AF34" s="182" t="s">
        <v>1</v>
      </c>
      <c r="AG34" s="173">
        <f>(G19-AG13*P20)/(AG13*P42*(1+L24))</f>
        <v>4.5463012529926452</v>
      </c>
      <c r="AH34" s="181"/>
      <c r="AI34" s="181"/>
      <c r="AJ34" s="181"/>
      <c r="AK34" s="181"/>
      <c r="AL34" s="255" t="s">
        <v>115</v>
      </c>
      <c r="AM34" s="133">
        <v>25</v>
      </c>
      <c r="AN34" s="146">
        <f>($G$19-$AG$13*$P$20)/($AG$14*(AQ14*(1+$L$24)))</f>
        <v>3.2575880945378484</v>
      </c>
      <c r="AO34" s="147">
        <f>($C$19-$AG$13*$P$17)/($AG$14*(AR14*(1+$L$24)))</f>
        <v>2.4447496360486483</v>
      </c>
      <c r="AP34" s="146">
        <f>($G$19-$AG$13*$P$20)/($AG$13*(AQ14*(1+$L$24)))</f>
        <v>5.4376662808824081</v>
      </c>
      <c r="AQ34" s="147">
        <f>($C$19-$AG$13*$P$17)/($AG$13*(AR14*(1+$L$24)))</f>
        <v>4.0808513155581281</v>
      </c>
      <c r="AR34" s="181"/>
      <c r="AS34" s="181"/>
      <c r="AU34" s="258" t="s">
        <v>114</v>
      </c>
      <c r="AV34" s="200">
        <f>AX14</f>
        <v>93.100997391775223</v>
      </c>
      <c r="AW34" s="200">
        <f>AZ14</f>
        <v>146.07663813778723</v>
      </c>
      <c r="AX34" s="200">
        <f>AX24</f>
        <v>60.047020156617457</v>
      </c>
      <c r="AY34" s="200">
        <f>AZ24</f>
        <v>100.23233364604606</v>
      </c>
    </row>
    <row r="35" spans="1:51" s="36" customFormat="1" ht="14.25" customHeight="1">
      <c r="A35" s="181"/>
      <c r="B35" s="47" t="s">
        <v>8</v>
      </c>
      <c r="C35" s="46">
        <f>H34/(C15+C22-E34)</f>
        <v>2378.6982663015879</v>
      </c>
      <c r="D35" s="45" t="s">
        <v>5</v>
      </c>
      <c r="E35" s="181"/>
      <c r="F35" s="53"/>
      <c r="G35" s="52"/>
      <c r="H35" s="42"/>
      <c r="K35" s="53" t="s">
        <v>20</v>
      </c>
      <c r="L35" s="97">
        <f>AM13</f>
        <v>21.34</v>
      </c>
      <c r="M35" t="s">
        <v>16</v>
      </c>
      <c r="P35" s="203" t="s">
        <v>19</v>
      </c>
      <c r="S35" s="181"/>
      <c r="T35" s="170"/>
      <c r="U35" s="250" t="str">
        <f>"1*"&amp; TEXT(P42,"0.0")&amp;"*(1+1.33)"</f>
        <v>1*1.3*(1+1.33)</v>
      </c>
      <c r="V35" s="250"/>
      <c r="W35" s="182"/>
      <c r="X35" s="173"/>
      <c r="Y35" s="181"/>
      <c r="Z35" s="181"/>
      <c r="AA35" s="181"/>
      <c r="AB35" s="181"/>
      <c r="AC35" s="170"/>
      <c r="AD35" s="213" t="str">
        <f>"1.3*"&amp; TEXT(P42,"0.0")&amp;"*(1+1.33)"</f>
        <v>1.3*1.3*(1+1.33)</v>
      </c>
      <c r="AE35" s="213"/>
      <c r="AF35" s="182"/>
      <c r="AG35" s="173"/>
      <c r="AH35" s="181"/>
      <c r="AI35" s="181"/>
      <c r="AJ35" s="181"/>
      <c r="AK35" s="181"/>
      <c r="AL35" s="257" t="s">
        <v>117</v>
      </c>
      <c r="AM35" s="134">
        <v>36</v>
      </c>
      <c r="AN35" s="148">
        <f>($G$19-$AG$13*$P$20)/($AG$14*(AQ15*(1+$L$24)))</f>
        <v>3.404974157894844</v>
      </c>
      <c r="AO35" s="149">
        <f>($C$19-$AG$13*$P$17)/($AG$14*(AR15*(1+$L$24)))</f>
        <v>2.5557282096191791</v>
      </c>
      <c r="AP35" s="148">
        <f>($G$19-$AG$13*$P$20)/($AG$13*(AQ15*(1+$L$24)))</f>
        <v>5.6836876327937009</v>
      </c>
      <c r="AQ35" s="149">
        <f>($C$19-$AG$13*$P$17)/($AG$13*(AR15*(1+$L$24)))</f>
        <v>4.2661001652873987</v>
      </c>
      <c r="AR35" s="181"/>
      <c r="AS35" s="181"/>
      <c r="AU35" s="259" t="s">
        <v>116</v>
      </c>
      <c r="AV35" s="207">
        <f t="shared" ref="AV35:AV37" si="3">AX15</f>
        <v>114.11804520226171</v>
      </c>
      <c r="AW35" s="207">
        <f t="shared" ref="AW35:AW37" si="4">AZ15</f>
        <v>179.05265100280332</v>
      </c>
      <c r="AX35" s="207">
        <f t="shared" ref="AX35:AX37" si="5">AX25</f>
        <v>73.602310957619807</v>
      </c>
      <c r="AY35" s="207">
        <f t="shared" ref="AY35:AY37" si="6">AZ25</f>
        <v>122.85924213694997</v>
      </c>
    </row>
    <row r="36" spans="1:51" s="36" customFormat="1" ht="14.25" customHeight="1">
      <c r="A36" s="181"/>
      <c r="B36" s="47" t="s">
        <v>6</v>
      </c>
      <c r="C36" s="46">
        <f>H34/E34</f>
        <v>699.46478631382138</v>
      </c>
      <c r="D36" s="45" t="s">
        <v>5</v>
      </c>
      <c r="E36" s="181"/>
      <c r="F36" s="44"/>
      <c r="G36" s="43"/>
      <c r="H36" s="42"/>
      <c r="I36" s="41"/>
      <c r="K36" s="1" t="s">
        <v>17</v>
      </c>
      <c r="L36" s="66">
        <f>L30*L35</f>
        <v>26.41892</v>
      </c>
      <c r="M36" s="36" t="s">
        <v>16</v>
      </c>
      <c r="P36" s="203" t="s">
        <v>132</v>
      </c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0"/>
      <c r="AR36" s="181"/>
      <c r="AS36" s="181"/>
      <c r="AU36" s="259" t="s">
        <v>115</v>
      </c>
      <c r="AV36" s="207">
        <f t="shared" si="3"/>
        <v>94.762666363646815</v>
      </c>
      <c r="AW36" s="207">
        <f t="shared" si="4"/>
        <v>148.68381769449431</v>
      </c>
      <c r="AX36" s="207">
        <f t="shared" si="5"/>
        <v>61.118740901216206</v>
      </c>
      <c r="AY36" s="207">
        <f t="shared" si="6"/>
        <v>102.02128288895321</v>
      </c>
    </row>
    <row r="37" spans="1:51" s="36" customFormat="1" ht="14.25" customHeight="1" outlineLevel="1">
      <c r="A37" s="181"/>
      <c r="B37" s="181"/>
      <c r="C37" s="181"/>
      <c r="D37" s="181"/>
      <c r="E37" s="181"/>
      <c r="F37" s="181"/>
      <c r="G37" s="181"/>
      <c r="H37" s="181"/>
      <c r="R37" s="1"/>
      <c r="S37" s="88" t="s">
        <v>155</v>
      </c>
      <c r="T37" s="87" t="s">
        <v>37</v>
      </c>
      <c r="U37" s="59"/>
      <c r="V37" s="181"/>
      <c r="W37" s="181"/>
      <c r="X37" s="181"/>
      <c r="Y37" s="181"/>
      <c r="Z37" s="181"/>
      <c r="AA37" s="181"/>
      <c r="AB37" s="88" t="s">
        <v>154</v>
      </c>
      <c r="AC37" s="87" t="s">
        <v>37</v>
      </c>
      <c r="AD37" s="59"/>
      <c r="AE37" s="181"/>
      <c r="AF37" s="181"/>
      <c r="AG37" s="181"/>
      <c r="AH37" s="181"/>
      <c r="AI37" s="181"/>
      <c r="AJ37" s="181"/>
      <c r="AK37" s="181"/>
      <c r="AL37" s="180"/>
      <c r="AM37" s="181"/>
      <c r="AN37" s="181"/>
      <c r="AO37" s="181"/>
      <c r="AP37" s="181"/>
      <c r="AQ37" s="181"/>
      <c r="AR37" s="181"/>
      <c r="AS37" s="181"/>
      <c r="AU37" s="260" t="s">
        <v>117</v>
      </c>
      <c r="AV37" s="208">
        <f t="shared" si="3"/>
        <v>142.65271467693805</v>
      </c>
      <c r="AW37" s="208">
        <f t="shared" si="4"/>
        <v>223.82390699368585</v>
      </c>
      <c r="AX37" s="208">
        <f t="shared" si="5"/>
        <v>92.006215546290449</v>
      </c>
      <c r="AY37" s="208">
        <f t="shared" si="6"/>
        <v>153.57960595034635</v>
      </c>
    </row>
    <row r="38" spans="1:51" s="36" customFormat="1" ht="14.25" customHeight="1" outlineLevel="1">
      <c r="A38" s="181"/>
      <c r="B38" s="72" t="s">
        <v>33</v>
      </c>
      <c r="C38" s="71"/>
      <c r="D38" s="70"/>
      <c r="E38" s="181"/>
      <c r="F38" s="181"/>
      <c r="G38" s="181"/>
      <c r="H38" s="181"/>
      <c r="K38" s="1" t="s">
        <v>14</v>
      </c>
      <c r="L38" s="60" t="s">
        <v>13</v>
      </c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0"/>
      <c r="AM38" s="181"/>
      <c r="AN38" s="181"/>
      <c r="AO38" s="181"/>
      <c r="AP38" s="181"/>
      <c r="AQ38" s="181"/>
      <c r="AR38" s="181"/>
      <c r="AS38" s="181"/>
      <c r="AU38" s="180"/>
    </row>
    <row r="39" spans="1:51" s="36" customFormat="1" ht="14.25" customHeight="1" outlineLevel="1">
      <c r="A39" s="69"/>
      <c r="B39" s="181"/>
      <c r="C39" s="181"/>
      <c r="D39" s="181"/>
      <c r="E39" s="53" t="s">
        <v>32</v>
      </c>
      <c r="F39" s="44">
        <f>3*F28</f>
        <v>18</v>
      </c>
      <c r="G39" s="181"/>
      <c r="H39" s="181"/>
      <c r="K39" s="227" t="s">
        <v>10</v>
      </c>
      <c r="L39" s="55" t="s">
        <v>9</v>
      </c>
      <c r="M39" s="232" t="s">
        <v>1</v>
      </c>
      <c r="N39" s="54">
        <f>L34</f>
        <v>138.69314</v>
      </c>
      <c r="O39" s="232" t="s">
        <v>1</v>
      </c>
      <c r="P39" s="233">
        <f>N39*12/N40</f>
        <v>2.3794159656999354</v>
      </c>
      <c r="S39" s="181"/>
      <c r="T39" s="1" t="s">
        <v>148</v>
      </c>
      <c r="U39" s="173">
        <f>MIN(X18:X25)</f>
        <v>3.1699457000628253</v>
      </c>
      <c r="V39" s="181"/>
      <c r="W39" s="181"/>
      <c r="X39" s="1" t="s">
        <v>149</v>
      </c>
      <c r="Y39" s="173">
        <f>MIN(X28:X35)</f>
        <v>4.9736847500778696</v>
      </c>
      <c r="Z39" s="181"/>
      <c r="AA39" s="181"/>
      <c r="AB39" s="181"/>
      <c r="AC39" s="1" t="s">
        <v>148</v>
      </c>
      <c r="AD39" s="173">
        <f>MIN(AG17:AG24)</f>
        <v>2.0445086377116612</v>
      </c>
      <c r="AE39" s="181"/>
      <c r="AF39" s="181"/>
      <c r="AG39" s="1" t="s">
        <v>149</v>
      </c>
      <c r="AH39" s="173">
        <f>MIN(AG28:AG35)</f>
        <v>3.4127567260263878</v>
      </c>
      <c r="AI39" s="181"/>
      <c r="AJ39" s="181"/>
      <c r="AK39" s="181"/>
      <c r="AL39" s="180"/>
      <c r="AM39" s="181"/>
      <c r="AN39" s="181"/>
      <c r="AO39" s="181"/>
      <c r="AP39" s="181"/>
      <c r="AQ39" s="181"/>
      <c r="AR39" s="181"/>
      <c r="AS39" s="181"/>
      <c r="AU39" s="180"/>
    </row>
    <row r="40" spans="1:51" s="36" customFormat="1" ht="18" customHeight="1">
      <c r="A40" s="181"/>
      <c r="B40" s="228"/>
      <c r="C40" s="194" t="s">
        <v>30</v>
      </c>
      <c r="D40" s="194" t="s">
        <v>29</v>
      </c>
      <c r="E40" s="194" t="s">
        <v>28</v>
      </c>
      <c r="F40" s="194" t="s">
        <v>27</v>
      </c>
      <c r="G40" s="194" t="s">
        <v>157</v>
      </c>
      <c r="H40" s="194" t="s">
        <v>158</v>
      </c>
      <c r="K40" s="227"/>
      <c r="L40" s="51" t="s">
        <v>7</v>
      </c>
      <c r="M40" s="232"/>
      <c r="N40" s="50">
        <f>C36</f>
        <v>699.46478631382138</v>
      </c>
      <c r="O40" s="232"/>
      <c r="P40" s="233"/>
      <c r="S40" s="181"/>
      <c r="T40" s="76"/>
      <c r="U40" s="75"/>
      <c r="V40" s="80"/>
      <c r="W40" s="181"/>
      <c r="X40" s="76"/>
      <c r="Y40" s="75"/>
      <c r="Z40" s="80"/>
      <c r="AA40" s="181"/>
      <c r="AB40" s="181"/>
      <c r="AC40" s="76"/>
      <c r="AD40" s="75"/>
      <c r="AE40" s="80"/>
      <c r="AF40" s="181"/>
      <c r="AG40" s="76"/>
      <c r="AH40" s="75"/>
      <c r="AI40" s="80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U40" s="180"/>
    </row>
    <row r="41" spans="1:51" s="36" customFormat="1" ht="14.25" customHeight="1">
      <c r="A41" s="181"/>
      <c r="B41" s="229"/>
      <c r="C41" s="190" t="s">
        <v>24</v>
      </c>
      <c r="D41" s="190" t="s">
        <v>22</v>
      </c>
      <c r="E41" s="190" t="s">
        <v>23</v>
      </c>
      <c r="F41" s="190" t="s">
        <v>22</v>
      </c>
      <c r="G41" s="190" t="s">
        <v>21</v>
      </c>
      <c r="H41" s="190" t="s">
        <v>21</v>
      </c>
      <c r="K41" s="40" t="s">
        <v>4</v>
      </c>
      <c r="S41" s="181"/>
      <c r="T41" s="76" t="s">
        <v>147</v>
      </c>
      <c r="U41" s="75">
        <f>U39*AM23</f>
        <v>114.11804520226171</v>
      </c>
      <c r="V41" s="74" t="s">
        <v>35</v>
      </c>
      <c r="W41" s="181"/>
      <c r="X41" s="76" t="s">
        <v>147</v>
      </c>
      <c r="Y41" s="75">
        <f>Y39*AM23</f>
        <v>179.05265100280332</v>
      </c>
      <c r="Z41" s="74" t="s">
        <v>35</v>
      </c>
      <c r="AA41" s="181"/>
      <c r="AB41" s="181"/>
      <c r="AC41" s="76" t="s">
        <v>36</v>
      </c>
      <c r="AD41" s="75">
        <f>AD39*AM23</f>
        <v>73.602310957619807</v>
      </c>
      <c r="AE41" s="74" t="s">
        <v>35</v>
      </c>
      <c r="AF41" s="181"/>
      <c r="AG41" s="76" t="s">
        <v>147</v>
      </c>
      <c r="AH41" s="75">
        <f>AH39*AM23</f>
        <v>122.85924213694996</v>
      </c>
      <c r="AI41" s="74" t="s">
        <v>35</v>
      </c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</row>
    <row r="42" spans="1:51" s="36" customFormat="1" ht="14.25" customHeight="1" outlineLevel="1">
      <c r="A42" s="181"/>
      <c r="B42" s="192" t="s">
        <v>18</v>
      </c>
      <c r="C42" s="64">
        <f>C22*C23/F39</f>
        <v>39.111111111111114</v>
      </c>
      <c r="D42" s="68">
        <f>C15+C22/2</f>
        <v>38.75</v>
      </c>
      <c r="E42" s="67">
        <f>C42*D42</f>
        <v>1515.5555555555557</v>
      </c>
      <c r="F42" s="64">
        <f>ABS(D42-$E$34)</f>
        <v>5.7142740991283958</v>
      </c>
      <c r="G42" s="63">
        <f>C42*F42^2</f>
        <v>1277.092313883257</v>
      </c>
      <c r="H42" s="63">
        <f>(1/12)*(C23*C22^3)/F39</f>
        <v>208.59259259259258</v>
      </c>
      <c r="K42" s="1" t="s">
        <v>3</v>
      </c>
      <c r="L42" s="38" t="s">
        <v>2</v>
      </c>
      <c r="M42" s="38" t="s">
        <v>1</v>
      </c>
      <c r="N42" s="39" t="str">
        <f>TEXT(L36,"0.00")&amp;"/"&amp;TEXT(G15,"0.00")</f>
        <v>26.42/20.31</v>
      </c>
      <c r="O42" s="38" t="s">
        <v>1</v>
      </c>
      <c r="P42" s="37">
        <f>L36/G15</f>
        <v>1.3006237538461538</v>
      </c>
      <c r="S42" s="185"/>
      <c r="T42" s="79"/>
      <c r="U42" s="224"/>
      <c r="V42" s="224"/>
      <c r="W42" s="79"/>
      <c r="X42" s="78"/>
      <c r="Y42" s="185"/>
      <c r="AL42" s="1"/>
      <c r="AM42" s="81"/>
      <c r="AO42" s="181"/>
      <c r="AP42" s="181"/>
      <c r="AQ42" s="181"/>
      <c r="AR42" s="181"/>
      <c r="AS42" s="181"/>
    </row>
    <row r="43" spans="1:51" s="36" customFormat="1" outlineLevel="1">
      <c r="A43" s="181"/>
      <c r="B43" s="193" t="str">
        <f>B32</f>
        <v>Built-up</v>
      </c>
      <c r="C43" s="65">
        <f>C14</f>
        <v>42.8125</v>
      </c>
      <c r="D43" s="64">
        <f>C15/2</f>
        <v>17.375</v>
      </c>
      <c r="E43" s="62">
        <f>C43*D43</f>
        <v>743.8671875</v>
      </c>
      <c r="F43" s="64">
        <f>ABS(D43-$E$34)</f>
        <v>15.660725900871604</v>
      </c>
      <c r="G43" s="63">
        <f>C43*F43^2</f>
        <v>10500.122498964252</v>
      </c>
      <c r="H43" s="62">
        <f>C12</f>
        <v>8150.149739583333</v>
      </c>
      <c r="S43" s="185"/>
      <c r="T43" s="234"/>
      <c r="U43" s="224"/>
      <c r="V43" s="224"/>
      <c r="W43" s="231"/>
      <c r="X43" s="226"/>
      <c r="Y43" s="185"/>
      <c r="Z43" s="185"/>
      <c r="AC43" s="70" t="s">
        <v>168</v>
      </c>
      <c r="AH43" s="205" t="s">
        <v>179</v>
      </c>
      <c r="AL43" s="76"/>
      <c r="AM43" s="75"/>
      <c r="AN43" s="80"/>
      <c r="AO43" s="181"/>
      <c r="AP43" s="181"/>
      <c r="AQ43" s="181"/>
      <c r="AR43" s="181"/>
      <c r="AS43" s="181"/>
    </row>
    <row r="44" spans="1:51" s="36" customFormat="1">
      <c r="A44" s="181"/>
      <c r="B44" s="53" t="s">
        <v>15</v>
      </c>
      <c r="C44" s="61">
        <f>SUM(C42:C43)</f>
        <v>81.923611111111114</v>
      </c>
      <c r="D44" s="53" t="s">
        <v>15</v>
      </c>
      <c r="E44" s="61">
        <f>SUM(E42:E43)</f>
        <v>2259.4227430555557</v>
      </c>
      <c r="F44" s="58"/>
      <c r="G44" s="43"/>
      <c r="H44" s="42"/>
      <c r="S44" s="185"/>
      <c r="T44" s="234"/>
      <c r="U44" s="224"/>
      <c r="V44" s="224"/>
      <c r="W44" s="231"/>
      <c r="X44" s="226"/>
      <c r="Y44" s="185"/>
      <c r="Z44" s="185"/>
      <c r="AL44" s="76"/>
      <c r="AM44" s="75"/>
      <c r="AN44" s="74"/>
      <c r="AO44" s="181"/>
      <c r="AP44" s="181"/>
      <c r="AQ44" s="181"/>
      <c r="AR44" s="181"/>
      <c r="AS44" s="181"/>
    </row>
    <row r="45" spans="1:51" s="36" customFormat="1" ht="15.75" customHeight="1">
      <c r="A45" s="181"/>
      <c r="B45" s="181"/>
      <c r="C45" s="53"/>
      <c r="D45" s="57" t="s">
        <v>12</v>
      </c>
      <c r="E45" s="59">
        <f>E44/C44</f>
        <v>27.579628295329321</v>
      </c>
      <c r="F45" s="58"/>
      <c r="G45" s="57" t="s">
        <v>0</v>
      </c>
      <c r="H45" s="46">
        <f>SUM(G42:H43)</f>
        <v>20135.957145023436</v>
      </c>
      <c r="I45" s="56" t="s">
        <v>11</v>
      </c>
      <c r="S45" s="186"/>
      <c r="T45" s="230"/>
      <c r="U45" s="224"/>
      <c r="V45" s="225"/>
      <c r="W45" s="231"/>
      <c r="X45" s="226"/>
      <c r="Y45" s="185"/>
      <c r="Z45" s="185"/>
      <c r="AC45" s="212"/>
      <c r="AD45" s="210" t="s">
        <v>114</v>
      </c>
      <c r="AE45" s="140" t="s">
        <v>116</v>
      </c>
      <c r="AF45" s="140" t="s">
        <v>115</v>
      </c>
      <c r="AG45" s="211" t="s">
        <v>117</v>
      </c>
      <c r="AK45" s="181"/>
      <c r="AL45" s="181"/>
      <c r="AM45" s="181"/>
      <c r="AN45" s="181"/>
      <c r="AO45" s="181"/>
      <c r="AP45" s="181"/>
      <c r="AQ45" s="181"/>
      <c r="AR45" s="181"/>
      <c r="AS45" s="181"/>
    </row>
    <row r="46" spans="1:51" s="36" customFormat="1" ht="14.25" customHeight="1">
      <c r="A46" s="181"/>
      <c r="B46" s="47" t="s">
        <v>8</v>
      </c>
      <c r="C46" s="46">
        <f>H45/(C23+D31-E45)</f>
        <v>203.04408261157178</v>
      </c>
      <c r="D46" s="45" t="s">
        <v>5</v>
      </c>
      <c r="E46" s="181"/>
      <c r="F46" s="53"/>
      <c r="G46" s="52"/>
      <c r="H46" s="42"/>
      <c r="S46" s="185"/>
      <c r="T46" s="234"/>
      <c r="U46" s="224"/>
      <c r="V46" s="225"/>
      <c r="W46" s="231"/>
      <c r="X46" s="226"/>
      <c r="Y46" s="185"/>
      <c r="Z46" s="185"/>
      <c r="AC46" s="138" t="s">
        <v>167</v>
      </c>
      <c r="AD46" s="247">
        <v>1.048</v>
      </c>
      <c r="AE46" s="248">
        <v>1.238</v>
      </c>
      <c r="AF46" s="248">
        <v>1.3660000000000001</v>
      </c>
      <c r="AG46" s="249">
        <v>1.3740000000000001</v>
      </c>
      <c r="AK46" s="181"/>
      <c r="AL46" s="181"/>
      <c r="AM46" s="181"/>
      <c r="AN46" s="181"/>
      <c r="AO46" s="181"/>
      <c r="AP46" s="181"/>
      <c r="AQ46" s="181"/>
      <c r="AR46" s="181"/>
      <c r="AS46" s="181"/>
    </row>
    <row r="47" spans="1:51" s="36" customFormat="1" ht="14.25" customHeight="1">
      <c r="A47" s="181"/>
      <c r="B47" s="47" t="s">
        <v>6</v>
      </c>
      <c r="C47" s="46">
        <f>H45/E45</f>
        <v>730.10255719920315</v>
      </c>
      <c r="D47" s="45" t="s">
        <v>5</v>
      </c>
      <c r="E47" s="181"/>
      <c r="F47" s="44"/>
      <c r="G47" s="43"/>
      <c r="H47" s="42"/>
      <c r="I47" s="41"/>
      <c r="S47" s="185"/>
      <c r="T47" s="230"/>
      <c r="U47" s="224"/>
      <c r="V47" s="224"/>
      <c r="W47" s="231"/>
      <c r="X47" s="226"/>
      <c r="Y47" s="185"/>
      <c r="Z47" s="185"/>
      <c r="AC47" s="212"/>
      <c r="AD47" s="212"/>
      <c r="AE47" s="212"/>
      <c r="AF47" s="212"/>
      <c r="AG47" s="212"/>
      <c r="AK47" s="181"/>
      <c r="AL47" s="181"/>
      <c r="AM47" s="181"/>
      <c r="AN47" s="181"/>
      <c r="AO47" s="181"/>
      <c r="AP47" s="181"/>
      <c r="AQ47" s="181"/>
      <c r="AR47" s="181"/>
      <c r="AS47" s="181"/>
    </row>
    <row r="48" spans="1:51" s="36" customFormat="1">
      <c r="S48" s="185"/>
      <c r="T48" s="230"/>
      <c r="U48" s="224"/>
      <c r="V48" s="224"/>
      <c r="W48" s="231"/>
      <c r="X48" s="226"/>
      <c r="Y48" s="185"/>
      <c r="Z48" s="185"/>
      <c r="AK48" s="181"/>
      <c r="AL48" s="181"/>
      <c r="AM48" s="181"/>
      <c r="AN48" s="181"/>
      <c r="AO48" s="181"/>
      <c r="AP48" s="181"/>
      <c r="AQ48" s="181"/>
      <c r="AR48" s="181"/>
      <c r="AS48" s="181"/>
    </row>
    <row r="49" spans="1:98" s="27" customFormat="1" ht="14.25">
      <c r="J49" s="3"/>
      <c r="K49" s="3"/>
      <c r="L49" s="3"/>
      <c r="M49" s="3"/>
      <c r="N49" s="3"/>
      <c r="O49" s="3"/>
      <c r="P49" s="3"/>
      <c r="AC49" s="3"/>
      <c r="AD49" s="3"/>
      <c r="AE49" s="3"/>
      <c r="AF49" s="3"/>
      <c r="AG49" s="3"/>
      <c r="AH49" s="3"/>
      <c r="AI49" s="3"/>
      <c r="AJ49" s="3"/>
      <c r="AK49" s="180"/>
      <c r="AL49" s="180"/>
      <c r="AM49" s="180"/>
      <c r="AN49" s="180"/>
      <c r="AO49" s="180"/>
      <c r="AP49" s="180"/>
      <c r="AQ49" s="180"/>
      <c r="AR49" s="180"/>
      <c r="AS49" s="180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 s="27" customFormat="1" ht="14.25">
      <c r="J50" s="3"/>
      <c r="K50" s="26"/>
      <c r="L50" s="35"/>
      <c r="M50" s="19"/>
      <c r="N50" s="3"/>
      <c r="O50" s="3"/>
      <c r="P50" s="3"/>
      <c r="AC50" s="3"/>
      <c r="AD50" s="3"/>
      <c r="AE50" s="3"/>
      <c r="AF50" s="3"/>
      <c r="AG50" s="3"/>
      <c r="AH50" s="3"/>
      <c r="AI50" s="3"/>
      <c r="AJ50" s="3"/>
      <c r="AK50" s="180"/>
      <c r="AL50" s="180"/>
      <c r="AM50" s="180"/>
      <c r="AN50" s="180"/>
      <c r="AO50" s="180"/>
      <c r="AP50" s="180"/>
      <c r="AQ50" s="180"/>
      <c r="AR50" s="180"/>
      <c r="AS50" s="180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 s="27" customFormat="1" ht="14.25">
      <c r="A51" s="6"/>
      <c r="B51" s="6"/>
      <c r="C51" s="6"/>
      <c r="D51" s="6"/>
      <c r="E51" s="6"/>
      <c r="F51" s="6"/>
      <c r="G51" s="6"/>
      <c r="H51" s="6"/>
      <c r="I51" s="6"/>
      <c r="J51" s="6"/>
      <c r="K51" s="24"/>
      <c r="L51" s="10"/>
      <c r="M51" s="19"/>
      <c r="N51" s="6"/>
      <c r="O51" s="6"/>
      <c r="P51" s="6"/>
      <c r="AC51" s="3"/>
      <c r="AD51" s="3"/>
      <c r="AE51" s="3"/>
      <c r="AF51" s="3"/>
      <c r="AG51" s="3"/>
      <c r="AH51" s="3"/>
      <c r="AI51" s="3"/>
      <c r="AJ51" s="3"/>
      <c r="AK51" s="180"/>
      <c r="AL51" s="180"/>
      <c r="AM51" s="180"/>
      <c r="AN51" s="180"/>
      <c r="AO51" s="180"/>
      <c r="AP51" s="180"/>
      <c r="AQ51" s="180"/>
      <c r="AR51" s="180"/>
      <c r="AS51" s="180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 s="27" customFormat="1" ht="14.25" customHeight="1">
      <c r="A52" s="34"/>
      <c r="B52" s="34"/>
      <c r="C52" s="34"/>
      <c r="D52" s="34"/>
      <c r="E52" s="34"/>
      <c r="F52" s="34"/>
      <c r="G52" s="34"/>
      <c r="H52" s="34"/>
      <c r="I52" s="34"/>
      <c r="J52" s="33"/>
      <c r="K52" s="24"/>
      <c r="L52" s="22"/>
      <c r="M52" s="3"/>
      <c r="N52" s="33"/>
      <c r="O52" s="33"/>
      <c r="P52" s="33"/>
      <c r="AC52" s="3"/>
      <c r="AD52" s="3"/>
      <c r="AE52" s="3"/>
      <c r="AF52" s="3"/>
      <c r="AG52" s="3"/>
      <c r="AH52" s="3"/>
      <c r="AI52" s="3"/>
      <c r="AJ52" s="3"/>
      <c r="AK52" s="180"/>
      <c r="AL52" s="180"/>
      <c r="AM52" s="180"/>
      <c r="AN52" s="180"/>
      <c r="AO52" s="180"/>
      <c r="AP52" s="180"/>
      <c r="AQ52" s="180"/>
      <c r="AR52" s="180"/>
      <c r="AS52" s="180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 s="27" customFormat="1" ht="15.75">
      <c r="A53" s="30"/>
      <c r="B53" s="16"/>
      <c r="C53" s="32"/>
      <c r="D53" s="32"/>
      <c r="E53" s="32"/>
      <c r="F53" s="32"/>
      <c r="G53" s="32"/>
      <c r="H53" s="32"/>
      <c r="I53" s="30"/>
      <c r="J53" s="30"/>
      <c r="K53" s="19"/>
      <c r="L53" s="3"/>
      <c r="M53" s="3"/>
      <c r="N53" s="13"/>
      <c r="O53" s="13"/>
      <c r="P53" s="13"/>
      <c r="AC53" s="3"/>
      <c r="AD53" s="3"/>
      <c r="AE53" s="3"/>
      <c r="AF53" s="3"/>
      <c r="AG53" s="3"/>
      <c r="AH53" s="3"/>
      <c r="AI53" s="3"/>
      <c r="AJ53" s="3"/>
      <c r="AK53" s="180"/>
      <c r="AL53" s="180"/>
      <c r="AM53" s="180"/>
      <c r="AN53" s="180"/>
      <c r="AO53" s="180"/>
      <c r="AP53" s="180"/>
      <c r="AQ53" s="180"/>
      <c r="AR53" s="180"/>
      <c r="AS53" s="180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 s="27" customFormat="1" ht="15.75">
      <c r="A54" s="30"/>
      <c r="B54" s="16"/>
      <c r="C54" s="31"/>
      <c r="D54" s="31"/>
      <c r="E54" s="31"/>
      <c r="F54" s="31"/>
      <c r="G54" s="31"/>
      <c r="H54" s="31"/>
      <c r="I54" s="30"/>
      <c r="J54" s="30"/>
      <c r="K54" s="23"/>
      <c r="L54" s="3"/>
      <c r="M54" s="3"/>
      <c r="N54" s="29"/>
      <c r="O54" s="29"/>
      <c r="P54" s="29"/>
      <c r="AC54" s="3"/>
      <c r="AD54" s="3"/>
      <c r="AE54" s="3"/>
      <c r="AF54" s="3"/>
      <c r="AG54" s="3"/>
      <c r="AH54" s="3"/>
      <c r="AI54" s="3"/>
      <c r="AJ54" s="3"/>
      <c r="AK54" s="180"/>
      <c r="AL54" s="180"/>
      <c r="AM54" s="180"/>
      <c r="AN54" s="180"/>
      <c r="AO54" s="180"/>
      <c r="AP54" s="180"/>
      <c r="AQ54" s="180"/>
      <c r="AR54" s="180"/>
      <c r="AS54" s="180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 s="27" customFormat="1" ht="15.75">
      <c r="A55" s="6"/>
      <c r="B55" s="16"/>
      <c r="C55" s="14"/>
      <c r="D55" s="28"/>
      <c r="E55" s="14"/>
      <c r="F55" s="14"/>
      <c r="G55" s="14"/>
      <c r="H55" s="14"/>
      <c r="I55" s="6"/>
      <c r="J55" s="6"/>
      <c r="K55" s="22"/>
      <c r="L55" s="3"/>
      <c r="M55" s="3"/>
      <c r="N55" s="18"/>
      <c r="O55" s="17"/>
      <c r="P55" s="17"/>
      <c r="AC55" s="3"/>
      <c r="AD55" s="3"/>
      <c r="AE55" s="3"/>
      <c r="AF55" s="3"/>
      <c r="AG55" s="3"/>
      <c r="AH55" s="3"/>
      <c r="AI55" s="3"/>
      <c r="AJ55" s="3"/>
      <c r="AK55" s="180"/>
      <c r="AL55" s="180"/>
      <c r="AM55" s="180"/>
      <c r="AN55" s="180"/>
      <c r="AO55" s="180"/>
      <c r="AP55" s="180"/>
      <c r="AQ55" s="180"/>
      <c r="AR55" s="180"/>
      <c r="AS55" s="180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 s="27" customFormat="1" ht="15.75">
      <c r="A56" s="6"/>
      <c r="B56" s="16"/>
      <c r="C56" s="14"/>
      <c r="D56" s="28"/>
      <c r="E56" s="14"/>
      <c r="F56" s="14"/>
      <c r="G56" s="14"/>
      <c r="H56" s="14"/>
      <c r="I56" s="6"/>
      <c r="J56" s="6"/>
      <c r="K56" s="20"/>
      <c r="L56" s="21"/>
      <c r="M56" s="3"/>
      <c r="N56" s="18"/>
      <c r="O56" s="17"/>
      <c r="P56" s="17"/>
      <c r="Q56" s="12"/>
      <c r="R56" s="6"/>
      <c r="AC56" s="3"/>
      <c r="AD56" s="3"/>
      <c r="AE56" s="3"/>
      <c r="AF56" s="3"/>
      <c r="AG56" s="3"/>
      <c r="AH56" s="3"/>
      <c r="AI56" s="3"/>
      <c r="AJ56" s="3"/>
      <c r="AK56" s="180"/>
      <c r="AL56" s="180"/>
      <c r="AM56" s="180"/>
      <c r="AN56" s="180"/>
      <c r="AO56" s="180"/>
      <c r="AP56" s="180"/>
      <c r="AQ56" s="180"/>
      <c r="AR56" s="180"/>
      <c r="AS56" s="180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 s="27" customFormat="1">
      <c r="A57" s="263"/>
      <c r="B57" s="263"/>
      <c r="C57" s="263"/>
      <c r="D57" s="263"/>
      <c r="E57" s="264">
        <f>'[2]Interior Stringer'!$AX$56+1</f>
        <v>104</v>
      </c>
      <c r="F57" s="263"/>
      <c r="G57" s="263"/>
      <c r="H57" s="263"/>
      <c r="I57" s="263"/>
      <c r="J57" s="263"/>
      <c r="K57" s="263"/>
      <c r="L57" s="263"/>
      <c r="M57" s="263"/>
      <c r="N57" s="264">
        <f>E57+1</f>
        <v>105</v>
      </c>
      <c r="O57" s="263"/>
      <c r="P57" s="263"/>
      <c r="Q57" s="263"/>
      <c r="R57" s="263"/>
      <c r="S57" s="263"/>
      <c r="T57" s="263"/>
      <c r="U57" s="263"/>
      <c r="V57" s="263"/>
      <c r="W57" s="264">
        <f>N57+1</f>
        <v>106</v>
      </c>
      <c r="X57" s="263"/>
      <c r="Y57" s="263"/>
      <c r="Z57" s="263"/>
      <c r="AA57" s="263"/>
      <c r="AB57" s="263"/>
      <c r="AC57" s="263"/>
      <c r="AD57" s="263"/>
      <c r="AE57" s="263"/>
      <c r="AF57" s="264">
        <f>W57+1</f>
        <v>107</v>
      </c>
      <c r="AG57" s="263"/>
      <c r="AH57" s="263"/>
      <c r="AI57" s="263"/>
      <c r="AJ57" s="263"/>
      <c r="AK57" s="263"/>
      <c r="AL57" s="263"/>
      <c r="AM57" s="263"/>
      <c r="AN57" s="263"/>
      <c r="AO57" s="264">
        <f>AF57+1</f>
        <v>108</v>
      </c>
      <c r="AP57" s="263"/>
      <c r="AQ57" s="263"/>
      <c r="AR57" s="263"/>
      <c r="AS57" s="263"/>
      <c r="AT57" s="263"/>
      <c r="AU57" s="263"/>
      <c r="AV57" s="263"/>
      <c r="AW57" s="263"/>
      <c r="AX57" s="264">
        <f>AO57+1</f>
        <v>109</v>
      </c>
      <c r="AY57" s="263"/>
      <c r="AZ57" s="263"/>
      <c r="BA57" s="263"/>
      <c r="BB57" s="26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 ht="15.75">
      <c r="A58" s="6"/>
      <c r="B58" s="16"/>
      <c r="C58" s="14"/>
      <c r="D58" s="15"/>
      <c r="E58" s="14"/>
      <c r="F58" s="14"/>
      <c r="G58" s="14"/>
      <c r="H58" s="14"/>
      <c r="I58" s="6"/>
      <c r="J58" s="6"/>
      <c r="K58" s="26"/>
      <c r="L58" s="25"/>
      <c r="M58" s="3"/>
      <c r="N58" s="18"/>
      <c r="O58" s="17"/>
      <c r="P58" s="17"/>
      <c r="Q58" s="12"/>
      <c r="R58" s="6"/>
      <c r="S58" s="3"/>
      <c r="AC58" s="3"/>
      <c r="AD58" s="3"/>
      <c r="AE58" s="3"/>
      <c r="AF58" s="3"/>
      <c r="AG58" s="3"/>
      <c r="AH58" s="3"/>
      <c r="AI58" s="3"/>
      <c r="AJ58" s="3"/>
      <c r="AK58" s="180"/>
      <c r="AL58" s="180"/>
      <c r="AM58" s="180"/>
      <c r="AN58" s="180"/>
      <c r="AO58" s="180"/>
      <c r="AP58" s="180"/>
      <c r="AQ58" s="180"/>
      <c r="AR58" s="180"/>
      <c r="AS58" s="180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 ht="15.75">
      <c r="A59" s="6"/>
      <c r="B59" s="16"/>
      <c r="C59" s="14"/>
      <c r="D59" s="15"/>
      <c r="E59" s="14"/>
      <c r="F59" s="14"/>
      <c r="G59" s="14"/>
      <c r="H59" s="14"/>
      <c r="I59" s="6"/>
      <c r="J59" s="6"/>
      <c r="K59" s="24"/>
      <c r="L59" s="10"/>
      <c r="M59" s="3"/>
      <c r="N59" s="18"/>
      <c r="O59" s="17"/>
      <c r="P59" s="17"/>
      <c r="Q59" s="12"/>
      <c r="R59" s="6"/>
      <c r="S59" s="3"/>
      <c r="AC59" s="3"/>
      <c r="AD59" s="3"/>
      <c r="AE59" s="3"/>
      <c r="AF59" s="3"/>
      <c r="AG59" s="3"/>
      <c r="AH59" s="3"/>
      <c r="AI59" s="3"/>
      <c r="AJ59" s="3"/>
      <c r="AK59" s="180"/>
      <c r="AL59" s="180"/>
      <c r="AM59" s="180"/>
      <c r="AN59" s="180"/>
      <c r="AO59" s="180"/>
      <c r="AP59" s="180"/>
      <c r="AQ59" s="180"/>
      <c r="AR59" s="180"/>
      <c r="AS59" s="180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 ht="15.75">
      <c r="A60" s="6"/>
      <c r="B60" s="16"/>
      <c r="C60" s="14"/>
      <c r="D60" s="15"/>
      <c r="E60" s="14"/>
      <c r="F60" s="14"/>
      <c r="G60" s="14"/>
      <c r="H60" s="14"/>
      <c r="I60" s="6"/>
      <c r="J60" s="6"/>
      <c r="K60" s="24"/>
      <c r="L60" s="3"/>
      <c r="M60" s="3"/>
      <c r="N60" s="18"/>
      <c r="O60" s="17"/>
      <c r="P60" s="17"/>
      <c r="Q60" s="12"/>
      <c r="R60" s="6"/>
      <c r="S60" s="3"/>
      <c r="AC60" s="3"/>
      <c r="AD60" s="3"/>
      <c r="AE60" s="3"/>
      <c r="AF60" s="3"/>
      <c r="AG60" s="3"/>
      <c r="AH60" s="3"/>
      <c r="AI60" s="3"/>
      <c r="AJ60" s="3"/>
      <c r="AK60" s="180"/>
      <c r="AL60" s="180"/>
      <c r="AM60" s="180"/>
      <c r="AN60" s="180"/>
      <c r="AO60" s="180"/>
      <c r="AP60" s="180"/>
      <c r="AQ60" s="180"/>
      <c r="AR60" s="180"/>
      <c r="AS60" s="180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 ht="15.75">
      <c r="A61" s="6"/>
      <c r="B61" s="16"/>
      <c r="C61" s="14"/>
      <c r="D61" s="15"/>
      <c r="E61" s="14"/>
      <c r="F61" s="14"/>
      <c r="G61" s="14"/>
      <c r="H61" s="14"/>
      <c r="I61" s="6"/>
      <c r="J61" s="6"/>
      <c r="K61" s="19"/>
      <c r="L61" s="3"/>
      <c r="M61" s="3"/>
      <c r="N61" s="18"/>
      <c r="O61" s="17"/>
      <c r="P61" s="17"/>
      <c r="Q61" s="12"/>
      <c r="R61" s="6"/>
      <c r="S61" s="3"/>
      <c r="AC61" s="3"/>
      <c r="AD61" s="3"/>
      <c r="AE61" s="3"/>
      <c r="AF61" s="3"/>
      <c r="AG61" s="3"/>
      <c r="AH61" s="3"/>
      <c r="AI61" s="3"/>
      <c r="AJ61" s="3"/>
      <c r="AK61" s="180"/>
      <c r="AL61" s="180"/>
      <c r="AM61" s="180"/>
      <c r="AN61" s="180"/>
      <c r="AO61" s="180"/>
      <c r="AP61" s="180"/>
      <c r="AQ61" s="180"/>
      <c r="AR61" s="180"/>
      <c r="AS61" s="180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 ht="15.75">
      <c r="A62" s="6"/>
      <c r="B62" s="16"/>
      <c r="C62" s="14"/>
      <c r="D62" s="15"/>
      <c r="E62" s="14"/>
      <c r="F62" s="14"/>
      <c r="G62" s="14"/>
      <c r="H62" s="14"/>
      <c r="I62" s="6"/>
      <c r="J62" s="6"/>
      <c r="K62" s="23"/>
      <c r="L62" s="4"/>
      <c r="M62" s="3"/>
      <c r="N62" s="18"/>
      <c r="O62" s="17"/>
      <c r="P62" s="17"/>
      <c r="Q62" s="12"/>
      <c r="R62" s="6"/>
      <c r="S62" s="3"/>
      <c r="AC62" s="3"/>
      <c r="AD62" s="3"/>
      <c r="AE62" s="3"/>
      <c r="AF62" s="3"/>
      <c r="AG62" s="3"/>
      <c r="AH62" s="3"/>
      <c r="AI62" s="3"/>
      <c r="AJ62" s="3"/>
      <c r="AK62" s="180"/>
      <c r="AL62" s="180"/>
      <c r="AM62" s="180"/>
      <c r="AN62" s="180"/>
      <c r="AO62" s="180"/>
      <c r="AP62" s="180"/>
      <c r="AQ62" s="180"/>
      <c r="AR62" s="180"/>
      <c r="AS62" s="180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 ht="15.75">
      <c r="A63" s="6"/>
      <c r="B63" s="16"/>
      <c r="C63" s="14"/>
      <c r="D63" s="15"/>
      <c r="E63" s="14"/>
      <c r="F63" s="14"/>
      <c r="G63" s="14"/>
      <c r="H63" s="14"/>
      <c r="I63" s="6"/>
      <c r="J63" s="6"/>
      <c r="K63" s="22"/>
      <c r="L63" s="21"/>
      <c r="M63" s="3"/>
      <c r="N63" s="18"/>
      <c r="O63" s="17"/>
      <c r="P63" s="17"/>
      <c r="Q63" s="12"/>
      <c r="R63" s="6"/>
      <c r="S63" s="3"/>
      <c r="AC63" s="3"/>
      <c r="AD63" s="3"/>
      <c r="AE63" s="3"/>
      <c r="AF63" s="3"/>
      <c r="AG63" s="3"/>
      <c r="AH63" s="3"/>
      <c r="AI63" s="3"/>
      <c r="AJ63" s="3"/>
      <c r="AK63" s="180"/>
      <c r="AL63" s="180"/>
      <c r="AM63" s="180"/>
      <c r="AN63" s="180"/>
      <c r="AO63" s="180"/>
      <c r="AP63" s="180"/>
      <c r="AQ63" s="180"/>
      <c r="AR63" s="180"/>
      <c r="AS63" s="180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 ht="15.75">
      <c r="A64" s="6"/>
      <c r="B64" s="16"/>
      <c r="C64" s="14"/>
      <c r="D64" s="15"/>
      <c r="E64" s="14"/>
      <c r="F64" s="14"/>
      <c r="G64" s="14"/>
      <c r="H64" s="14"/>
      <c r="I64" s="6"/>
      <c r="J64" s="6"/>
      <c r="K64" s="20"/>
      <c r="L64" s="4"/>
      <c r="M64" s="19"/>
      <c r="N64" s="18"/>
      <c r="O64" s="17"/>
      <c r="P64" s="17"/>
      <c r="Q64" s="12"/>
      <c r="R64" s="6"/>
      <c r="S64" s="3"/>
      <c r="AC64" s="3"/>
      <c r="AD64" s="3"/>
      <c r="AE64" s="3"/>
      <c r="AF64" s="3"/>
      <c r="AG64" s="3"/>
      <c r="AH64" s="3"/>
      <c r="AI64" s="3"/>
      <c r="AJ64" s="3"/>
      <c r="AK64" s="180"/>
      <c r="AL64" s="180"/>
      <c r="AM64" s="180"/>
      <c r="AN64" s="180"/>
      <c r="AO64" s="180"/>
      <c r="AP64" s="180"/>
      <c r="AQ64" s="180"/>
      <c r="AR64" s="180"/>
      <c r="AS64" s="180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 ht="15.75">
      <c r="A65" s="6"/>
      <c r="B65" s="16"/>
      <c r="C65" s="14"/>
      <c r="D65" s="15"/>
      <c r="E65" s="14"/>
      <c r="F65" s="14"/>
      <c r="G65" s="14"/>
      <c r="H65" s="14"/>
      <c r="I65" s="6"/>
      <c r="J65" s="6"/>
      <c r="K65" s="6"/>
      <c r="L65" s="18"/>
      <c r="M65" s="18"/>
      <c r="N65" s="18"/>
      <c r="O65" s="17"/>
      <c r="P65" s="17"/>
      <c r="Q65" s="12"/>
      <c r="R65" s="6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180"/>
      <c r="AL65" s="180"/>
      <c r="AM65" s="180"/>
      <c r="AN65" s="180"/>
      <c r="AO65" s="180"/>
      <c r="AP65" s="180"/>
      <c r="AQ65" s="180"/>
      <c r="AR65" s="180"/>
      <c r="AS65" s="180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 ht="15.75">
      <c r="A66" s="6"/>
      <c r="B66" s="16"/>
      <c r="C66" s="14"/>
      <c r="D66" s="15"/>
      <c r="E66" s="14"/>
      <c r="F66" s="14"/>
      <c r="G66" s="14"/>
      <c r="H66" s="14"/>
      <c r="I66" s="6"/>
      <c r="J66" s="6"/>
      <c r="K66" s="6"/>
      <c r="L66" s="18"/>
      <c r="M66" s="18"/>
      <c r="N66" s="18"/>
      <c r="O66" s="17"/>
      <c r="P66" s="17"/>
      <c r="Q66" s="12"/>
      <c r="R66" s="6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180"/>
      <c r="AL66" s="180"/>
      <c r="AM66" s="180"/>
      <c r="AN66" s="180"/>
      <c r="AO66" s="180"/>
      <c r="AP66" s="180"/>
      <c r="AQ66" s="180"/>
      <c r="AR66" s="180"/>
      <c r="AS66" s="180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 ht="15.75">
      <c r="A67" s="6"/>
      <c r="B67" s="16"/>
      <c r="C67" s="14"/>
      <c r="D67" s="15"/>
      <c r="E67" s="14"/>
      <c r="F67" s="14"/>
      <c r="G67" s="14"/>
      <c r="H67" s="14"/>
      <c r="I67" s="6"/>
      <c r="J67" s="6"/>
      <c r="K67" s="6"/>
      <c r="L67" s="18"/>
      <c r="M67" s="18"/>
      <c r="N67" s="18"/>
      <c r="O67" s="17"/>
      <c r="P67" s="17"/>
      <c r="Q67" s="12"/>
      <c r="R67" s="5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180"/>
      <c r="AL67" s="180"/>
      <c r="AM67" s="180"/>
      <c r="AN67" s="180"/>
      <c r="AO67" s="180"/>
      <c r="AP67" s="180"/>
      <c r="AQ67" s="180"/>
      <c r="AR67" s="180"/>
      <c r="AS67" s="180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 ht="15.75">
      <c r="A68" s="6"/>
      <c r="B68" s="16"/>
      <c r="C68" s="14"/>
      <c r="D68" s="15"/>
      <c r="E68" s="14"/>
      <c r="F68" s="14"/>
      <c r="G68" s="14"/>
      <c r="H68" s="14"/>
      <c r="I68" s="6"/>
      <c r="J68" s="6"/>
      <c r="K68" s="6"/>
      <c r="L68" s="18"/>
      <c r="M68" s="18"/>
      <c r="N68" s="18"/>
      <c r="O68" s="17"/>
      <c r="P68" s="17"/>
      <c r="Q68" s="12"/>
      <c r="R68" s="5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180"/>
      <c r="AL68" s="180"/>
      <c r="AM68" s="180"/>
      <c r="AN68" s="180"/>
      <c r="AO68" s="180"/>
      <c r="AP68" s="180"/>
      <c r="AQ68" s="180"/>
      <c r="AR68" s="180"/>
      <c r="AS68" s="180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 ht="15.75">
      <c r="A69" s="6"/>
      <c r="B69" s="16"/>
      <c r="C69" s="14"/>
      <c r="D69" s="15"/>
      <c r="E69" s="14"/>
      <c r="F69" s="14"/>
      <c r="G69" s="14"/>
      <c r="H69" s="14"/>
      <c r="I69" s="6"/>
      <c r="J69" s="6"/>
      <c r="K69" s="6"/>
      <c r="L69" s="18"/>
      <c r="M69" s="18"/>
      <c r="N69" s="18"/>
      <c r="O69" s="17"/>
      <c r="P69" s="17"/>
      <c r="Q69" s="12"/>
      <c r="R69" s="5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180"/>
      <c r="AL69" s="180"/>
      <c r="AM69" s="180"/>
      <c r="AN69" s="180"/>
      <c r="AO69" s="180"/>
      <c r="AP69" s="180"/>
      <c r="AQ69" s="180"/>
      <c r="AR69" s="180"/>
      <c r="AS69" s="180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 ht="15.75">
      <c r="A70" s="6"/>
      <c r="B70" s="16"/>
      <c r="C70" s="14"/>
      <c r="D70" s="15"/>
      <c r="E70" s="14"/>
      <c r="F70" s="14"/>
      <c r="G70" s="14"/>
      <c r="H70" s="14"/>
      <c r="I70" s="6"/>
      <c r="J70" s="6"/>
      <c r="K70" s="6"/>
      <c r="L70" s="18"/>
      <c r="M70" s="18"/>
      <c r="N70" s="18"/>
      <c r="O70" s="17"/>
      <c r="P70" s="17"/>
      <c r="Q70" s="12"/>
      <c r="R70" s="5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180"/>
      <c r="AL70" s="180"/>
      <c r="AM70" s="180"/>
      <c r="AN70" s="180"/>
      <c r="AO70" s="180"/>
      <c r="AP70" s="180"/>
      <c r="AQ70" s="180"/>
      <c r="AR70" s="180"/>
      <c r="AS70" s="180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 ht="15.75">
      <c r="A71" s="6"/>
      <c r="B71" s="16"/>
      <c r="C71" s="14"/>
      <c r="D71" s="15"/>
      <c r="E71" s="14"/>
      <c r="F71" s="14"/>
      <c r="G71" s="14"/>
      <c r="H71" s="14"/>
      <c r="I71" s="6"/>
      <c r="J71" s="6"/>
      <c r="K71" s="6"/>
      <c r="L71" s="18"/>
      <c r="M71" s="18"/>
      <c r="N71" s="18"/>
      <c r="O71" s="17"/>
      <c r="P71" s="17"/>
      <c r="Q71" s="12"/>
      <c r="R71" s="5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180"/>
      <c r="AL71" s="180"/>
      <c r="AM71" s="180"/>
      <c r="AN71" s="180"/>
      <c r="AO71" s="180"/>
      <c r="AP71" s="180"/>
      <c r="AQ71" s="180"/>
      <c r="AR71" s="180"/>
      <c r="AS71" s="180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 ht="15.75">
      <c r="A72" s="6"/>
      <c r="B72" s="16"/>
      <c r="C72" s="14"/>
      <c r="D72" s="15"/>
      <c r="E72" s="14"/>
      <c r="F72" s="14"/>
      <c r="G72" s="14"/>
      <c r="H72" s="14"/>
      <c r="I72" s="6"/>
      <c r="J72" s="6"/>
      <c r="K72" s="6"/>
      <c r="L72" s="18"/>
      <c r="M72" s="13"/>
      <c r="N72" s="12"/>
      <c r="O72" s="12"/>
      <c r="P72" s="12"/>
      <c r="Q72" s="12"/>
      <c r="R72" s="5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180"/>
      <c r="AL72" s="180"/>
      <c r="AM72" s="180"/>
      <c r="AN72" s="180"/>
      <c r="AO72" s="180"/>
      <c r="AP72" s="180"/>
      <c r="AQ72" s="180"/>
      <c r="AR72" s="180"/>
      <c r="AS72" s="180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 ht="15.75">
      <c r="A73" s="6"/>
      <c r="B73" s="16"/>
      <c r="C73" s="14"/>
      <c r="D73" s="15"/>
      <c r="E73" s="14"/>
      <c r="F73" s="14"/>
      <c r="G73" s="14"/>
      <c r="H73" s="14"/>
      <c r="I73" s="6"/>
      <c r="J73" s="6"/>
      <c r="K73" s="6"/>
      <c r="L73" s="18"/>
      <c r="M73" s="18"/>
      <c r="N73" s="12"/>
      <c r="O73" s="12"/>
      <c r="P73" s="17"/>
      <c r="Q73" s="12"/>
      <c r="R73" s="5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180"/>
      <c r="AL73" s="180"/>
      <c r="AM73" s="180"/>
      <c r="AN73" s="180"/>
      <c r="AO73" s="180"/>
      <c r="AP73" s="180"/>
      <c r="AQ73" s="180"/>
      <c r="AR73" s="180"/>
      <c r="AS73" s="180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 ht="15.75">
      <c r="A74" s="6"/>
      <c r="B74" s="16"/>
      <c r="C74" s="14"/>
      <c r="D74" s="15"/>
      <c r="E74" s="14"/>
      <c r="F74" s="14"/>
      <c r="G74" s="14"/>
      <c r="H74" s="14"/>
      <c r="I74" s="6"/>
      <c r="J74" s="6"/>
      <c r="K74" s="6"/>
      <c r="L74" s="18"/>
      <c r="M74" s="13"/>
      <c r="N74" s="12"/>
      <c r="O74" s="12"/>
      <c r="P74" s="12"/>
      <c r="Q74" s="12"/>
      <c r="R74" s="5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180"/>
      <c r="AL74" s="180"/>
      <c r="AM74" s="180"/>
      <c r="AN74" s="180"/>
      <c r="AO74" s="180"/>
      <c r="AP74" s="180"/>
      <c r="AQ74" s="180"/>
      <c r="AR74" s="180"/>
      <c r="AS74" s="180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 ht="15.75">
      <c r="A75" s="6"/>
      <c r="B75" s="16"/>
      <c r="C75" s="14"/>
      <c r="D75" s="15"/>
      <c r="E75" s="14"/>
      <c r="F75" s="14"/>
      <c r="G75" s="14"/>
      <c r="H75" s="14"/>
      <c r="I75" s="6"/>
      <c r="J75" s="6"/>
      <c r="K75" s="6"/>
      <c r="L75" s="18"/>
      <c r="M75" s="18"/>
      <c r="N75" s="12"/>
      <c r="O75" s="12"/>
      <c r="P75" s="17"/>
      <c r="Q75" s="12"/>
      <c r="R75" s="6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180"/>
      <c r="AL75" s="180"/>
      <c r="AM75" s="180"/>
      <c r="AN75" s="180"/>
      <c r="AO75" s="180"/>
      <c r="AP75" s="180"/>
      <c r="AQ75" s="180"/>
      <c r="AR75" s="180"/>
      <c r="AS75" s="180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 ht="15.75">
      <c r="A76" s="6"/>
      <c r="B76" s="16"/>
      <c r="C76" s="14"/>
      <c r="D76" s="15"/>
      <c r="E76" s="14"/>
      <c r="F76" s="14"/>
      <c r="G76" s="14"/>
      <c r="H76" s="14"/>
      <c r="I76" s="6"/>
      <c r="J76" s="6"/>
      <c r="K76" s="6"/>
      <c r="L76" s="18"/>
      <c r="M76" s="13"/>
      <c r="N76" s="12"/>
      <c r="O76" s="12"/>
      <c r="P76" s="12"/>
      <c r="Q76" s="12"/>
      <c r="R76" s="6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180"/>
      <c r="AL76" s="180"/>
      <c r="AM76" s="180"/>
      <c r="AN76" s="180"/>
      <c r="AO76" s="180"/>
      <c r="AP76" s="180"/>
      <c r="AQ76" s="180"/>
      <c r="AR76" s="180"/>
      <c r="AS76" s="180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 ht="15.75">
      <c r="A77" s="6"/>
      <c r="B77" s="16"/>
      <c r="C77" s="14"/>
      <c r="D77" s="15"/>
      <c r="E77" s="14"/>
      <c r="F77" s="14"/>
      <c r="G77" s="14"/>
      <c r="H77" s="14"/>
      <c r="I77" s="6"/>
      <c r="J77" s="6"/>
      <c r="K77" s="6"/>
      <c r="L77" s="18"/>
      <c r="M77" s="18"/>
      <c r="N77" s="12"/>
      <c r="O77" s="12"/>
      <c r="P77" s="17"/>
      <c r="Q77" s="12"/>
      <c r="R77" s="6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180"/>
      <c r="AL77" s="180"/>
      <c r="AM77" s="180"/>
      <c r="AN77" s="180"/>
      <c r="AO77" s="180"/>
      <c r="AP77" s="180"/>
      <c r="AQ77" s="180"/>
      <c r="AR77" s="180"/>
      <c r="AS77" s="180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 ht="15.75">
      <c r="A78" s="6"/>
      <c r="B78" s="16"/>
      <c r="C78" s="14"/>
      <c r="D78" s="15"/>
      <c r="E78" s="14"/>
      <c r="F78" s="14"/>
      <c r="G78" s="14"/>
      <c r="H78" s="14"/>
      <c r="I78" s="6"/>
      <c r="J78" s="6"/>
      <c r="K78" s="6"/>
      <c r="L78" s="12"/>
      <c r="M78" s="13"/>
      <c r="N78" s="12"/>
      <c r="O78" s="12"/>
      <c r="P78" s="12"/>
      <c r="Q78" s="12"/>
      <c r="R78" s="6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180"/>
      <c r="AL78" s="180"/>
      <c r="AM78" s="180"/>
      <c r="AN78" s="180"/>
      <c r="AO78" s="180"/>
      <c r="AP78" s="180"/>
      <c r="AQ78" s="180"/>
      <c r="AR78" s="180"/>
      <c r="AS78" s="180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5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180"/>
      <c r="AL79" s="180"/>
      <c r="AM79" s="180"/>
      <c r="AN79" s="180"/>
      <c r="AO79" s="180"/>
      <c r="AP79" s="180"/>
      <c r="AQ79" s="180"/>
      <c r="AR79" s="180"/>
      <c r="AS79" s="180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5"/>
      <c r="N80" s="11"/>
      <c r="O80" s="6"/>
      <c r="P80" s="6"/>
      <c r="Q80" s="6"/>
      <c r="R80" s="5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180"/>
      <c r="AL80" s="180"/>
      <c r="AM80" s="180"/>
      <c r="AN80" s="180"/>
      <c r="AO80" s="180"/>
      <c r="AP80" s="180"/>
      <c r="AQ80" s="180"/>
      <c r="AR80" s="180"/>
      <c r="AS80" s="180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10"/>
      <c r="O81" s="7"/>
      <c r="P81" s="7"/>
      <c r="Q81" s="6"/>
      <c r="R81" s="5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180"/>
      <c r="AL81" s="180"/>
      <c r="AM81" s="180"/>
      <c r="AN81" s="180"/>
      <c r="AO81" s="180"/>
      <c r="AP81" s="180"/>
      <c r="AQ81" s="180"/>
      <c r="AR81" s="180"/>
      <c r="AS81" s="180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8"/>
      <c r="O82" s="7"/>
      <c r="P82" s="7"/>
      <c r="Q82" s="6"/>
      <c r="R82" s="5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180"/>
      <c r="AL82" s="180"/>
      <c r="AM82" s="180"/>
      <c r="AN82" s="180"/>
      <c r="AO82" s="180"/>
      <c r="AP82" s="180"/>
      <c r="AQ82" s="180"/>
      <c r="AR82" s="180"/>
      <c r="AS82" s="180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/>
      <c r="B83" s="4"/>
      <c r="C83" s="3"/>
      <c r="D83" s="3"/>
      <c r="E83" s="3"/>
      <c r="F83" s="3"/>
      <c r="G83" s="3"/>
      <c r="H83" s="3"/>
      <c r="I83" s="3"/>
      <c r="J83" s="6"/>
      <c r="K83" s="6"/>
      <c r="L83" s="6"/>
      <c r="M83" s="6"/>
      <c r="N83" s="6"/>
      <c r="O83" s="6"/>
      <c r="P83" s="6"/>
      <c r="Q83" s="6"/>
      <c r="R83" s="5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180"/>
      <c r="AL83" s="180"/>
      <c r="AM83" s="180"/>
      <c r="AN83" s="180"/>
      <c r="AO83" s="180"/>
      <c r="AP83" s="180"/>
      <c r="AQ83" s="180"/>
      <c r="AR83" s="180"/>
      <c r="AS83" s="180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/>
      <c r="B84" s="4"/>
      <c r="C84" s="3"/>
      <c r="D84" s="3"/>
      <c r="E84" s="3"/>
      <c r="F84" s="3"/>
      <c r="G84" s="3"/>
      <c r="H84" s="3"/>
      <c r="I84" s="3"/>
      <c r="J84" s="6"/>
      <c r="K84" s="6"/>
      <c r="L84" s="6"/>
      <c r="M84" s="6"/>
      <c r="N84" s="6"/>
      <c r="O84" s="6"/>
      <c r="P84" s="6"/>
      <c r="Q84" s="6"/>
      <c r="R84" s="5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180"/>
      <c r="AL84" s="180"/>
      <c r="AM84" s="180"/>
      <c r="AN84" s="180"/>
      <c r="AO84" s="180"/>
      <c r="AP84" s="180"/>
      <c r="AQ84" s="180"/>
      <c r="AR84" s="180"/>
      <c r="AS84" s="180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/>
      <c r="B85" s="4"/>
      <c r="C85" s="3"/>
      <c r="D85" s="3"/>
      <c r="E85" s="3"/>
      <c r="F85" s="3"/>
      <c r="G85" s="3"/>
      <c r="H85" s="3"/>
      <c r="I85" s="3"/>
      <c r="J85" s="6"/>
      <c r="K85" s="6"/>
      <c r="L85" s="6"/>
      <c r="M85" s="7"/>
      <c r="N85" s="10"/>
      <c r="O85" s="7"/>
      <c r="P85" s="7"/>
      <c r="Q85" s="6"/>
      <c r="R85" s="5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180"/>
      <c r="AL85" s="180"/>
      <c r="AM85" s="180"/>
      <c r="AN85" s="180"/>
      <c r="AO85" s="180"/>
      <c r="AP85" s="180"/>
      <c r="AQ85" s="180"/>
      <c r="AR85" s="180"/>
      <c r="AS85" s="180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/>
      <c r="B86" s="4"/>
      <c r="C86" s="3"/>
      <c r="D86" s="3"/>
      <c r="E86" s="3"/>
      <c r="F86" s="3"/>
      <c r="G86" s="3"/>
      <c r="H86" s="3"/>
      <c r="I86" s="3"/>
      <c r="J86" s="6"/>
      <c r="K86" s="6"/>
      <c r="L86" s="6"/>
      <c r="M86" s="7"/>
      <c r="N86" s="8"/>
      <c r="O86" s="7"/>
      <c r="P86" s="7"/>
      <c r="Q86" s="6"/>
      <c r="R86" s="5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180"/>
      <c r="AL86" s="180"/>
      <c r="AM86" s="180"/>
      <c r="AN86" s="180"/>
      <c r="AO86" s="180"/>
      <c r="AP86" s="180"/>
      <c r="AQ86" s="180"/>
      <c r="AR86" s="180"/>
      <c r="AS86" s="180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/>
      <c r="B87" s="4"/>
      <c r="C87" s="3"/>
      <c r="D87" s="3"/>
      <c r="E87" s="3"/>
      <c r="F87" s="3"/>
      <c r="G87" s="3"/>
      <c r="H87" s="3"/>
      <c r="I87" s="3"/>
      <c r="J87" s="6"/>
      <c r="K87" s="6"/>
      <c r="L87" s="6"/>
      <c r="M87" s="6"/>
      <c r="N87" s="6"/>
      <c r="O87" s="6"/>
      <c r="P87" s="6"/>
      <c r="Q87" s="6"/>
      <c r="R87" s="5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180"/>
      <c r="AL87" s="180"/>
      <c r="AM87" s="180"/>
      <c r="AN87" s="180"/>
      <c r="AO87" s="180"/>
      <c r="AP87" s="180"/>
      <c r="AQ87" s="180"/>
      <c r="AR87" s="180"/>
      <c r="AS87" s="180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/>
      <c r="B88" s="4"/>
      <c r="C88" s="3"/>
      <c r="D88" s="3"/>
      <c r="E88" s="3"/>
      <c r="F88" s="3"/>
      <c r="G88" s="3"/>
      <c r="H88" s="3"/>
      <c r="I88" s="3"/>
      <c r="J88" s="6"/>
      <c r="K88" s="6"/>
      <c r="L88" s="6"/>
      <c r="M88" s="6"/>
      <c r="N88" s="6"/>
      <c r="O88" s="6"/>
      <c r="P88" s="6"/>
      <c r="Q88" s="6"/>
      <c r="R88" s="5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180"/>
      <c r="AL88" s="180"/>
      <c r="AM88" s="180"/>
      <c r="AN88" s="180"/>
      <c r="AO88" s="180"/>
      <c r="AP88" s="180"/>
      <c r="AQ88" s="180"/>
      <c r="AR88" s="180"/>
      <c r="AS88" s="180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/>
      <c r="B89" s="4"/>
      <c r="C89" s="3"/>
      <c r="D89" s="3"/>
      <c r="E89" s="3"/>
      <c r="F89" s="3"/>
      <c r="G89" s="3"/>
      <c r="H89" s="3"/>
      <c r="I89" s="3"/>
      <c r="J89" s="6"/>
      <c r="K89" s="6"/>
      <c r="L89" s="6"/>
      <c r="M89" s="6"/>
      <c r="N89" s="6"/>
      <c r="O89" s="6"/>
      <c r="P89" s="6"/>
      <c r="Q89" s="6"/>
      <c r="R89" s="5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180"/>
      <c r="AL89" s="180"/>
      <c r="AM89" s="180"/>
      <c r="AN89" s="180"/>
      <c r="AO89" s="180"/>
      <c r="AP89" s="180"/>
      <c r="AQ89" s="180"/>
      <c r="AR89" s="180"/>
      <c r="AS89" s="180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/>
      <c r="B90" s="4"/>
      <c r="C90" s="3"/>
      <c r="D90" s="3"/>
      <c r="E90" s="3"/>
      <c r="F90" s="3"/>
      <c r="G90" s="3"/>
      <c r="H90" s="3"/>
      <c r="I90" s="3"/>
      <c r="J90" s="6"/>
      <c r="K90" s="6"/>
      <c r="L90" s="6"/>
      <c r="M90" s="6"/>
      <c r="N90" s="6"/>
      <c r="O90" s="6"/>
      <c r="P90" s="6"/>
      <c r="Q90" s="6"/>
      <c r="R90" s="5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80"/>
      <c r="AL90" s="180"/>
      <c r="AM90" s="180"/>
      <c r="AN90" s="180"/>
      <c r="AO90" s="180"/>
      <c r="AP90" s="180"/>
      <c r="AQ90" s="180"/>
      <c r="AR90" s="180"/>
      <c r="AS90" s="180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/>
      <c r="B91" s="4"/>
      <c r="C91" s="3"/>
      <c r="D91" s="3"/>
      <c r="E91" s="3"/>
      <c r="F91" s="3"/>
      <c r="G91" s="3"/>
      <c r="H91" s="3"/>
      <c r="I91" s="3"/>
      <c r="J91" s="6"/>
      <c r="K91" s="6"/>
      <c r="L91" s="6"/>
      <c r="M91" s="6"/>
      <c r="N91" s="6"/>
      <c r="O91" s="6"/>
      <c r="P91" s="6"/>
      <c r="Q91" s="6"/>
      <c r="R91" s="5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180"/>
      <c r="AL91" s="180"/>
      <c r="AM91" s="180"/>
      <c r="AN91" s="180"/>
      <c r="AO91" s="180"/>
      <c r="AP91" s="180"/>
      <c r="AQ91" s="180"/>
      <c r="AR91" s="180"/>
      <c r="AS91" s="180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1:98">
      <c r="J92" s="15"/>
      <c r="K92" s="15"/>
      <c r="L92" s="15"/>
      <c r="M92" s="15"/>
      <c r="N92" s="15"/>
      <c r="O92" s="15"/>
      <c r="P92" s="15"/>
      <c r="Q92" s="15"/>
      <c r="R92" s="245"/>
    </row>
    <row r="93" spans="1:98">
      <c r="J93" s="15"/>
      <c r="K93" s="15"/>
      <c r="L93" s="15"/>
      <c r="M93" s="15"/>
      <c r="N93" s="15"/>
      <c r="O93" s="15"/>
      <c r="P93" s="15"/>
      <c r="Q93" s="15"/>
      <c r="R93" s="245"/>
    </row>
    <row r="94" spans="1:98">
      <c r="J94" s="15"/>
      <c r="K94" s="15"/>
      <c r="L94" s="15"/>
      <c r="M94" s="15"/>
      <c r="N94" s="15"/>
      <c r="O94" s="15"/>
      <c r="P94" s="15"/>
      <c r="Q94" s="15"/>
      <c r="R94" s="245"/>
    </row>
    <row r="95" spans="1:98">
      <c r="J95" s="15"/>
      <c r="K95" s="15"/>
      <c r="L95" s="15"/>
      <c r="M95" s="15"/>
      <c r="N95" s="15"/>
      <c r="O95" s="15"/>
      <c r="P95" s="15"/>
      <c r="Q95" s="15"/>
      <c r="R95" s="245"/>
    </row>
    <row r="96" spans="1:98">
      <c r="J96" s="15"/>
      <c r="K96" s="15"/>
      <c r="L96" s="15"/>
      <c r="M96" s="15"/>
      <c r="N96" s="15"/>
      <c r="O96" s="15"/>
      <c r="P96" s="15"/>
      <c r="Q96" s="15"/>
      <c r="R96" s="245"/>
    </row>
    <row r="97" spans="10:18">
      <c r="J97" s="15"/>
      <c r="K97" s="15"/>
      <c r="L97" s="15"/>
      <c r="M97" s="15"/>
      <c r="N97" s="15"/>
      <c r="O97" s="15"/>
      <c r="P97" s="15"/>
      <c r="Q97" s="15"/>
      <c r="R97" s="245"/>
    </row>
    <row r="98" spans="10:18">
      <c r="J98" s="15"/>
      <c r="K98" s="15"/>
      <c r="L98" s="15"/>
      <c r="M98" s="15"/>
      <c r="N98" s="15"/>
      <c r="O98" s="15"/>
      <c r="P98" s="15"/>
      <c r="Q98" s="15"/>
      <c r="R98" s="245"/>
    </row>
    <row r="99" spans="10:18">
      <c r="J99" s="15"/>
      <c r="K99" s="15"/>
      <c r="L99" s="15"/>
      <c r="M99" s="15"/>
      <c r="N99" s="15"/>
      <c r="O99" s="15"/>
      <c r="P99" s="15"/>
      <c r="Q99" s="15"/>
      <c r="R99" s="245"/>
    </row>
    <row r="100" spans="10:18">
      <c r="J100" s="15"/>
      <c r="K100" s="15"/>
      <c r="L100" s="15"/>
      <c r="M100" s="15"/>
      <c r="N100" s="15"/>
      <c r="O100" s="15"/>
      <c r="P100" s="15"/>
      <c r="Q100" s="15"/>
      <c r="R100" s="245"/>
    </row>
    <row r="101" spans="10:18">
      <c r="J101" s="15"/>
      <c r="K101" s="15"/>
      <c r="L101" s="15"/>
      <c r="M101" s="15"/>
      <c r="N101" s="15"/>
      <c r="O101" s="15"/>
      <c r="P101" s="15"/>
      <c r="Q101" s="15"/>
      <c r="R101" s="245"/>
    </row>
    <row r="102" spans="10:18">
      <c r="J102" s="15"/>
      <c r="K102" s="15"/>
      <c r="L102" s="15"/>
      <c r="M102" s="15"/>
      <c r="N102" s="15"/>
      <c r="O102" s="15"/>
      <c r="P102" s="15"/>
      <c r="Q102" s="15"/>
      <c r="R102" s="245"/>
    </row>
    <row r="103" spans="10:18">
      <c r="J103" s="15"/>
      <c r="K103" s="15"/>
      <c r="L103" s="15"/>
      <c r="M103" s="15"/>
      <c r="N103" s="15"/>
      <c r="O103" s="15"/>
      <c r="P103" s="15"/>
      <c r="Q103" s="15"/>
      <c r="R103" s="245"/>
    </row>
    <row r="104" spans="10:18">
      <c r="J104" s="15"/>
      <c r="K104" s="15"/>
      <c r="L104" s="15"/>
      <c r="M104" s="15"/>
      <c r="N104" s="15"/>
      <c r="O104" s="15"/>
      <c r="P104" s="15"/>
      <c r="Q104" s="15"/>
      <c r="R104" s="245"/>
    </row>
  </sheetData>
  <mergeCells count="74">
    <mergeCell ref="AY22:AZ22"/>
    <mergeCell ref="AP20:AQ20"/>
    <mergeCell ref="AN30:AO30"/>
    <mergeCell ref="AP30:AQ30"/>
    <mergeCell ref="AW12:AX12"/>
    <mergeCell ref="AY12:AZ12"/>
    <mergeCell ref="AU1:AX1"/>
    <mergeCell ref="AU2:AX2"/>
    <mergeCell ref="AU3:AX3"/>
    <mergeCell ref="AU4:AX4"/>
    <mergeCell ref="AN20:AO20"/>
    <mergeCell ref="AW22:AX22"/>
    <mergeCell ref="AV32:AW32"/>
    <mergeCell ref="AX32:AY32"/>
    <mergeCell ref="W43:W44"/>
    <mergeCell ref="U44:V44"/>
    <mergeCell ref="X43:X44"/>
    <mergeCell ref="W45:W46"/>
    <mergeCell ref="X45:X46"/>
    <mergeCell ref="B29:B30"/>
    <mergeCell ref="B40:B41"/>
    <mergeCell ref="T47:T48"/>
    <mergeCell ref="U47:V47"/>
    <mergeCell ref="W47:W48"/>
    <mergeCell ref="U29:V29"/>
    <mergeCell ref="U34:V34"/>
    <mergeCell ref="U35:V35"/>
    <mergeCell ref="K39:K40"/>
    <mergeCell ref="M39:M40"/>
    <mergeCell ref="O39:O40"/>
    <mergeCell ref="P39:P40"/>
    <mergeCell ref="T45:T46"/>
    <mergeCell ref="U45:V45"/>
    <mergeCell ref="T43:T44"/>
    <mergeCell ref="U43:V43"/>
    <mergeCell ref="U48:V48"/>
    <mergeCell ref="U46:V46"/>
    <mergeCell ref="X47:X48"/>
    <mergeCell ref="T10:T11"/>
    <mergeCell ref="AC10:AC11"/>
    <mergeCell ref="U42:V42"/>
    <mergeCell ref="U18:V18"/>
    <mergeCell ref="U19:V19"/>
    <mergeCell ref="U28:V28"/>
    <mergeCell ref="U24:V24"/>
    <mergeCell ref="U23:V23"/>
    <mergeCell ref="B4:E4"/>
    <mergeCell ref="K4:N4"/>
    <mergeCell ref="T4:W4"/>
    <mergeCell ref="AC4:AF4"/>
    <mergeCell ref="B3:E3"/>
    <mergeCell ref="K3:N3"/>
    <mergeCell ref="T3:W3"/>
    <mergeCell ref="B1:E1"/>
    <mergeCell ref="K1:N1"/>
    <mergeCell ref="T1:W1"/>
    <mergeCell ref="AC1:AF1"/>
    <mergeCell ref="B2:E2"/>
    <mergeCell ref="K2:N2"/>
    <mergeCell ref="T2:W2"/>
    <mergeCell ref="AC2:AF2"/>
    <mergeCell ref="AD29:AE29"/>
    <mergeCell ref="AD34:AE34"/>
    <mergeCell ref="AD35:AE35"/>
    <mergeCell ref="AL1:AO1"/>
    <mergeCell ref="AL2:AO2"/>
    <mergeCell ref="AL3:AO3"/>
    <mergeCell ref="AL4:AO4"/>
    <mergeCell ref="AC3:AF3"/>
    <mergeCell ref="AD18:AE18"/>
    <mergeCell ref="AD19:AE19"/>
    <mergeCell ref="AD23:AE23"/>
    <mergeCell ref="AD24:AE24"/>
    <mergeCell ref="AD28:AE28"/>
  </mergeCells>
  <pageMargins left="0.7" right="0.7" top="0.75" bottom="0.75" header="0.3" footer="0.3"/>
  <pageSetup scale="84" orientation="portrait" r:id="rId1"/>
  <colBreaks count="5" manualBreakCount="5">
    <brk id="9" max="1048575" man="1"/>
    <brk id="18" max="1048575" man="1"/>
    <brk id="27" max="1048575" man="1"/>
    <brk id="36" max="1048575" man="1"/>
    <brk id="4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CU111"/>
  <sheetViews>
    <sheetView view="pageLayout" topLeftCell="AD1" zoomScale="55" zoomScaleNormal="100" zoomScaleSheetLayoutView="85" zoomScalePageLayoutView="55" workbookViewId="0">
      <selection activeCell="N57" sqref="N57"/>
    </sheetView>
  </sheetViews>
  <sheetFormatPr defaultRowHeight="15" outlineLevelRow="1" outlineLevelCol="3"/>
  <cols>
    <col min="1" max="1" width="12" customWidth="1"/>
    <col min="2" max="2" width="11" style="2" customWidth="1" outlineLevel="3"/>
    <col min="3" max="3" width="10.28515625" customWidth="1" outlineLevel="3"/>
    <col min="4" max="4" width="10.7109375" customWidth="1" outlineLevel="2"/>
    <col min="5" max="5" width="11" customWidth="1" outlineLevel="2"/>
    <col min="6" max="6" width="14" customWidth="1" outlineLevel="1"/>
    <col min="7" max="7" width="10.85546875" customWidth="1" outlineLevel="1"/>
    <col min="8" max="8" width="13" customWidth="1" outlineLevel="1"/>
    <col min="9" max="9" width="15.85546875" customWidth="1" outlineLevel="1"/>
    <col min="10" max="10" width="13.7109375" customWidth="1" outlineLevel="1"/>
    <col min="11" max="11" width="10.85546875" customWidth="1" outlineLevel="1"/>
    <col min="12" max="12" width="9.5703125" customWidth="1" outlineLevel="1"/>
    <col min="13" max="13" width="9" customWidth="1" outlineLevel="1"/>
    <col min="14" max="14" width="12.85546875" customWidth="1" outlineLevel="1"/>
    <col min="15" max="15" width="13.85546875" customWidth="1" outlineLevel="1"/>
    <col min="16" max="16" width="13.42578125" customWidth="1" outlineLevel="1"/>
    <col min="17" max="17" width="9.42578125" customWidth="1" outlineLevel="1"/>
    <col min="18" max="18" width="15.42578125" style="1" customWidth="1" outlineLevel="1"/>
    <col min="19" max="19" width="14.5703125" customWidth="1" outlineLevel="1"/>
    <col min="20" max="23" width="11.7109375" customWidth="1" outlineLevel="1"/>
    <col min="24" max="24" width="14.5703125" customWidth="1" outlineLevel="1"/>
    <col min="25" max="25" width="9.5703125" customWidth="1" outlineLevel="1"/>
    <col min="26" max="26" width="7.7109375" customWidth="1" outlineLevel="1"/>
    <col min="27" max="27" width="15.42578125" customWidth="1" outlineLevel="1"/>
    <col min="28" max="28" width="12.5703125" customWidth="1" outlineLevel="1"/>
    <col min="29" max="32" width="11.7109375" customWidth="1" outlineLevel="1"/>
    <col min="33" max="33" width="14.7109375" customWidth="1" outlineLevel="1"/>
    <col min="34" max="35" width="10" customWidth="1" outlineLevel="1"/>
    <col min="36" max="36" width="14.85546875" customWidth="1" outlineLevel="1"/>
    <col min="37" max="37" width="12.5703125" customWidth="1" outlineLevel="1"/>
    <col min="38" max="41" width="11.7109375" customWidth="1"/>
    <col min="42" max="42" width="12.5703125" customWidth="1"/>
    <col min="43" max="43" width="10.42578125" customWidth="1"/>
    <col min="44" max="44" width="10.85546875" customWidth="1"/>
    <col min="45" max="45" width="15.140625" customWidth="1"/>
    <col min="46" max="46" width="12.5703125" customWidth="1"/>
    <col min="47" max="50" width="11.7109375" customWidth="1"/>
    <col min="51" max="51" width="14.28515625" customWidth="1"/>
    <col min="52" max="52" width="10.140625" customWidth="1"/>
    <col min="54" max="54" width="16" customWidth="1"/>
    <col min="55" max="55" width="10.5703125" customWidth="1"/>
  </cols>
  <sheetData>
    <row r="1" spans="1:99" ht="20.25">
      <c r="A1" s="120" t="s">
        <v>106</v>
      </c>
      <c r="B1" s="215" t="s">
        <v>107</v>
      </c>
      <c r="C1" s="216"/>
      <c r="D1" s="216"/>
      <c r="E1" s="217"/>
      <c r="F1" s="197" t="s">
        <v>105</v>
      </c>
      <c r="G1" s="198"/>
      <c r="H1" s="198"/>
      <c r="I1" s="199"/>
      <c r="J1" s="120" t="s">
        <v>106</v>
      </c>
      <c r="K1" s="215" t="str">
        <f>B1</f>
        <v>City of Lowell</v>
      </c>
      <c r="L1" s="216"/>
      <c r="M1" s="216"/>
      <c r="N1" s="217"/>
      <c r="O1" s="125" t="s">
        <v>105</v>
      </c>
      <c r="P1" s="124"/>
      <c r="Q1" s="124"/>
      <c r="R1" s="123"/>
      <c r="S1" s="120" t="s">
        <v>106</v>
      </c>
      <c r="T1" s="215" t="str">
        <f>K1</f>
        <v>City of Lowell</v>
      </c>
      <c r="U1" s="216"/>
      <c r="V1" s="216"/>
      <c r="W1" s="217"/>
      <c r="X1" s="125" t="s">
        <v>105</v>
      </c>
      <c r="Y1" s="124"/>
      <c r="Z1" s="124"/>
      <c r="AA1" s="123"/>
      <c r="AB1" s="120" t="s">
        <v>106</v>
      </c>
      <c r="AC1" s="215" t="str">
        <f>K1</f>
        <v>City of Lowell</v>
      </c>
      <c r="AD1" s="216"/>
      <c r="AE1" s="216"/>
      <c r="AF1" s="217"/>
      <c r="AG1" s="125" t="s">
        <v>105</v>
      </c>
      <c r="AH1" s="124"/>
      <c r="AI1" s="124"/>
      <c r="AJ1" s="123"/>
      <c r="AK1" s="120" t="s">
        <v>106</v>
      </c>
      <c r="AL1" s="215" t="str">
        <f>T1</f>
        <v>City of Lowell</v>
      </c>
      <c r="AM1" s="216"/>
      <c r="AN1" s="216"/>
      <c r="AO1" s="217"/>
      <c r="AP1" s="125" t="s">
        <v>105</v>
      </c>
      <c r="AQ1" s="124"/>
      <c r="AR1" s="124"/>
      <c r="AS1" s="123"/>
      <c r="AT1" s="120" t="s">
        <v>106</v>
      </c>
      <c r="AU1" s="215" t="str">
        <f>AC1</f>
        <v>City of Lowell</v>
      </c>
      <c r="AV1" s="216"/>
      <c r="AW1" s="216"/>
      <c r="AX1" s="217"/>
      <c r="AY1" s="125" t="s">
        <v>105</v>
      </c>
      <c r="AZ1" s="124"/>
      <c r="BA1" s="124"/>
      <c r="BB1" s="123"/>
    </row>
    <row r="2" spans="1:99">
      <c r="A2" s="120" t="s">
        <v>103</v>
      </c>
      <c r="B2" s="215" t="s">
        <v>104</v>
      </c>
      <c r="C2" s="216"/>
      <c r="D2" s="216"/>
      <c r="E2" s="217"/>
      <c r="F2" s="121" t="s">
        <v>102</v>
      </c>
      <c r="G2" s="121" t="s">
        <v>101</v>
      </c>
      <c r="H2" s="121" t="s">
        <v>100</v>
      </c>
      <c r="I2" s="121">
        <v>4014312</v>
      </c>
      <c r="J2" s="120" t="s">
        <v>103</v>
      </c>
      <c r="K2" s="215" t="str">
        <f>B2</f>
        <v>University Ave, Lowell, Bridge</v>
      </c>
      <c r="L2" s="216"/>
      <c r="M2" s="216"/>
      <c r="N2" s="217"/>
      <c r="O2" s="121" t="s">
        <v>102</v>
      </c>
      <c r="P2" s="121" t="s">
        <v>101</v>
      </c>
      <c r="Q2" s="121" t="s">
        <v>100</v>
      </c>
      <c r="R2" s="121">
        <f>I2</f>
        <v>4014312</v>
      </c>
      <c r="S2" s="120" t="s">
        <v>103</v>
      </c>
      <c r="T2" s="215" t="str">
        <f>K2</f>
        <v>University Ave, Lowell, Bridge</v>
      </c>
      <c r="U2" s="216"/>
      <c r="V2" s="216"/>
      <c r="W2" s="217"/>
      <c r="X2" s="118" t="s">
        <v>102</v>
      </c>
      <c r="Y2" s="118" t="s">
        <v>101</v>
      </c>
      <c r="Z2" s="118" t="s">
        <v>100</v>
      </c>
      <c r="AA2" s="118">
        <f>R2</f>
        <v>4014312</v>
      </c>
      <c r="AB2" s="120" t="s">
        <v>103</v>
      </c>
      <c r="AC2" s="215" t="str">
        <f>K2</f>
        <v>University Ave, Lowell, Bridge</v>
      </c>
      <c r="AD2" s="216"/>
      <c r="AE2" s="216"/>
      <c r="AF2" s="217"/>
      <c r="AG2" s="118" t="s">
        <v>102</v>
      </c>
      <c r="AH2" s="118" t="s">
        <v>101</v>
      </c>
      <c r="AI2" s="118" t="s">
        <v>100</v>
      </c>
      <c r="AJ2" s="118">
        <f>R2</f>
        <v>4014312</v>
      </c>
      <c r="AK2" s="120" t="s">
        <v>103</v>
      </c>
      <c r="AL2" s="215" t="str">
        <f>T2</f>
        <v>University Ave, Lowell, Bridge</v>
      </c>
      <c r="AM2" s="216"/>
      <c r="AN2" s="216"/>
      <c r="AO2" s="217"/>
      <c r="AP2" s="118" t="s">
        <v>102</v>
      </c>
      <c r="AQ2" s="118" t="s">
        <v>101</v>
      </c>
      <c r="AR2" s="118" t="s">
        <v>100</v>
      </c>
      <c r="AS2" s="118">
        <f>AA2</f>
        <v>4014312</v>
      </c>
      <c r="AT2" s="120" t="s">
        <v>103</v>
      </c>
      <c r="AU2" s="215" t="str">
        <f>AC2</f>
        <v>University Ave, Lowell, Bridge</v>
      </c>
      <c r="AV2" s="216"/>
      <c r="AW2" s="216"/>
      <c r="AX2" s="217"/>
      <c r="AY2" s="118" t="s">
        <v>102</v>
      </c>
      <c r="AZ2" s="118" t="s">
        <v>101</v>
      </c>
      <c r="BA2" s="118" t="s">
        <v>100</v>
      </c>
      <c r="BB2" s="118">
        <f>AJ2</f>
        <v>4014312</v>
      </c>
    </row>
    <row r="3" spans="1:99" ht="15" customHeight="1">
      <c r="A3" s="120" t="s">
        <v>98</v>
      </c>
      <c r="B3" s="218" t="s">
        <v>172</v>
      </c>
      <c r="C3" s="219"/>
      <c r="D3" s="219"/>
      <c r="E3" s="220"/>
      <c r="F3" s="121" t="s">
        <v>99</v>
      </c>
      <c r="G3" s="121"/>
      <c r="H3" s="121"/>
      <c r="I3" s="188">
        <v>1</v>
      </c>
      <c r="J3" s="120" t="s">
        <v>98</v>
      </c>
      <c r="K3" s="218" t="str">
        <f>B3</f>
        <v>Interior Floor Beam Rating</v>
      </c>
      <c r="L3" s="219"/>
      <c r="M3" s="219"/>
      <c r="N3" s="220"/>
      <c r="O3" s="121" t="str">
        <f>F3</f>
        <v>ARG</v>
      </c>
      <c r="P3" s="121"/>
      <c r="Q3" s="121"/>
      <c r="R3" s="189">
        <f>I3+1</f>
        <v>2</v>
      </c>
      <c r="S3" s="120" t="s">
        <v>98</v>
      </c>
      <c r="T3" s="218" t="str">
        <f>K3</f>
        <v>Interior Floor Beam Rating</v>
      </c>
      <c r="U3" s="219"/>
      <c r="V3" s="219"/>
      <c r="W3" s="220"/>
      <c r="X3" s="118" t="str">
        <f>O3</f>
        <v>ARG</v>
      </c>
      <c r="Y3" s="118"/>
      <c r="Z3" s="118"/>
      <c r="AA3" s="189">
        <f>R3+1</f>
        <v>3</v>
      </c>
      <c r="AB3" s="120" t="s">
        <v>98</v>
      </c>
      <c r="AC3" s="218" t="str">
        <f>K3</f>
        <v>Interior Floor Beam Rating</v>
      </c>
      <c r="AD3" s="219"/>
      <c r="AE3" s="219"/>
      <c r="AF3" s="220"/>
      <c r="AG3" s="118" t="str">
        <f>O3</f>
        <v>ARG</v>
      </c>
      <c r="AH3" s="118"/>
      <c r="AI3" s="118"/>
      <c r="AJ3" s="189">
        <f>AA3+1</f>
        <v>4</v>
      </c>
      <c r="AK3" s="120" t="s">
        <v>98</v>
      </c>
      <c r="AL3" s="218" t="str">
        <f>T3</f>
        <v>Interior Floor Beam Rating</v>
      </c>
      <c r="AM3" s="219"/>
      <c r="AN3" s="219"/>
      <c r="AO3" s="220"/>
      <c r="AP3" s="118" t="str">
        <f>X3</f>
        <v>ARG</v>
      </c>
      <c r="AQ3" s="118"/>
      <c r="AR3" s="118"/>
      <c r="AS3" s="189">
        <f>AJ3+1</f>
        <v>5</v>
      </c>
      <c r="AT3" s="120" t="s">
        <v>98</v>
      </c>
      <c r="AU3" s="218" t="str">
        <f>AC3</f>
        <v>Interior Floor Beam Rating</v>
      </c>
      <c r="AV3" s="219"/>
      <c r="AW3" s="219"/>
      <c r="AX3" s="220"/>
      <c r="AY3" s="118" t="str">
        <f>AG3</f>
        <v>ARG</v>
      </c>
      <c r="AZ3" s="118"/>
      <c r="BA3" s="118"/>
      <c r="BB3" s="189">
        <f>AS3+1</f>
        <v>6</v>
      </c>
    </row>
    <row r="4" spans="1:99" ht="15" customHeight="1">
      <c r="A4" s="120"/>
      <c r="B4" s="221" t="s">
        <v>159</v>
      </c>
      <c r="C4" s="222"/>
      <c r="D4" s="222"/>
      <c r="E4" s="223"/>
      <c r="F4" s="122">
        <f ca="1">TODAY()</f>
        <v>42306</v>
      </c>
      <c r="G4" s="121"/>
      <c r="H4" s="121"/>
      <c r="I4" s="121"/>
      <c r="J4" s="120"/>
      <c r="K4" s="221" t="str">
        <f>IF(B4="","",B4)</f>
        <v>FB2</v>
      </c>
      <c r="L4" s="222"/>
      <c r="M4" s="222"/>
      <c r="N4" s="223"/>
      <c r="O4" s="122">
        <f ca="1">F4</f>
        <v>42306</v>
      </c>
      <c r="P4" s="121"/>
      <c r="Q4" s="121"/>
      <c r="R4" s="121"/>
      <c r="S4" s="120"/>
      <c r="T4" s="221" t="str">
        <f>IF(K4="","",K4)</f>
        <v>FB2</v>
      </c>
      <c r="U4" s="222"/>
      <c r="V4" s="222"/>
      <c r="W4" s="223"/>
      <c r="X4" s="119">
        <f ca="1">O4</f>
        <v>42306</v>
      </c>
      <c r="Y4" s="118"/>
      <c r="Z4" s="118"/>
      <c r="AA4" s="118"/>
      <c r="AB4" s="120"/>
      <c r="AC4" s="221" t="str">
        <f>IF(K4="","",K4)</f>
        <v>FB2</v>
      </c>
      <c r="AD4" s="222"/>
      <c r="AE4" s="222"/>
      <c r="AF4" s="223"/>
      <c r="AG4" s="119">
        <f ca="1">O4</f>
        <v>42306</v>
      </c>
      <c r="AH4" s="118"/>
      <c r="AI4" s="118"/>
      <c r="AJ4" s="118"/>
      <c r="AK4" s="120"/>
      <c r="AL4" s="221" t="str">
        <f>IF(T4="","",T4)</f>
        <v>FB2</v>
      </c>
      <c r="AM4" s="222"/>
      <c r="AN4" s="222"/>
      <c r="AO4" s="223"/>
      <c r="AP4" s="119">
        <f ca="1">X4</f>
        <v>42306</v>
      </c>
      <c r="AQ4" s="118"/>
      <c r="AR4" s="118"/>
      <c r="AS4" s="118"/>
      <c r="AT4" s="120"/>
      <c r="AU4" s="221" t="str">
        <f>IF(AC4="","",AC4)</f>
        <v>FB2</v>
      </c>
      <c r="AV4" s="222"/>
      <c r="AW4" s="222"/>
      <c r="AX4" s="223"/>
      <c r="AY4" s="119">
        <f ca="1">AG4</f>
        <v>42306</v>
      </c>
      <c r="AZ4" s="118"/>
      <c r="BA4" s="118"/>
      <c r="BB4" s="118"/>
    </row>
    <row r="5" spans="1:99" s="27" customFormat="1" ht="14.25" customHeight="1">
      <c r="A5" s="117"/>
      <c r="B5" s="117"/>
      <c r="C5" s="117"/>
      <c r="D5" s="117"/>
      <c r="E5" s="117"/>
      <c r="F5" s="117"/>
      <c r="G5" s="117"/>
      <c r="H5" s="117"/>
      <c r="I5" s="117"/>
      <c r="J5" s="3"/>
      <c r="K5" s="3"/>
      <c r="L5" s="3"/>
      <c r="M5" s="3"/>
      <c r="N5" s="3"/>
      <c r="O5" s="117"/>
      <c r="P5" s="117"/>
      <c r="Q5" s="117"/>
      <c r="R5" s="116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</row>
    <row r="6" spans="1:99" s="27" customFormat="1" ht="15" customHeight="1">
      <c r="B6" s="113"/>
      <c r="C6" s="113"/>
      <c r="D6" s="113"/>
      <c r="E6" s="115" t="s">
        <v>171</v>
      </c>
      <c r="F6" s="114" t="s">
        <v>159</v>
      </c>
      <c r="G6" s="113"/>
      <c r="H6" s="113"/>
      <c r="I6" s="113"/>
      <c r="J6" s="111" t="s">
        <v>97</v>
      </c>
      <c r="K6" s="110" t="s">
        <v>96</v>
      </c>
      <c r="L6" s="22"/>
      <c r="M6" s="26"/>
      <c r="N6" s="19"/>
      <c r="O6" s="19"/>
      <c r="P6" s="22"/>
      <c r="Q6" s="26"/>
      <c r="R6" s="22"/>
      <c r="S6" s="111" t="s">
        <v>95</v>
      </c>
      <c r="T6" s="112" t="s">
        <v>94</v>
      </c>
      <c r="U6" s="3"/>
      <c r="V6" s="3"/>
      <c r="W6" s="3"/>
      <c r="X6" s="3"/>
      <c r="Y6" s="3"/>
      <c r="Z6" s="3"/>
      <c r="AA6" s="3"/>
      <c r="AB6" s="111" t="s">
        <v>93</v>
      </c>
      <c r="AC6" s="112" t="s">
        <v>92</v>
      </c>
      <c r="AD6" s="3"/>
      <c r="AE6" s="3"/>
      <c r="AF6" s="3"/>
      <c r="AG6" s="3"/>
      <c r="AH6" s="3"/>
      <c r="AI6" s="3"/>
      <c r="AJ6" s="3"/>
      <c r="AK6" s="180"/>
      <c r="AL6" s="187" t="s">
        <v>156</v>
      </c>
      <c r="AM6" s="180"/>
      <c r="AN6" s="180"/>
      <c r="AO6" s="180"/>
      <c r="AP6" s="180"/>
      <c r="AQ6" s="180"/>
      <c r="AR6" s="180"/>
      <c r="AS6" s="180"/>
      <c r="AT6" s="111"/>
      <c r="AU6" s="187" t="s">
        <v>156</v>
      </c>
      <c r="BB6" s="180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</row>
    <row r="7" spans="1:99" s="27" customFormat="1" ht="14.25" customHeight="1">
      <c r="A7" s="109"/>
      <c r="B7" s="109"/>
      <c r="C7" s="109"/>
      <c r="D7" s="109"/>
      <c r="E7" s="109"/>
      <c r="F7" s="109"/>
      <c r="G7" s="109"/>
      <c r="H7" s="109"/>
      <c r="I7" s="109"/>
      <c r="J7" s="3"/>
      <c r="K7" s="24"/>
      <c r="L7" s="10"/>
      <c r="M7" s="24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BB7" s="180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</row>
    <row r="8" spans="1:99" s="27" customFormat="1" ht="14.25" customHeight="1">
      <c r="A8" s="111" t="s">
        <v>91</v>
      </c>
      <c r="B8" s="110" t="s">
        <v>90</v>
      </c>
      <c r="C8" s="19"/>
      <c r="D8" s="19"/>
      <c r="E8" s="19"/>
      <c r="F8" s="19"/>
      <c r="G8" s="19"/>
      <c r="H8" s="19"/>
      <c r="I8" s="19"/>
      <c r="J8" s="93" t="s">
        <v>89</v>
      </c>
      <c r="K8" s="246" t="s">
        <v>88</v>
      </c>
      <c r="L8" s="8"/>
      <c r="M8" s="24"/>
      <c r="N8" s="24"/>
      <c r="O8" s="3"/>
      <c r="P8" s="201" t="s">
        <v>142</v>
      </c>
      <c r="Q8" s="183"/>
      <c r="R8" s="183"/>
      <c r="S8" s="3"/>
      <c r="T8" s="3" t="s">
        <v>87</v>
      </c>
      <c r="U8" s="109"/>
      <c r="V8" s="109"/>
      <c r="W8" s="3"/>
      <c r="X8" s="3"/>
      <c r="Y8" s="3"/>
      <c r="Z8" s="3"/>
      <c r="AA8" s="3"/>
      <c r="AB8" s="3"/>
      <c r="AC8" s="3" t="s">
        <v>87</v>
      </c>
      <c r="AD8" s="109"/>
      <c r="AE8" s="109"/>
      <c r="AF8" s="3"/>
      <c r="AG8" s="3"/>
      <c r="AH8" s="3"/>
      <c r="AI8" s="3"/>
      <c r="AJ8" s="3"/>
      <c r="AK8" s="180"/>
      <c r="AL8" s="129" t="s">
        <v>120</v>
      </c>
      <c r="AS8" s="180"/>
      <c r="AT8" s="180"/>
      <c r="BB8" s="180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</row>
    <row r="9" spans="1:99" s="36" customFormat="1" ht="14.25" customHeight="1">
      <c r="A9" s="41"/>
      <c r="B9" s="41"/>
      <c r="C9" s="41"/>
      <c r="D9" s="98"/>
      <c r="E9" s="98"/>
      <c r="F9" s="98"/>
      <c r="G9" s="99"/>
      <c r="H9" s="98"/>
      <c r="I9" s="98"/>
      <c r="K9" s="92"/>
      <c r="L9" s="108"/>
      <c r="M9" s="41"/>
      <c r="N9" s="41"/>
      <c r="U9" s="59"/>
      <c r="V9" s="59"/>
      <c r="AD9" s="59"/>
      <c r="AE9" s="59"/>
      <c r="AK9" s="181"/>
      <c r="AL9" s="27"/>
      <c r="AM9" s="27"/>
      <c r="AN9" s="27"/>
      <c r="AO9" s="27"/>
      <c r="AP9" s="27"/>
      <c r="AQ9" s="27"/>
      <c r="AR9" s="27"/>
      <c r="AS9" s="181"/>
      <c r="AT9" s="181"/>
      <c r="AU9" s="181"/>
      <c r="AV9" s="181"/>
      <c r="AW9" s="181"/>
      <c r="AX9" s="181"/>
      <c r="AY9" s="181"/>
      <c r="AZ9" s="181"/>
      <c r="BA9" s="181"/>
      <c r="BB9" s="181"/>
    </row>
    <row r="10" spans="1:99" s="36" customFormat="1" ht="18.75" customHeight="1">
      <c r="A10" s="47"/>
      <c r="B10" s="47" t="s">
        <v>86</v>
      </c>
      <c r="C10" s="46">
        <f>HLOOKUP($F$6,[1]Members!$B$7:$S$37,8,FALSE)</f>
        <v>21</v>
      </c>
      <c r="D10" s="41" t="s">
        <v>84</v>
      </c>
      <c r="E10" s="41"/>
      <c r="F10" s="107" t="s">
        <v>85</v>
      </c>
      <c r="G10" s="46">
        <f>HLOOKUP($F$6,[1]Members!$B$7:$S$37,9,FALSE)</f>
        <v>21.667000000000002</v>
      </c>
      <c r="H10" s="45" t="s">
        <v>84</v>
      </c>
      <c r="I10" s="41"/>
      <c r="K10" s="106" t="s">
        <v>136</v>
      </c>
      <c r="L10" s="105">
        <f>2*27.74</f>
        <v>55.48</v>
      </c>
      <c r="M10" s="41" t="s">
        <v>72</v>
      </c>
      <c r="N10" s="106"/>
      <c r="O10" s="105"/>
      <c r="P10" s="177" t="s">
        <v>161</v>
      </c>
      <c r="T10" s="227" t="s">
        <v>41</v>
      </c>
      <c r="U10" s="104" t="s">
        <v>83</v>
      </c>
      <c r="V10" s="59"/>
      <c r="AC10" s="227" t="s">
        <v>41</v>
      </c>
      <c r="AD10" s="104" t="s">
        <v>83</v>
      </c>
      <c r="AE10" s="59"/>
      <c r="AK10" s="181"/>
      <c r="AL10" s="182"/>
      <c r="AM10" s="182"/>
      <c r="AN10" s="182"/>
      <c r="AO10" s="181"/>
      <c r="AP10" s="181"/>
      <c r="AQ10" s="242" t="s">
        <v>113</v>
      </c>
      <c r="AR10" s="242" t="s">
        <v>111</v>
      </c>
      <c r="AS10" s="181"/>
      <c r="AT10" s="181"/>
      <c r="AU10" s="130" t="s">
        <v>125</v>
      </c>
      <c r="AV10" s="181"/>
      <c r="AW10" s="181"/>
      <c r="AX10" s="181"/>
      <c r="AY10" s="181"/>
      <c r="AZ10" s="181"/>
      <c r="BA10" s="181"/>
      <c r="BB10" s="181"/>
    </row>
    <row r="11" spans="1:99" s="36" customFormat="1" ht="21" customHeight="1">
      <c r="B11" s="47" t="s">
        <v>82</v>
      </c>
      <c r="C11" s="103" t="str">
        <f>HLOOKUP($F$6,[1]Members!$B$7:$S$37,7,FALSE)</f>
        <v>Built-up</v>
      </c>
      <c r="D11" s="41"/>
      <c r="E11" s="41"/>
      <c r="F11" s="100" t="s">
        <v>109</v>
      </c>
      <c r="G11" s="99">
        <f>HLOOKUP($F$6,[1]Members!$B$7:$S$37,13,FALSE)</f>
        <v>10</v>
      </c>
      <c r="H11" s="45" t="s">
        <v>22</v>
      </c>
      <c r="I11" s="41"/>
      <c r="K11" s="106" t="s">
        <v>136</v>
      </c>
      <c r="L11" s="105">
        <f>2*21.52</f>
        <v>43.04</v>
      </c>
      <c r="M11" s="41"/>
      <c r="N11" s="106"/>
      <c r="O11" s="105"/>
      <c r="P11" s="177" t="s">
        <v>162</v>
      </c>
      <c r="T11" s="227"/>
      <c r="U11" s="91" t="s">
        <v>81</v>
      </c>
      <c r="V11" s="59"/>
      <c r="AC11" s="227"/>
      <c r="AD11" s="91" t="s">
        <v>81</v>
      </c>
      <c r="AE11" s="59"/>
      <c r="AK11" s="181"/>
      <c r="AL11" s="175" t="s">
        <v>110</v>
      </c>
      <c r="AM11" s="140" t="s">
        <v>164</v>
      </c>
      <c r="AN11" s="140" t="s">
        <v>165</v>
      </c>
      <c r="AO11" s="164" t="s">
        <v>118</v>
      </c>
      <c r="AP11" s="165" t="s">
        <v>119</v>
      </c>
      <c r="AQ11" s="243" t="s">
        <v>112</v>
      </c>
      <c r="AR11" s="244" t="s">
        <v>112</v>
      </c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</row>
    <row r="12" spans="1:99" s="36" customFormat="1" ht="14.25" customHeight="1">
      <c r="A12" s="41"/>
      <c r="B12" s="53" t="s">
        <v>80</v>
      </c>
      <c r="C12" s="99">
        <f>HLOOKUP($F$6,[1]Members!$B$7:$S$37,17,FALSE)</f>
        <v>10185.1171875</v>
      </c>
      <c r="D12" s="60" t="s">
        <v>11</v>
      </c>
      <c r="F12" s="100" t="s">
        <v>79</v>
      </c>
      <c r="G12" s="99">
        <f>HLOOKUP($F$6,[1]Members!$B$7:$S$37,14,FALSE)</f>
        <v>1.125</v>
      </c>
      <c r="H12" s="45" t="s">
        <v>22</v>
      </c>
      <c r="I12" s="47"/>
      <c r="K12" s="53"/>
      <c r="L12" s="90"/>
      <c r="M12" s="41"/>
      <c r="N12" s="53"/>
      <c r="O12" s="97"/>
      <c r="P12" s="181"/>
      <c r="Q12" s="41"/>
      <c r="AK12" s="181"/>
      <c r="AL12" s="251" t="s">
        <v>114</v>
      </c>
      <c r="AM12" s="156">
        <v>34.33</v>
      </c>
      <c r="AN12" s="174">
        <v>180.25</v>
      </c>
      <c r="AO12" s="156">
        <f>AM12*$AD$46</f>
        <v>28.631219999999999</v>
      </c>
      <c r="AP12" s="157">
        <f>AN12*$AD$46</f>
        <v>150.32849999999999</v>
      </c>
      <c r="AQ12" s="156">
        <f>AO12/$G$15</f>
        <v>1.2724986666666667</v>
      </c>
      <c r="AR12" s="157">
        <f>AP12*12/$C$36</f>
        <v>2.2922765240154415</v>
      </c>
      <c r="AS12" s="181"/>
      <c r="AT12" s="181"/>
      <c r="AU12" s="181"/>
      <c r="AV12" s="138" t="s">
        <v>126</v>
      </c>
      <c r="AW12" s="235" t="s">
        <v>121</v>
      </c>
      <c r="AX12" s="236"/>
      <c r="AY12" s="235" t="s">
        <v>122</v>
      </c>
      <c r="AZ12" s="236"/>
      <c r="BA12" s="166" t="s">
        <v>133</v>
      </c>
      <c r="BB12" s="181"/>
    </row>
    <row r="13" spans="1:99" s="36" customFormat="1" ht="14.25" customHeight="1" outlineLevel="1">
      <c r="A13" s="41"/>
      <c r="B13" s="53" t="s">
        <v>78</v>
      </c>
      <c r="C13" s="46">
        <f>HLOOKUP($F$6,[1]Members!$B$7:$S$37,18,FALSE)</f>
        <v>532.55514705882354</v>
      </c>
      <c r="D13" s="60" t="s">
        <v>5</v>
      </c>
      <c r="E13" s="41"/>
      <c r="F13" s="101" t="s">
        <v>77</v>
      </c>
      <c r="G13" s="99">
        <f>HLOOKUP($F$6,[1]Members!$B$7:$S$37,15,FALSE)</f>
        <v>0.625</v>
      </c>
      <c r="H13" s="56" t="s">
        <v>22</v>
      </c>
      <c r="I13" s="53"/>
      <c r="N13" s="1"/>
      <c r="O13" s="196"/>
      <c r="P13" s="181"/>
      <c r="T13" s="36" t="s">
        <v>76</v>
      </c>
      <c r="V13" s="59"/>
      <c r="W13" s="59">
        <v>1</v>
      </c>
      <c r="X13" s="59"/>
      <c r="AC13" t="s">
        <v>75</v>
      </c>
      <c r="AE13" s="59"/>
      <c r="AG13" s="59">
        <v>1.3</v>
      </c>
      <c r="AK13" s="181"/>
      <c r="AL13" s="252" t="s">
        <v>116</v>
      </c>
      <c r="AM13" s="158">
        <v>42.68</v>
      </c>
      <c r="AN13" s="159">
        <v>224.07</v>
      </c>
      <c r="AO13" s="158">
        <f>AM13*$AE$46</f>
        <v>26.440260000000002</v>
      </c>
      <c r="AP13" s="160">
        <f>AN13*$AE$46</f>
        <v>138.811365</v>
      </c>
      <c r="AQ13" s="158">
        <f>AO13/$G$15</f>
        <v>1.1751226666666668</v>
      </c>
      <c r="AR13" s="160">
        <f t="shared" ref="AR13:AR15" si="0">AP13*12/$C$36</f>
        <v>2.1166580738585079</v>
      </c>
      <c r="AS13" s="181"/>
      <c r="AT13" s="181"/>
      <c r="AU13" s="175" t="s">
        <v>110</v>
      </c>
      <c r="AV13" s="138" t="s">
        <v>127</v>
      </c>
      <c r="AW13" s="175" t="s">
        <v>113</v>
      </c>
      <c r="AX13" s="176" t="s">
        <v>123</v>
      </c>
      <c r="AY13" s="140" t="s">
        <v>113</v>
      </c>
      <c r="AZ13" s="176" t="s">
        <v>123</v>
      </c>
      <c r="BA13" s="136" t="s">
        <v>134</v>
      </c>
      <c r="BB13" s="181"/>
    </row>
    <row r="14" spans="1:99" s="36" customFormat="1" ht="14.25" customHeight="1" outlineLevel="1">
      <c r="A14" s="41"/>
      <c r="B14" s="47" t="s">
        <v>74</v>
      </c>
      <c r="C14" s="99">
        <f>HLOOKUP($F$6,[1]Members!$B$7:$S$37,11,FALSE)</f>
        <v>45</v>
      </c>
      <c r="D14" s="60" t="s">
        <v>69</v>
      </c>
      <c r="E14" s="41"/>
      <c r="F14" s="100" t="s">
        <v>73</v>
      </c>
      <c r="G14" s="99">
        <f>HLOOKUP($F$6,[1]Members!$B$7:$S$37,16,FALSE)</f>
        <v>36</v>
      </c>
      <c r="H14" s="45" t="s">
        <v>22</v>
      </c>
      <c r="I14" s="47"/>
      <c r="K14" s="1" t="s">
        <v>68</v>
      </c>
      <c r="L14" s="97">
        <f>2*199.24+188.75</f>
        <v>587.23</v>
      </c>
      <c r="M14" s="60" t="s">
        <v>25</v>
      </c>
      <c r="N14" s="1"/>
      <c r="O14" s="97"/>
      <c r="P14" s="177" t="s">
        <v>166</v>
      </c>
      <c r="T14"/>
      <c r="X14" s="59"/>
      <c r="AC14" t="s">
        <v>135</v>
      </c>
      <c r="AG14" s="59">
        <v>2.17</v>
      </c>
      <c r="AK14" s="181"/>
      <c r="AL14" s="253" t="s">
        <v>115</v>
      </c>
      <c r="AM14" s="158">
        <v>32.35</v>
      </c>
      <c r="AN14" s="159">
        <v>169.83</v>
      </c>
      <c r="AO14" s="158">
        <f>AM14*$AF$46</f>
        <v>21.577450000000002</v>
      </c>
      <c r="AP14" s="160">
        <f>AN14*$AF$46</f>
        <v>113.27661000000002</v>
      </c>
      <c r="AQ14" s="158">
        <f t="shared" ref="AQ14:AQ15" si="1">AO14/$G$15</f>
        <v>0.95899777777777784</v>
      </c>
      <c r="AR14" s="160">
        <f t="shared" si="0"/>
        <v>1.7272926545735032</v>
      </c>
      <c r="AS14" s="181"/>
      <c r="AT14" s="181"/>
      <c r="AU14" s="255" t="s">
        <v>114</v>
      </c>
      <c r="AV14" s="131">
        <v>20</v>
      </c>
      <c r="AW14" s="146">
        <f>$AV$14*AN22</f>
        <v>259.33229530561397</v>
      </c>
      <c r="AX14" s="152">
        <f>$AV$14*AO22</f>
        <v>239.93614829529838</v>
      </c>
      <c r="AY14" s="146">
        <f>$AV$14*AP22</f>
        <v>353.63494814401906</v>
      </c>
      <c r="AZ14" s="147">
        <f>$AV$14*AQ22</f>
        <v>327.1856567663159</v>
      </c>
      <c r="BA14" s="167">
        <f>MIN(AY14:AZ14)</f>
        <v>327.1856567663159</v>
      </c>
      <c r="BB14" s="181"/>
    </row>
    <row r="15" spans="1:99" s="36" customFormat="1" ht="14.25" customHeight="1">
      <c r="A15" s="41"/>
      <c r="B15" s="47" t="s">
        <v>71</v>
      </c>
      <c r="C15" s="99">
        <f>HLOOKUP($F$6,[1]Members!$B$7:$S$37,12,FALSE)</f>
        <v>38.25</v>
      </c>
      <c r="D15" s="60" t="s">
        <v>22</v>
      </c>
      <c r="E15" s="41"/>
      <c r="F15" s="100" t="s">
        <v>70</v>
      </c>
      <c r="G15" s="46">
        <f>G14*G13</f>
        <v>22.5</v>
      </c>
      <c r="H15" s="45" t="s">
        <v>69</v>
      </c>
      <c r="I15" s="47"/>
      <c r="K15" s="1" t="s">
        <v>67</v>
      </c>
      <c r="L15" s="97">
        <f>74.69+33.76</f>
        <v>108.44999999999999</v>
      </c>
      <c r="M15" s="60" t="s">
        <v>16</v>
      </c>
      <c r="T15"/>
      <c r="AK15" s="181"/>
      <c r="AL15" s="155" t="s">
        <v>117</v>
      </c>
      <c r="AM15" s="161">
        <v>30.76</v>
      </c>
      <c r="AN15" s="172">
        <v>161.5</v>
      </c>
      <c r="AO15" s="161">
        <f>AM15*$AG$46</f>
        <v>13.657440000000001</v>
      </c>
      <c r="AP15" s="162">
        <f>AN15*$AG$46</f>
        <v>71.706000000000003</v>
      </c>
      <c r="AQ15" s="161">
        <f t="shared" si="1"/>
        <v>0.60699733333333339</v>
      </c>
      <c r="AR15" s="162">
        <f t="shared" si="0"/>
        <v>1.0934053119072649</v>
      </c>
      <c r="AS15" s="181"/>
      <c r="AT15" s="181"/>
      <c r="AU15" s="256" t="s">
        <v>116</v>
      </c>
      <c r="AV15" s="131">
        <v>36</v>
      </c>
      <c r="AW15" s="146">
        <f>$AV$15*AN23</f>
        <v>505.47914430493495</v>
      </c>
      <c r="AX15" s="152">
        <f>$AV$15*AO23</f>
        <v>467.71843418020978</v>
      </c>
      <c r="AY15" s="146">
        <f>$AV$15*AP23</f>
        <v>689.28974223400223</v>
      </c>
      <c r="AZ15" s="147">
        <f>$AV$15*AQ23</f>
        <v>637.79786479119502</v>
      </c>
      <c r="BA15" s="168">
        <f t="shared" ref="BA15:BA17" si="2">MIN(AY15:AZ15)</f>
        <v>637.79786479119502</v>
      </c>
      <c r="BB15" s="181"/>
    </row>
    <row r="16" spans="1:99" s="36" customFormat="1" ht="14.25" customHeight="1">
      <c r="A16" s="41"/>
      <c r="B16" s="53"/>
      <c r="C16" s="99"/>
      <c r="D16" s="60"/>
      <c r="F16" s="100"/>
      <c r="G16" s="99"/>
      <c r="H16" s="45"/>
      <c r="I16" s="47"/>
      <c r="S16" s="88" t="s">
        <v>63</v>
      </c>
      <c r="T16" s="87" t="s">
        <v>143</v>
      </c>
      <c r="U16" s="59"/>
      <c r="V16" s="181"/>
      <c r="W16" s="181"/>
      <c r="X16" s="181"/>
      <c r="AB16" s="88" t="s">
        <v>61</v>
      </c>
      <c r="AC16" s="87" t="s">
        <v>151</v>
      </c>
      <c r="AD16" s="59"/>
      <c r="AE16" s="181"/>
      <c r="AF16" s="181"/>
      <c r="AG16" s="181"/>
      <c r="AK16" s="181"/>
      <c r="AL16" s="195" t="s">
        <v>163</v>
      </c>
      <c r="AM16" s="181"/>
      <c r="AN16" s="181"/>
      <c r="AO16" s="181"/>
      <c r="AP16" s="181"/>
      <c r="AQ16" s="181"/>
      <c r="AR16" s="181"/>
      <c r="AS16" s="181"/>
      <c r="AT16" s="181"/>
      <c r="AU16" s="255" t="s">
        <v>115</v>
      </c>
      <c r="AV16" s="131">
        <v>25</v>
      </c>
      <c r="AW16" s="146">
        <f>$AV$16*AN24</f>
        <v>430.136554597508</v>
      </c>
      <c r="AX16" s="152">
        <f>$AV$16*AO24</f>
        <v>398.02172386922763</v>
      </c>
      <c r="AY16" s="146">
        <f>$AV$16*AP24</f>
        <v>586.54984717842012</v>
      </c>
      <c r="AZ16" s="147">
        <f>$AV$16*AQ24</f>
        <v>542.75689618531032</v>
      </c>
      <c r="BA16" s="168">
        <f t="shared" si="2"/>
        <v>542.75689618531032</v>
      </c>
      <c r="BB16" s="181"/>
    </row>
    <row r="17" spans="1:54" s="36" customFormat="1" ht="14.25" customHeight="1">
      <c r="A17" s="41"/>
      <c r="B17" s="53" t="s">
        <v>66</v>
      </c>
      <c r="C17" s="99">
        <f>HLOOKUP($F$6,[1]Members!$B$7:$S$37,2,FALSE)</f>
        <v>50</v>
      </c>
      <c r="D17" s="60" t="s">
        <v>53</v>
      </c>
      <c r="F17" s="101"/>
      <c r="G17" s="49"/>
      <c r="H17" s="56"/>
      <c r="I17" s="53"/>
      <c r="S17" s="181"/>
      <c r="T17" s="181"/>
      <c r="U17" s="181"/>
      <c r="V17" s="181"/>
      <c r="W17" s="181"/>
      <c r="X17" s="181"/>
      <c r="AB17" s="181"/>
      <c r="AC17" s="181"/>
      <c r="AD17" s="181"/>
      <c r="AE17" s="181"/>
      <c r="AF17" s="181"/>
      <c r="AG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257" t="s">
        <v>117</v>
      </c>
      <c r="AV17" s="132">
        <v>36</v>
      </c>
      <c r="AW17" s="148">
        <f>$AV$17*AN25</f>
        <v>978.587495167469</v>
      </c>
      <c r="AX17" s="153">
        <f>$AV$17*AO25</f>
        <v>905.42819686243217</v>
      </c>
      <c r="AY17" s="148">
        <f>$AV$17*AP25</f>
        <v>1334.437493410185</v>
      </c>
      <c r="AZ17" s="149">
        <f>$AV$17*AQ25</f>
        <v>1234.6748139033164</v>
      </c>
      <c r="BA17" s="169">
        <f t="shared" si="2"/>
        <v>1234.6748139033164</v>
      </c>
      <c r="BB17" s="181"/>
    </row>
    <row r="18" spans="1:54" s="36" customFormat="1" ht="14.25" customHeight="1">
      <c r="A18" s="98"/>
      <c r="B18" s="47" t="s">
        <v>65</v>
      </c>
      <c r="C18" s="99">
        <f>0.55*C17</f>
        <v>27.500000000000004</v>
      </c>
      <c r="D18" s="60" t="s">
        <v>53</v>
      </c>
      <c r="E18" s="41"/>
      <c r="F18" s="101" t="s">
        <v>64</v>
      </c>
      <c r="G18" s="49">
        <v>16.5</v>
      </c>
      <c r="H18" s="56" t="s">
        <v>53</v>
      </c>
      <c r="K18" s="1" t="s">
        <v>14</v>
      </c>
      <c r="L18" s="60" t="s">
        <v>13</v>
      </c>
      <c r="S18" s="181"/>
      <c r="T18" s="170" t="s">
        <v>41</v>
      </c>
      <c r="U18" s="214" t="str">
        <f>TEXT(C18,"0.0")&amp;"-"&amp;TEXT(P19,"0.00")</f>
        <v>27.5-13.23</v>
      </c>
      <c r="V18" s="214"/>
      <c r="W18" s="182" t="s">
        <v>1</v>
      </c>
      <c r="X18" s="173">
        <f>(C18-P19*W13)/(P41*(L26+1))*W13</f>
        <v>2.8930572432950128</v>
      </c>
      <c r="AB18" s="181"/>
      <c r="AC18" s="170" t="s">
        <v>41</v>
      </c>
      <c r="AD18" s="214" t="str">
        <f>TEXT(C19,"0.0")&amp;"- 1.3*"&amp;TEXT(P19,"0.00")</f>
        <v>37.5- 1.3*13.23</v>
      </c>
      <c r="AE18" s="214"/>
      <c r="AF18" s="182" t="s">
        <v>1</v>
      </c>
      <c r="AG18" s="173">
        <f>(C19-AG13*P19)/(AG14*P41*(1+L26))</f>
        <v>1.8966882379413192</v>
      </c>
      <c r="AK18" s="181"/>
      <c r="AL18" s="130" t="s">
        <v>128</v>
      </c>
      <c r="AM18" s="181"/>
      <c r="AN18" s="181"/>
      <c r="AO18" s="181"/>
      <c r="AP18" s="181"/>
      <c r="AQ18" s="181"/>
      <c r="AR18" s="181"/>
      <c r="AS18" s="181"/>
      <c r="AT18" s="88"/>
      <c r="AU18" s="180"/>
      <c r="AV18" s="181"/>
      <c r="AW18" s="181"/>
      <c r="AX18" s="181"/>
      <c r="AY18" s="181"/>
      <c r="AZ18" s="181"/>
      <c r="BA18" s="181"/>
      <c r="BB18" s="181"/>
    </row>
    <row r="19" spans="1:54" s="36" customFormat="1" ht="14.25" customHeight="1">
      <c r="A19" s="98"/>
      <c r="B19" s="47" t="s">
        <v>59</v>
      </c>
      <c r="C19" s="99">
        <f>0.75*C17</f>
        <v>37.5</v>
      </c>
      <c r="D19" s="60" t="s">
        <v>53</v>
      </c>
      <c r="E19" s="41"/>
      <c r="F19" s="100" t="s">
        <v>58</v>
      </c>
      <c r="G19" s="99">
        <v>22.5</v>
      </c>
      <c r="H19" s="45" t="s">
        <v>53</v>
      </c>
      <c r="I19" s="41"/>
      <c r="K19" s="239" t="s">
        <v>57</v>
      </c>
      <c r="L19" s="55" t="s">
        <v>56</v>
      </c>
      <c r="M19" s="232" t="s">
        <v>1</v>
      </c>
      <c r="N19" s="54">
        <f>L14</f>
        <v>587.23</v>
      </c>
      <c r="O19" s="232" t="s">
        <v>1</v>
      </c>
      <c r="P19" s="233">
        <f>N19*12/N20</f>
        <v>13.231981774878326</v>
      </c>
      <c r="S19" s="181"/>
      <c r="T19" s="170"/>
      <c r="U19" s="250" t="str">
        <f>"1*"&amp; TEXT(P41,"0.0")&amp;"*(1+1.33)"</f>
        <v>1*2.1*(1+1.33)</v>
      </c>
      <c r="V19" s="250"/>
      <c r="W19" s="182"/>
      <c r="X19" s="173"/>
      <c r="AB19" s="181"/>
      <c r="AC19" s="170"/>
      <c r="AD19" s="213" t="str">
        <f>"2.17*"&amp; TEXT(P41,"0.0")&amp;"*(1+1.33)"</f>
        <v>2.17*2.1*(1+1.33)</v>
      </c>
      <c r="AE19" s="213"/>
      <c r="AF19" s="182"/>
      <c r="AG19" s="173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</row>
    <row r="20" spans="1:54" s="36" customFormat="1" ht="14.25" customHeight="1">
      <c r="A20" s="98"/>
      <c r="C20" s="49"/>
      <c r="E20" s="58"/>
      <c r="F20" s="41"/>
      <c r="G20" s="41"/>
      <c r="H20" s="41"/>
      <c r="I20" s="41"/>
      <c r="K20" s="227"/>
      <c r="L20" s="51" t="s">
        <v>7</v>
      </c>
      <c r="M20" s="232"/>
      <c r="N20" s="51">
        <f>C13</f>
        <v>532.55514705882354</v>
      </c>
      <c r="O20" s="232"/>
      <c r="P20" s="233"/>
      <c r="S20" s="181"/>
      <c r="T20" s="79"/>
      <c r="U20" s="74"/>
      <c r="V20" s="80"/>
      <c r="W20" s="79"/>
      <c r="X20" s="78"/>
      <c r="AB20" s="181"/>
      <c r="AC20" s="181"/>
      <c r="AD20" s="181"/>
      <c r="AE20" s="181"/>
      <c r="AF20" s="181"/>
      <c r="AG20" s="181"/>
      <c r="AK20" s="181"/>
      <c r="AL20" s="181"/>
      <c r="AM20" s="135" t="s">
        <v>126</v>
      </c>
      <c r="AN20" s="235" t="s">
        <v>121</v>
      </c>
      <c r="AO20" s="236"/>
      <c r="AP20" s="235" t="s">
        <v>122</v>
      </c>
      <c r="AQ20" s="236"/>
      <c r="AR20" s="181"/>
      <c r="AS20" s="181"/>
      <c r="AT20" s="181"/>
      <c r="AU20" s="130" t="s">
        <v>124</v>
      </c>
      <c r="AV20" s="181"/>
      <c r="AW20" s="181"/>
      <c r="AX20" s="181"/>
      <c r="AY20" s="181"/>
      <c r="AZ20" s="181"/>
      <c r="BA20" s="181"/>
      <c r="BB20" s="181"/>
    </row>
    <row r="21" spans="1:54" s="36" customFormat="1" ht="14.25" customHeight="1" outlineLevel="1">
      <c r="A21" s="98"/>
      <c r="B21" s="96" t="s">
        <v>18</v>
      </c>
      <c r="C21" s="97"/>
      <c r="D21" s="41"/>
      <c r="H21" s="41"/>
      <c r="I21" s="41"/>
      <c r="J21" s="53"/>
      <c r="K21" s="40" t="s">
        <v>4</v>
      </c>
      <c r="P21" s="96"/>
      <c r="S21" s="88" t="s">
        <v>47</v>
      </c>
      <c r="T21" s="87" t="s">
        <v>144</v>
      </c>
      <c r="U21" s="59"/>
      <c r="V21" s="181"/>
      <c r="W21" s="181"/>
      <c r="X21" s="181"/>
      <c r="AB21" s="88" t="s">
        <v>45</v>
      </c>
      <c r="AC21" s="87" t="s">
        <v>150</v>
      </c>
      <c r="AD21" s="59"/>
      <c r="AE21" s="181"/>
      <c r="AF21" s="181"/>
      <c r="AG21" s="181"/>
      <c r="AK21" s="181"/>
      <c r="AL21" s="138" t="s">
        <v>110</v>
      </c>
      <c r="AM21" s="136" t="s">
        <v>127</v>
      </c>
      <c r="AN21" s="175" t="s">
        <v>113</v>
      </c>
      <c r="AO21" s="176" t="s">
        <v>123</v>
      </c>
      <c r="AP21" s="140" t="s">
        <v>113</v>
      </c>
      <c r="AQ21" s="176" t="s">
        <v>123</v>
      </c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</row>
    <row r="22" spans="1:54" s="36" customFormat="1" ht="14.25" customHeight="1" outlineLevel="1">
      <c r="B22" s="53" t="s">
        <v>55</v>
      </c>
      <c r="C22" s="49">
        <f>HLOOKUP($B$21,[1]Members!$B$7:$S$37,12,FALSE)</f>
        <v>8</v>
      </c>
      <c r="D22" s="42" t="s">
        <v>22</v>
      </c>
      <c r="E22" s="44"/>
      <c r="F22" s="53" t="s">
        <v>54</v>
      </c>
      <c r="G22" s="49">
        <f>HLOOKUP($B$21,[1]Members!$B$7:$S$37,2,FALSE)</f>
        <v>4</v>
      </c>
      <c r="H22" s="36" t="s">
        <v>53</v>
      </c>
      <c r="I22" s="47"/>
      <c r="K22" s="1" t="s">
        <v>52</v>
      </c>
      <c r="L22" s="38" t="s">
        <v>51</v>
      </c>
      <c r="M22" s="38" t="s">
        <v>1</v>
      </c>
      <c r="N22" s="49" t="str">
        <f>TEXT(L15,"0.00")&amp;"/"&amp;TEXT(G15,"0.00")</f>
        <v>108.45/22.50</v>
      </c>
      <c r="O22" s="38" t="s">
        <v>1</v>
      </c>
      <c r="P22" s="48">
        <f>L15/G15</f>
        <v>4.8199999999999994</v>
      </c>
      <c r="S22" s="181"/>
      <c r="T22" s="181"/>
      <c r="U22" s="181"/>
      <c r="V22" s="181"/>
      <c r="W22" s="181"/>
      <c r="X22" s="181"/>
      <c r="AB22" s="181"/>
      <c r="AC22" s="181"/>
      <c r="AD22" s="181"/>
      <c r="AE22" s="181"/>
      <c r="AF22" s="181"/>
      <c r="AG22" s="181"/>
      <c r="AK22" s="181"/>
      <c r="AL22" s="255" t="s">
        <v>114</v>
      </c>
      <c r="AM22" s="133">
        <v>20</v>
      </c>
      <c r="AN22" s="144">
        <f>($G$18-$W$13*$P$20)/($W$13*(AQ12*(1+$L$24)))</f>
        <v>12.966614765280697</v>
      </c>
      <c r="AO22" s="145">
        <f>($C$18-$W$13*$P$17)/($W$13*(AR12*(1+$L$24)))</f>
        <v>11.99680741476492</v>
      </c>
      <c r="AP22" s="144">
        <f>($G$19-$W$13*$P$20)/($W$13*(AQ12*(1+$L$24)))</f>
        <v>17.681747407200952</v>
      </c>
      <c r="AQ22" s="145">
        <f>($C$19-$W$13*$P$17)/($W$13*(AR12*(1+$L$24)))</f>
        <v>16.359282838315796</v>
      </c>
      <c r="AR22" s="181"/>
      <c r="AS22" s="181"/>
      <c r="AT22" s="181"/>
      <c r="AU22" s="181"/>
      <c r="AV22" s="138" t="s">
        <v>126</v>
      </c>
      <c r="AW22" s="235" t="s">
        <v>121</v>
      </c>
      <c r="AX22" s="236"/>
      <c r="AY22" s="235" t="s">
        <v>122</v>
      </c>
      <c r="AZ22" s="236"/>
      <c r="BA22" s="166" t="s">
        <v>133</v>
      </c>
      <c r="BB22" s="181"/>
    </row>
    <row r="23" spans="1:54" s="36" customFormat="1" ht="14.25" customHeight="1" outlineLevel="1">
      <c r="B23" s="53" t="s">
        <v>50</v>
      </c>
      <c r="C23" s="49">
        <f>HLOOKUP($B$21,[1]Members!$B$7:$S$37,13,FALSE)</f>
        <v>88</v>
      </c>
      <c r="D23" s="41" t="s">
        <v>22</v>
      </c>
      <c r="E23" s="44"/>
      <c r="F23" s="92"/>
      <c r="H23" s="41"/>
      <c r="I23" s="41"/>
      <c r="K23" s="95"/>
      <c r="P23" s="94"/>
      <c r="S23" s="181"/>
      <c r="T23" s="171" t="s">
        <v>41</v>
      </c>
      <c r="U23" s="214" t="str">
        <f>TEXT(G18,"0.0")&amp;"-"&amp;TEXT(P22,"0.00")</f>
        <v>16.5-4.82</v>
      </c>
      <c r="V23" s="214"/>
      <c r="W23" s="182" t="s">
        <v>1</v>
      </c>
      <c r="X23" s="173">
        <f>(G18-W13*P22)/(W13*(P44*(1+L26)))</f>
        <v>4.2658317115949478</v>
      </c>
      <c r="AB23" s="181"/>
      <c r="AC23" s="171" t="s">
        <v>41</v>
      </c>
      <c r="AD23" s="214" t="str">
        <f>TEXT(G19,"0.0")&amp;"- 1.3*"&amp;TEXT(P22,"0.00")</f>
        <v>22.5- 1.3*4.82</v>
      </c>
      <c r="AE23" s="214"/>
      <c r="AF23" s="182" t="s">
        <v>1</v>
      </c>
      <c r="AG23" s="173">
        <f>(G19-AG13*P22)/(AG14*P44*(1+L26))</f>
        <v>2.7322893127814054</v>
      </c>
      <c r="AK23" s="181"/>
      <c r="AL23" s="256" t="s">
        <v>116</v>
      </c>
      <c r="AM23" s="133">
        <v>36</v>
      </c>
      <c r="AN23" s="146">
        <f>($G$18-$P$20)/(AQ13*(1+$L$24))</f>
        <v>14.041087341803749</v>
      </c>
      <c r="AO23" s="147">
        <f>($C$18-$P$17)/(AR13*(1+$L$24))</f>
        <v>12.992178727228049</v>
      </c>
      <c r="AP23" s="146">
        <f>($G$19-$P$20)/(AQ13*(1+$L$24))</f>
        <v>19.14693728427784</v>
      </c>
      <c r="AQ23" s="147">
        <f>($C$19-$P$17)/(AR13*(1+$L$24))</f>
        <v>17.716607355310973</v>
      </c>
      <c r="AR23" s="181"/>
      <c r="AS23" s="181"/>
      <c r="AT23" s="181"/>
      <c r="AU23" s="138" t="s">
        <v>110</v>
      </c>
      <c r="AV23" s="138" t="s">
        <v>127</v>
      </c>
      <c r="AW23" s="175" t="s">
        <v>113</v>
      </c>
      <c r="AX23" s="176" t="s">
        <v>123</v>
      </c>
      <c r="AY23" s="140" t="s">
        <v>113</v>
      </c>
      <c r="AZ23" s="176" t="s">
        <v>123</v>
      </c>
      <c r="BA23" s="136" t="s">
        <v>134</v>
      </c>
      <c r="BB23" s="181"/>
    </row>
    <row r="24" spans="1:54" s="36" customFormat="1" ht="14.25" customHeight="1" outlineLevel="1">
      <c r="E24" s="44"/>
      <c r="F24" s="92"/>
      <c r="G24" s="92"/>
      <c r="I24" s="47"/>
      <c r="J24" s="93" t="s">
        <v>49</v>
      </c>
      <c r="K24" s="246" t="s">
        <v>48</v>
      </c>
      <c r="S24" s="181"/>
      <c r="T24" s="170"/>
      <c r="U24" s="213" t="str">
        <f>"1*"&amp; TEXT(P44,"0.0")&amp;"*(1+1.33)"</f>
        <v>1*1.2*(1+1.33)</v>
      </c>
      <c r="V24" s="213"/>
      <c r="W24" s="182"/>
      <c r="X24" s="173"/>
      <c r="AB24" s="181"/>
      <c r="AC24" s="170"/>
      <c r="AD24" s="213" t="str">
        <f>"2.17*"&amp; TEXT(P44,"0.0")&amp;"*(1+1.33)"</f>
        <v>2.17*1.2*(1+1.33)</v>
      </c>
      <c r="AE24" s="213"/>
      <c r="AF24" s="182"/>
      <c r="AG24" s="173"/>
      <c r="AK24" s="181"/>
      <c r="AL24" s="255" t="s">
        <v>115</v>
      </c>
      <c r="AM24" s="133">
        <v>25</v>
      </c>
      <c r="AN24" s="146">
        <f>($G$18-$P$20)/(AQ14*(1+$L$24))</f>
        <v>17.20546218390032</v>
      </c>
      <c r="AO24" s="147">
        <f>($C$18-$P$17)/(AR14*(1+$L$24))</f>
        <v>15.920868954769105</v>
      </c>
      <c r="AP24" s="146">
        <f>($G$19-$P$20)/(AQ14*(1+$L$24))</f>
        <v>23.461993887136803</v>
      </c>
      <c r="AQ24" s="147">
        <f>($C$19-$P$17)/(AR14*(1+$L$24))</f>
        <v>21.710275847412415</v>
      </c>
      <c r="AR24" s="181"/>
      <c r="AS24" s="181"/>
      <c r="AT24" s="88"/>
      <c r="AU24" s="255" t="s">
        <v>114</v>
      </c>
      <c r="AV24" s="131">
        <v>20</v>
      </c>
      <c r="AW24" s="146">
        <f>$AV$24*AN32</f>
        <v>162.96541389125304</v>
      </c>
      <c r="AX24" s="152">
        <f>$AV$24*AO32</f>
        <v>150.776800353141</v>
      </c>
      <c r="AY24" s="146">
        <f>$AV$24*AP32</f>
        <v>272.02688318770691</v>
      </c>
      <c r="AZ24" s="147">
        <f>$AV$24*AQ32</f>
        <v>251.68127443562764</v>
      </c>
      <c r="BA24" s="167">
        <v>96.005491216872599</v>
      </c>
      <c r="BB24" s="181"/>
    </row>
    <row r="25" spans="1:54" s="36" customFormat="1" ht="14.25" customHeight="1" outlineLevel="1">
      <c r="B25" s="72" t="s">
        <v>43</v>
      </c>
      <c r="C25" s="70"/>
      <c r="D25" s="70"/>
      <c r="F25" s="92"/>
      <c r="G25" s="92"/>
      <c r="K25" s="53"/>
      <c r="S25" s="181"/>
      <c r="T25" s="181"/>
      <c r="U25" s="181"/>
      <c r="V25" s="181"/>
      <c r="W25" s="181"/>
      <c r="X25" s="181"/>
      <c r="AK25" s="181"/>
      <c r="AL25" s="257" t="s">
        <v>117</v>
      </c>
      <c r="AM25" s="134">
        <v>36</v>
      </c>
      <c r="AN25" s="148">
        <f>($G$18-$P$20)/(AQ15*(1+$L$24))</f>
        <v>27.182985976874139</v>
      </c>
      <c r="AO25" s="149">
        <f>($C$18-$P$17)/(AR15*(1+$L$24))</f>
        <v>25.150783246178673</v>
      </c>
      <c r="AP25" s="148">
        <f>($G$19-$P$20)/(AQ15*(1+$L$24))</f>
        <v>37.067708150282918</v>
      </c>
      <c r="AQ25" s="149">
        <f>($C$19-$P$17)/(AR15*(1+$L$24))</f>
        <v>34.296522608425455</v>
      </c>
      <c r="AR25" s="181"/>
      <c r="AS25" s="181"/>
      <c r="AT25" s="181"/>
      <c r="AU25" s="256" t="s">
        <v>116</v>
      </c>
      <c r="AV25" s="131">
        <v>36</v>
      </c>
      <c r="AW25" s="146">
        <f>$AV$25*AN33</f>
        <v>317.64504250414848</v>
      </c>
      <c r="AX25" s="152">
        <f>$AV$25*AO33</f>
        <v>293.91606672405305</v>
      </c>
      <c r="AY25" s="146">
        <f>$AV$25*AP33</f>
        <v>530.22287864154021</v>
      </c>
      <c r="AZ25" s="147">
        <f>$AV$25*AQ33</f>
        <v>490.61374214707314</v>
      </c>
      <c r="BA25" s="168">
        <v>147.93452424337414</v>
      </c>
      <c r="BB25" s="181"/>
    </row>
    <row r="26" spans="1:54" s="36" customFormat="1" ht="14.25" customHeight="1" outlineLevel="1">
      <c r="G26" s="92"/>
      <c r="K26" s="49" t="s">
        <v>42</v>
      </c>
      <c r="L26" s="96">
        <v>1.33</v>
      </c>
      <c r="P26" s="203" t="s">
        <v>108</v>
      </c>
      <c r="S26" s="88" t="s">
        <v>145</v>
      </c>
      <c r="T26" s="87" t="s">
        <v>62</v>
      </c>
      <c r="U26" s="59"/>
      <c r="V26" s="181"/>
      <c r="W26" s="181"/>
      <c r="X26" s="181"/>
      <c r="AB26" s="88" t="s">
        <v>152</v>
      </c>
      <c r="AC26" s="87" t="s">
        <v>60</v>
      </c>
      <c r="AD26" s="59"/>
      <c r="AK26" s="181"/>
      <c r="AL26" s="180"/>
      <c r="AM26" s="181"/>
      <c r="AN26" s="181"/>
      <c r="AO26" s="181"/>
      <c r="AP26" s="181"/>
      <c r="AQ26" s="181"/>
      <c r="AR26" s="181"/>
      <c r="AS26" s="181"/>
      <c r="AT26" s="181"/>
      <c r="AU26" s="255" t="s">
        <v>115</v>
      </c>
      <c r="AV26" s="131">
        <v>25</v>
      </c>
      <c r="AW26" s="146">
        <f>$AV$26*AN34</f>
        <v>270.29946874581572</v>
      </c>
      <c r="AX26" s="152">
        <f>$AV$26*AO34</f>
        <v>250.1183853388527</v>
      </c>
      <c r="AY26" s="146">
        <f>$AV$26*AP34</f>
        <v>451.1921901372462</v>
      </c>
      <c r="AZ26" s="147">
        <f>$AV$26*AQ34</f>
        <v>417.50530475793101</v>
      </c>
      <c r="BA26" s="168">
        <v>164.25025164319953</v>
      </c>
      <c r="BB26" s="181"/>
    </row>
    <row r="27" spans="1:54" s="36" customFormat="1" ht="14.25" customHeight="1" outlineLevel="1">
      <c r="B27" s="72" t="s">
        <v>40</v>
      </c>
      <c r="C27" s="71"/>
      <c r="D27" s="70"/>
      <c r="K27" s="53"/>
      <c r="S27" s="181"/>
      <c r="T27" s="181"/>
      <c r="U27" s="181"/>
      <c r="V27" s="181"/>
      <c r="W27" s="181"/>
      <c r="X27" s="181"/>
      <c r="AB27" s="181"/>
      <c r="AC27" s="181"/>
      <c r="AD27" s="181"/>
      <c r="AE27" s="181"/>
      <c r="AF27" s="181"/>
      <c r="AG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257" t="s">
        <v>117</v>
      </c>
      <c r="AV27" s="132">
        <v>36</v>
      </c>
      <c r="AW27" s="148">
        <f>$AV$27*AN35</f>
        <v>614.94815364524663</v>
      </c>
      <c r="AX27" s="153">
        <f>$AV$27*AO35</f>
        <v>568.97456861903981</v>
      </c>
      <c r="AY27" s="148">
        <f>$AV$27*AP35</f>
        <v>1026.4903795462963</v>
      </c>
      <c r="AZ27" s="149">
        <f>$AV$27*AQ35</f>
        <v>949.74985684870501</v>
      </c>
      <c r="BA27" s="169">
        <v>190.58211666180193</v>
      </c>
      <c r="BB27" s="181"/>
    </row>
    <row r="28" spans="1:54" s="36" customFormat="1" ht="14.25" customHeight="1" outlineLevel="1">
      <c r="A28" s="69"/>
      <c r="E28" s="53" t="s">
        <v>39</v>
      </c>
      <c r="F28" s="46">
        <v>6</v>
      </c>
      <c r="K28" s="89" t="s">
        <v>38</v>
      </c>
      <c r="L28" s="70"/>
      <c r="S28" s="181"/>
      <c r="T28" s="170" t="s">
        <v>41</v>
      </c>
      <c r="U28" s="214" t="str">
        <f>TEXT(C19,"0.0")&amp;"-"&amp;TEXT(P19,"0.00")</f>
        <v>37.5-13.23</v>
      </c>
      <c r="V28" s="214"/>
      <c r="W28" s="182" t="s">
        <v>1</v>
      </c>
      <c r="X28" s="173">
        <f>(C19-P19*W13)/(P41*(L26+1))*W13</f>
        <v>4.9207090150044221</v>
      </c>
      <c r="AB28" s="181"/>
      <c r="AC28" s="170" t="s">
        <v>41</v>
      </c>
      <c r="AD28" s="214" t="str">
        <f>TEXT(C19,"0.0")&amp;"- 1.3*"&amp;TEXT(P19,"0.00")</f>
        <v>37.5- 1.3*13.23</v>
      </c>
      <c r="AE28" s="214"/>
      <c r="AF28" s="182" t="s">
        <v>1</v>
      </c>
      <c r="AG28" s="173">
        <f>(C19-AG13*P19)/(AG13*P41*(1+L26))</f>
        <v>3.1660103664097403</v>
      </c>
      <c r="AK28" s="181"/>
      <c r="AL28" s="130" t="s">
        <v>129</v>
      </c>
      <c r="AM28" s="181"/>
      <c r="AN28" s="181"/>
      <c r="AO28" s="181"/>
      <c r="AP28" s="181"/>
      <c r="AQ28" s="181"/>
      <c r="AR28" s="181"/>
      <c r="AS28" s="181"/>
      <c r="AT28" s="181"/>
      <c r="AU28" s="180"/>
      <c r="AV28" s="181"/>
      <c r="AW28" s="181"/>
      <c r="AX28" s="181"/>
      <c r="AY28" s="181"/>
      <c r="AZ28" s="181"/>
      <c r="BA28" s="181"/>
      <c r="BB28" s="181"/>
    </row>
    <row r="29" spans="1:54" s="36" customFormat="1" ht="18" customHeight="1" outlineLevel="1">
      <c r="B29" s="228"/>
      <c r="C29" s="191" t="s">
        <v>30</v>
      </c>
      <c r="D29" s="191" t="s">
        <v>29</v>
      </c>
      <c r="E29" s="191" t="s">
        <v>28</v>
      </c>
      <c r="F29" s="191" t="s">
        <v>27</v>
      </c>
      <c r="G29" s="191" t="s">
        <v>157</v>
      </c>
      <c r="H29" s="191" t="s">
        <v>158</v>
      </c>
      <c r="J29" s="241"/>
      <c r="S29" s="181"/>
      <c r="T29" s="170"/>
      <c r="U29" s="213" t="str">
        <f>"1*"&amp; TEXT(P41,"0.0")&amp;"*(1+1.33)"</f>
        <v>1*2.1*(1+1.33)</v>
      </c>
      <c r="V29" s="213"/>
      <c r="W29" s="182"/>
      <c r="X29" s="173"/>
      <c r="AB29" s="181"/>
      <c r="AC29" s="170"/>
      <c r="AD29" s="213" t="str">
        <f>"1.3*"&amp; TEXT(P41,"0.0")&amp;"*(1+1.33)"</f>
        <v>1.3*2.1*(1+1.33)</v>
      </c>
      <c r="AE29" s="213"/>
      <c r="AF29" s="182"/>
      <c r="AG29" s="173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  <c r="BA29" s="181"/>
      <c r="BB29" s="181"/>
    </row>
    <row r="30" spans="1:54" s="36" customFormat="1" ht="15" customHeight="1" outlineLevel="1">
      <c r="B30" s="229"/>
      <c r="C30" s="190" t="s">
        <v>24</v>
      </c>
      <c r="D30" s="190" t="s">
        <v>22</v>
      </c>
      <c r="E30" s="190" t="s">
        <v>23</v>
      </c>
      <c r="F30" s="190" t="s">
        <v>22</v>
      </c>
      <c r="G30" s="190" t="s">
        <v>21</v>
      </c>
      <c r="H30" s="190" t="s">
        <v>21</v>
      </c>
      <c r="J30" s="185"/>
      <c r="K30" s="179" t="s">
        <v>138</v>
      </c>
      <c r="L30" s="184">
        <f>AE46</f>
        <v>0.61950000000000005</v>
      </c>
      <c r="M30" s="180"/>
      <c r="N30" s="180"/>
      <c r="O30" s="180"/>
      <c r="P30" s="206" t="s">
        <v>140</v>
      </c>
      <c r="S30" s="181"/>
      <c r="T30" s="79"/>
      <c r="U30" s="74"/>
      <c r="V30" s="80"/>
      <c r="W30" s="79"/>
      <c r="X30" s="78"/>
      <c r="AK30" s="181"/>
      <c r="AL30" s="181"/>
      <c r="AM30" s="138" t="s">
        <v>126</v>
      </c>
      <c r="AN30" s="235" t="s">
        <v>121</v>
      </c>
      <c r="AO30" s="236"/>
      <c r="AP30" s="235" t="s">
        <v>122</v>
      </c>
      <c r="AQ30" s="236"/>
      <c r="AR30" s="181"/>
      <c r="AS30" s="181"/>
      <c r="AT30" s="88"/>
      <c r="AU30" s="204" t="s">
        <v>174</v>
      </c>
      <c r="AV30" s="202"/>
      <c r="AW30" s="202"/>
      <c r="AX30" s="202"/>
      <c r="AY30" s="202"/>
      <c r="AZ30" s="181"/>
      <c r="BA30" s="181"/>
      <c r="BB30" s="181"/>
    </row>
    <row r="31" spans="1:54" s="36" customFormat="1" ht="14.25" customHeight="1" outlineLevel="1">
      <c r="B31" s="192" t="s">
        <v>18</v>
      </c>
      <c r="C31" s="84">
        <f>C22*C23/F28</f>
        <v>117.33333333333333</v>
      </c>
      <c r="D31" s="86">
        <f>C15+C22/2</f>
        <v>42.25</v>
      </c>
      <c r="E31" s="82">
        <f>C31*D31</f>
        <v>4957.333333333333</v>
      </c>
      <c r="F31" s="84">
        <f>ABS(D31-$E$34)</f>
        <v>6.410420944558517</v>
      </c>
      <c r="G31" s="83">
        <f>C31*F31^2</f>
        <v>4821.6369445416485</v>
      </c>
      <c r="H31" s="83">
        <f>(1/12)*(C23*C22^3)/F28</f>
        <v>625.77777777777771</v>
      </c>
      <c r="J31" s="185"/>
      <c r="K31" s="180" t="s">
        <v>139</v>
      </c>
      <c r="L31" s="184">
        <f>AE46</f>
        <v>0.61950000000000005</v>
      </c>
      <c r="M31" s="180"/>
      <c r="N31" s="180"/>
      <c r="O31" s="180"/>
      <c r="P31" s="206" t="s">
        <v>141</v>
      </c>
      <c r="S31" s="181"/>
      <c r="T31" s="181"/>
      <c r="U31" s="181"/>
      <c r="V31" s="181"/>
      <c r="W31" s="181"/>
      <c r="X31" s="181"/>
      <c r="AK31" s="181"/>
      <c r="AL31" s="242" t="s">
        <v>110</v>
      </c>
      <c r="AM31" s="138" t="s">
        <v>127</v>
      </c>
      <c r="AN31" s="175" t="s">
        <v>113</v>
      </c>
      <c r="AO31" s="176" t="s">
        <v>123</v>
      </c>
      <c r="AP31" s="150" t="s">
        <v>113</v>
      </c>
      <c r="AQ31" s="151" t="s">
        <v>123</v>
      </c>
      <c r="AR31" s="181"/>
      <c r="AS31" s="181"/>
      <c r="AT31" s="181"/>
      <c r="AU31" s="202"/>
      <c r="AV31" s="202"/>
      <c r="AW31" s="202"/>
      <c r="AX31" s="202"/>
      <c r="AY31" s="202"/>
      <c r="AZ31" s="181"/>
      <c r="BA31" s="181"/>
      <c r="BB31" s="181"/>
    </row>
    <row r="32" spans="1:54" s="36" customFormat="1" ht="14.25" customHeight="1" outlineLevel="1">
      <c r="B32" s="193" t="str">
        <f>C11</f>
        <v>Built-up</v>
      </c>
      <c r="C32" s="85">
        <f>C14</f>
        <v>45</v>
      </c>
      <c r="D32" s="84">
        <f>C15/2</f>
        <v>19.125</v>
      </c>
      <c r="E32" s="82">
        <f>C32*D32</f>
        <v>860.625</v>
      </c>
      <c r="F32" s="84">
        <f>ABS(D32-$E$34)</f>
        <v>16.714579055441483</v>
      </c>
      <c r="G32" s="83">
        <f>C32*F32^2</f>
        <v>12571.971885027138</v>
      </c>
      <c r="H32" s="82">
        <f>C12</f>
        <v>10185.1171875</v>
      </c>
      <c r="J32" s="185"/>
      <c r="P32" s="205"/>
      <c r="S32" s="88" t="s">
        <v>146</v>
      </c>
      <c r="T32" s="87" t="s">
        <v>46</v>
      </c>
      <c r="U32" s="59"/>
      <c r="V32" s="181"/>
      <c r="W32" s="181"/>
      <c r="X32" s="181"/>
      <c r="AB32" s="88" t="s">
        <v>153</v>
      </c>
      <c r="AC32" s="87" t="s">
        <v>44</v>
      </c>
      <c r="AD32" s="59"/>
      <c r="AK32" s="181"/>
      <c r="AL32" s="255" t="s">
        <v>114</v>
      </c>
      <c r="AM32" s="133">
        <v>20</v>
      </c>
      <c r="AN32" s="144">
        <f>($G$19-$AG$13*$P$20)/($AG$14*(AQ12*(1+$L$24)))</f>
        <v>8.1482706945626511</v>
      </c>
      <c r="AO32" s="145">
        <f>($C$19-$AG$13*$P$17)/($AG$14*(AR12*(1+$L$24)))</f>
        <v>7.5388400176570496</v>
      </c>
      <c r="AP32" s="144">
        <f>($G$19-$AG$13*$P$20)/($AG$13*(AQ12*(1+$L$24)))</f>
        <v>13.601344159385347</v>
      </c>
      <c r="AQ32" s="145">
        <f>($C$19-$AG$13*$P$17)/($AG$13*(AR12*(1+$L$24)))</f>
        <v>12.584063721781382</v>
      </c>
      <c r="AR32" s="181"/>
      <c r="AS32" s="181"/>
      <c r="AT32" s="181"/>
      <c r="AU32" s="202"/>
      <c r="AV32" s="237" t="s">
        <v>175</v>
      </c>
      <c r="AW32" s="238"/>
      <c r="AX32" s="237" t="s">
        <v>176</v>
      </c>
      <c r="AY32" s="238"/>
      <c r="AZ32" s="181"/>
      <c r="BA32" s="181"/>
      <c r="BB32" s="181"/>
    </row>
    <row r="33" spans="1:54" s="36" customFormat="1" ht="14.25" customHeight="1">
      <c r="B33" s="53" t="s">
        <v>15</v>
      </c>
      <c r="C33" s="61">
        <f>SUM(C31:C32)</f>
        <v>162.33333333333331</v>
      </c>
      <c r="D33" s="53" t="s">
        <v>15</v>
      </c>
      <c r="E33" s="61">
        <f>SUM(E31:E32)</f>
        <v>5817.958333333333</v>
      </c>
      <c r="F33" s="58"/>
      <c r="G33" s="43"/>
      <c r="H33" s="42"/>
      <c r="K33" s="70" t="s">
        <v>130</v>
      </c>
      <c r="P33" s="205"/>
      <c r="S33" s="181"/>
      <c r="T33" s="181"/>
      <c r="U33" s="181"/>
      <c r="V33" s="181"/>
      <c r="W33" s="181"/>
      <c r="X33" s="181"/>
      <c r="Y33" s="77"/>
      <c r="AK33" s="181"/>
      <c r="AL33" s="256" t="s">
        <v>116</v>
      </c>
      <c r="AM33" s="133">
        <v>36</v>
      </c>
      <c r="AN33" s="146">
        <f>($G$19-$AG$13*$P$20)/($AG$14*(AQ13*(1+$L$24)))</f>
        <v>8.8234734028930131</v>
      </c>
      <c r="AO33" s="147">
        <f>($C$19-$AG$13*$P$17)/($AG$14*(AR13*(1+$L$24)))</f>
        <v>8.1643351867792511</v>
      </c>
      <c r="AP33" s="146">
        <f>($G$19-$AG$13*$P$20)/($AG$13*(AQ13*(1+$L$24)))</f>
        <v>14.728413295598338</v>
      </c>
      <c r="AQ33" s="147">
        <f>($C$19-$AG$13*$P$17)/($AG$13*(AR13*(1+$L$24)))</f>
        <v>13.628159504085366</v>
      </c>
      <c r="AR33" s="181"/>
      <c r="AS33" s="181"/>
      <c r="AT33" s="181"/>
      <c r="AU33" s="262" t="s">
        <v>110</v>
      </c>
      <c r="AV33" s="209" t="s">
        <v>177</v>
      </c>
      <c r="AW33" s="209" t="s">
        <v>178</v>
      </c>
      <c r="AX33" s="209" t="s">
        <v>177</v>
      </c>
      <c r="AY33" s="209" t="s">
        <v>178</v>
      </c>
      <c r="AZ33" s="181"/>
      <c r="BA33" s="181"/>
      <c r="BB33" s="181"/>
    </row>
    <row r="34" spans="1:54" s="36" customFormat="1" ht="14.25" customHeight="1">
      <c r="C34" s="53"/>
      <c r="D34" s="57" t="s">
        <v>12</v>
      </c>
      <c r="E34" s="59">
        <f>E33/C33</f>
        <v>35.839579055441483</v>
      </c>
      <c r="F34" s="58"/>
      <c r="G34" s="57" t="s">
        <v>0</v>
      </c>
      <c r="H34" s="46">
        <f>SUM(G31:H32)</f>
        <v>28204.503794846565</v>
      </c>
      <c r="I34" s="36" t="s">
        <v>11</v>
      </c>
      <c r="P34" s="205"/>
      <c r="S34" s="181"/>
      <c r="T34" s="171" t="s">
        <v>41</v>
      </c>
      <c r="U34" s="214" t="str">
        <f>TEXT(G19,"0.0")&amp;"-"&amp;TEXT(P22,"0.00")</f>
        <v>22.5-4.82</v>
      </c>
      <c r="V34" s="214"/>
      <c r="W34" s="182" t="s">
        <v>1</v>
      </c>
      <c r="X34" s="173">
        <f>(G19-W13*P22)/(W13*(P44*(1+L26)))</f>
        <v>6.4571836182361881</v>
      </c>
      <c r="AB34" s="181"/>
      <c r="AC34" s="171" t="s">
        <v>41</v>
      </c>
      <c r="AD34" s="214" t="str">
        <f>TEXT(G19,"0.0")&amp;"- 1.3*"&amp;TEXT(P22,"0.00")</f>
        <v>22.5- 1.3*4.82</v>
      </c>
      <c r="AE34" s="214"/>
      <c r="AF34" s="182" t="s">
        <v>1</v>
      </c>
      <c r="AG34" s="173">
        <f>(G19-AG13*P22)/(AG13*P44*(1+L26))</f>
        <v>4.5608213913351152</v>
      </c>
      <c r="AK34" s="181"/>
      <c r="AL34" s="255" t="s">
        <v>115</v>
      </c>
      <c r="AM34" s="133">
        <v>25</v>
      </c>
      <c r="AN34" s="146">
        <f>($G$19-$AG$13*$P$20)/($AG$14*(AQ14*(1+$L$24)))</f>
        <v>10.811978749832628</v>
      </c>
      <c r="AO34" s="147">
        <f>($C$19-$AG$13*$P$17)/($AG$14*(AR14*(1+$L$24)))</f>
        <v>10.004735413554108</v>
      </c>
      <c r="AP34" s="146">
        <f>($G$19-$AG$13*$P$20)/($AG$13*(AQ14*(1+$L$24)))</f>
        <v>18.047687605489848</v>
      </c>
      <c r="AQ34" s="147">
        <f>($C$19-$AG$13*$P$17)/($AG$13*(AR14*(1+$L$24)))</f>
        <v>16.700212190317242</v>
      </c>
      <c r="AR34" s="181"/>
      <c r="AS34" s="181"/>
      <c r="AT34" s="181"/>
      <c r="AU34" s="258" t="s">
        <v>114</v>
      </c>
      <c r="AV34" s="200">
        <f>AX14</f>
        <v>239.93614829529838</v>
      </c>
      <c r="AW34" s="200">
        <f>AZ14</f>
        <v>327.1856567663159</v>
      </c>
      <c r="AX34" s="200">
        <f>AX24</f>
        <v>150.776800353141</v>
      </c>
      <c r="AY34" s="200">
        <f>AZ24</f>
        <v>251.68127443562764</v>
      </c>
      <c r="AZ34" s="181"/>
      <c r="BA34" s="181"/>
      <c r="BB34" s="181"/>
    </row>
    <row r="35" spans="1:54" s="36" customFormat="1" ht="14.25" customHeight="1">
      <c r="B35" s="47" t="s">
        <v>8</v>
      </c>
      <c r="C35" s="46">
        <f>H34/(C15+C22-E34)</f>
        <v>2709.2568057575941</v>
      </c>
      <c r="D35" s="45" t="s">
        <v>5</v>
      </c>
      <c r="F35" s="53"/>
      <c r="G35" s="52"/>
      <c r="H35" s="42"/>
      <c r="K35" s="53" t="s">
        <v>31</v>
      </c>
      <c r="L35" s="97">
        <f>AN13</f>
        <v>224.07</v>
      </c>
      <c r="M35" s="36" t="s">
        <v>25</v>
      </c>
      <c r="P35" s="203" t="s">
        <v>19</v>
      </c>
      <c r="S35" s="181"/>
      <c r="T35" s="170"/>
      <c r="U35" s="250" t="str">
        <f>"1*"&amp; TEXT(P44,"0.0")&amp;"*(1+1.33)"</f>
        <v>1*1.2*(1+1.33)</v>
      </c>
      <c r="V35" s="250"/>
      <c r="W35" s="182"/>
      <c r="X35" s="173"/>
      <c r="AB35" s="181"/>
      <c r="AC35" s="170"/>
      <c r="AD35" s="250" t="str">
        <f>"1.3*"&amp; TEXT(P44,"0.0")&amp;"*(1+1.33)"</f>
        <v>1.3*1.2*(1+1.33)</v>
      </c>
      <c r="AE35" s="250"/>
      <c r="AF35" s="182"/>
      <c r="AG35" s="173"/>
      <c r="AK35" s="181"/>
      <c r="AL35" s="257" t="s">
        <v>117</v>
      </c>
      <c r="AM35" s="134">
        <v>36</v>
      </c>
      <c r="AN35" s="148">
        <f>($G$19-$AG$13*$P$20)/($AG$14*(AQ15*(1+$L$24)))</f>
        <v>17.081893156812406</v>
      </c>
      <c r="AO35" s="149">
        <f>($C$19-$AG$13*$P$17)/($AG$14*(AR15*(1+$L$24)))</f>
        <v>15.804849128306662</v>
      </c>
      <c r="AP35" s="148">
        <f>($G$19-$AG$13*$P$20)/($AG$13*(AQ15*(1+$L$24)))</f>
        <v>28.513621654063783</v>
      </c>
      <c r="AQ35" s="149">
        <f>($C$19-$AG$13*$P$17)/($AG$13*(AR15*(1+$L$24)))</f>
        <v>26.381940468019582</v>
      </c>
      <c r="AR35" s="181"/>
      <c r="AS35" s="181"/>
      <c r="AT35" s="181"/>
      <c r="AU35" s="259" t="s">
        <v>116</v>
      </c>
      <c r="AV35" s="207">
        <f t="shared" ref="AV35:AV37" si="3">AX15</f>
        <v>467.71843418020978</v>
      </c>
      <c r="AW35" s="207">
        <f t="shared" ref="AW35:AW37" si="4">AZ15</f>
        <v>637.79786479119502</v>
      </c>
      <c r="AX35" s="207">
        <f t="shared" ref="AX35:AX37" si="5">AX25</f>
        <v>293.91606672405305</v>
      </c>
      <c r="AY35" s="207">
        <f t="shared" ref="AY35:AY37" si="6">AZ25</f>
        <v>490.61374214707314</v>
      </c>
      <c r="AZ35" s="181"/>
      <c r="BA35" s="181"/>
      <c r="BB35" s="181"/>
    </row>
    <row r="36" spans="1:54" s="36" customFormat="1" ht="14.25" customHeight="1">
      <c r="B36" s="47" t="s">
        <v>6</v>
      </c>
      <c r="C36" s="46">
        <f>H34/E34</f>
        <v>786.96526405112195</v>
      </c>
      <c r="D36" s="45" t="s">
        <v>5</v>
      </c>
      <c r="F36" s="44"/>
      <c r="G36" s="43"/>
      <c r="H36" s="42"/>
      <c r="I36" s="41"/>
      <c r="K36" s="1" t="s">
        <v>26</v>
      </c>
      <c r="L36" s="66">
        <f>L35*L31</f>
        <v>138.811365</v>
      </c>
      <c r="M36" s="36" t="s">
        <v>25</v>
      </c>
      <c r="P36" s="203" t="s">
        <v>131</v>
      </c>
      <c r="S36" s="181"/>
      <c r="T36" s="181"/>
      <c r="U36" s="181"/>
      <c r="V36" s="181"/>
      <c r="W36" s="181"/>
      <c r="X36" s="181"/>
      <c r="AB36" s="181"/>
      <c r="AC36" s="181"/>
      <c r="AD36" s="181"/>
      <c r="AE36" s="181"/>
      <c r="AF36" s="181"/>
      <c r="AG36" s="181"/>
      <c r="AL36" s="180"/>
      <c r="AT36" s="181"/>
      <c r="AU36" s="259" t="s">
        <v>115</v>
      </c>
      <c r="AV36" s="207">
        <f t="shared" si="3"/>
        <v>398.02172386922763</v>
      </c>
      <c r="AW36" s="207">
        <f t="shared" si="4"/>
        <v>542.75689618531032</v>
      </c>
      <c r="AX36" s="207">
        <f t="shared" si="5"/>
        <v>250.1183853388527</v>
      </c>
      <c r="AY36" s="207">
        <f t="shared" si="6"/>
        <v>417.50530475793101</v>
      </c>
      <c r="AZ36" s="181"/>
      <c r="BA36" s="181"/>
      <c r="BB36" s="181"/>
    </row>
    <row r="37" spans="1:54" s="36" customFormat="1" ht="18" customHeight="1" outlineLevel="1">
      <c r="K37" s="53" t="s">
        <v>20</v>
      </c>
      <c r="L37" s="97">
        <f>AM13</f>
        <v>42.68</v>
      </c>
      <c r="M37" t="s">
        <v>16</v>
      </c>
      <c r="P37" s="203" t="s">
        <v>19</v>
      </c>
      <c r="R37" s="1"/>
      <c r="S37" s="88" t="s">
        <v>155</v>
      </c>
      <c r="T37" s="87" t="s">
        <v>37</v>
      </c>
      <c r="U37" s="59"/>
      <c r="V37" s="181"/>
      <c r="W37" s="181"/>
      <c r="X37" s="181"/>
      <c r="AB37" s="88" t="s">
        <v>154</v>
      </c>
      <c r="AC37" s="87" t="s">
        <v>37</v>
      </c>
      <c r="AD37" s="59"/>
      <c r="AE37" s="181"/>
      <c r="AF37" s="181"/>
      <c r="AG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260" t="s">
        <v>117</v>
      </c>
      <c r="AV37" s="208">
        <f t="shared" si="3"/>
        <v>905.42819686243217</v>
      </c>
      <c r="AW37" s="208">
        <f t="shared" si="4"/>
        <v>1234.6748139033164</v>
      </c>
      <c r="AX37" s="208">
        <f t="shared" si="5"/>
        <v>568.97456861903981</v>
      </c>
      <c r="AY37" s="208">
        <f t="shared" si="6"/>
        <v>949.74985684870501</v>
      </c>
      <c r="AZ37" s="181"/>
      <c r="BA37" s="181"/>
      <c r="BB37" s="181"/>
    </row>
    <row r="38" spans="1:54" s="36" customFormat="1" ht="14.25" customHeight="1" outlineLevel="1">
      <c r="B38" s="72" t="s">
        <v>33</v>
      </c>
      <c r="C38" s="71"/>
      <c r="D38" s="70"/>
      <c r="K38" s="1" t="s">
        <v>17</v>
      </c>
      <c r="L38" s="66">
        <f>L30*L37</f>
        <v>26.440260000000002</v>
      </c>
      <c r="M38" s="36" t="s">
        <v>16</v>
      </c>
      <c r="P38" s="203" t="s">
        <v>132</v>
      </c>
      <c r="S38" s="181"/>
      <c r="T38" s="181"/>
      <c r="U38" s="181"/>
      <c r="V38" s="181"/>
      <c r="W38" s="181"/>
      <c r="X38" s="181"/>
      <c r="AB38" s="181"/>
      <c r="AC38" s="181"/>
      <c r="AD38" s="181"/>
      <c r="AE38" s="181"/>
      <c r="AF38" s="181"/>
      <c r="AG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0"/>
      <c r="AV38" s="181"/>
      <c r="AW38" s="181"/>
      <c r="AX38" s="181"/>
      <c r="AY38" s="181"/>
      <c r="AZ38" s="181"/>
      <c r="BA38" s="181"/>
      <c r="BB38" s="181"/>
    </row>
    <row r="39" spans="1:54" s="36" customFormat="1" ht="14.25" customHeight="1" outlineLevel="1">
      <c r="A39" s="69"/>
      <c r="E39" s="53" t="s">
        <v>32</v>
      </c>
      <c r="F39" s="44">
        <f>3*F28</f>
        <v>18</v>
      </c>
      <c r="S39" s="181"/>
      <c r="T39" s="1" t="s">
        <v>148</v>
      </c>
      <c r="U39" s="173">
        <f>MIN(X18:X25)</f>
        <v>2.8930572432950128</v>
      </c>
      <c r="V39" s="181"/>
      <c r="W39" s="181"/>
      <c r="X39" s="1" t="s">
        <v>149</v>
      </c>
      <c r="Y39" s="173">
        <f>MIN(X28:X35)</f>
        <v>4.9207090150044221</v>
      </c>
      <c r="Z39" s="181"/>
      <c r="AB39" s="181"/>
      <c r="AC39" s="1" t="s">
        <v>148</v>
      </c>
      <c r="AD39" s="173">
        <f>MIN(AG17:AG24)</f>
        <v>1.8966882379413192</v>
      </c>
      <c r="AE39" s="181"/>
      <c r="AF39" s="181"/>
      <c r="AG39" s="1" t="s">
        <v>149</v>
      </c>
      <c r="AH39" s="173">
        <f>MIN(AG28:AG35)</f>
        <v>3.1660103664097403</v>
      </c>
      <c r="AI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0"/>
      <c r="AV39" s="181"/>
      <c r="AW39" s="181"/>
      <c r="AX39" s="181"/>
      <c r="AY39" s="181"/>
      <c r="AZ39" s="181"/>
      <c r="BA39" s="181"/>
      <c r="BB39" s="181"/>
    </row>
    <row r="40" spans="1:54" s="36" customFormat="1" ht="18" customHeight="1">
      <c r="B40" s="228"/>
      <c r="C40" s="194" t="s">
        <v>30</v>
      </c>
      <c r="D40" s="194" t="s">
        <v>29</v>
      </c>
      <c r="E40" s="194" t="s">
        <v>28</v>
      </c>
      <c r="F40" s="194" t="s">
        <v>27</v>
      </c>
      <c r="G40" s="194" t="s">
        <v>157</v>
      </c>
      <c r="H40" s="194" t="s">
        <v>158</v>
      </c>
      <c r="K40" s="1" t="s">
        <v>14</v>
      </c>
      <c r="L40" s="60" t="s">
        <v>13</v>
      </c>
      <c r="S40" s="181"/>
      <c r="T40" s="76"/>
      <c r="U40" s="75"/>
      <c r="V40" s="80"/>
      <c r="W40" s="181"/>
      <c r="X40" s="76"/>
      <c r="Y40" s="75"/>
      <c r="Z40" s="80"/>
      <c r="AB40" s="181"/>
      <c r="AC40" s="76"/>
      <c r="AD40" s="75"/>
      <c r="AE40" s="80"/>
      <c r="AF40" s="181"/>
      <c r="AG40" s="76"/>
      <c r="AH40" s="75"/>
      <c r="AI40" s="80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0"/>
      <c r="AV40" s="181"/>
      <c r="AW40" s="181"/>
      <c r="AX40" s="181"/>
      <c r="AY40" s="181"/>
      <c r="AZ40" s="181"/>
      <c r="BA40" s="181"/>
      <c r="BB40" s="181"/>
    </row>
    <row r="41" spans="1:54" s="36" customFormat="1" ht="14.25" customHeight="1">
      <c r="B41" s="229"/>
      <c r="C41" s="190" t="s">
        <v>24</v>
      </c>
      <c r="D41" s="190" t="s">
        <v>22</v>
      </c>
      <c r="E41" s="190" t="s">
        <v>23</v>
      </c>
      <c r="F41" s="190" t="s">
        <v>22</v>
      </c>
      <c r="G41" s="190" t="s">
        <v>21</v>
      </c>
      <c r="H41" s="190" t="s">
        <v>21</v>
      </c>
      <c r="K41" s="227" t="s">
        <v>10</v>
      </c>
      <c r="L41" s="55" t="s">
        <v>9</v>
      </c>
      <c r="M41" s="232" t="s">
        <v>1</v>
      </c>
      <c r="N41" s="54">
        <f>L36</f>
        <v>138.811365</v>
      </c>
      <c r="O41" s="232" t="s">
        <v>1</v>
      </c>
      <c r="P41" s="233">
        <f>N41*12/N42</f>
        <v>2.1166580738585079</v>
      </c>
      <c r="S41" s="181"/>
      <c r="T41" s="76" t="s">
        <v>147</v>
      </c>
      <c r="U41" s="75">
        <f>U39*AM23</f>
        <v>104.15006075862046</v>
      </c>
      <c r="V41" s="74" t="s">
        <v>35</v>
      </c>
      <c r="W41" s="181"/>
      <c r="X41" s="76" t="s">
        <v>147</v>
      </c>
      <c r="Y41" s="75">
        <f>Y39*AM23</f>
        <v>177.14552454015919</v>
      </c>
      <c r="Z41" s="74" t="s">
        <v>35</v>
      </c>
      <c r="AB41" s="181"/>
      <c r="AC41" s="76" t="s">
        <v>36</v>
      </c>
      <c r="AD41" s="75">
        <f>AD39*AM23</f>
        <v>68.280776565887493</v>
      </c>
      <c r="AE41" s="74" t="s">
        <v>35</v>
      </c>
      <c r="AF41" s="181"/>
      <c r="AG41" s="76" t="s">
        <v>147</v>
      </c>
      <c r="AH41" s="75">
        <f>AH39*AM23</f>
        <v>113.97637319075065</v>
      </c>
      <c r="AI41" s="74" t="s">
        <v>35</v>
      </c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</row>
    <row r="42" spans="1:54" s="36" customFormat="1" ht="14.25" customHeight="1" outlineLevel="1">
      <c r="B42" s="192" t="s">
        <v>18</v>
      </c>
      <c r="C42" s="64">
        <f>C22*C23/F39</f>
        <v>39.111111111111114</v>
      </c>
      <c r="D42" s="68">
        <f>C15+C22/2</f>
        <v>42.25</v>
      </c>
      <c r="E42" s="67">
        <f>C42*D42</f>
        <v>1652.4444444444446</v>
      </c>
      <c r="F42" s="64">
        <f>ABS(D42-$E$34)</f>
        <v>6.410420944558517</v>
      </c>
      <c r="G42" s="63">
        <f>C42*F42^2</f>
        <v>1607.2123148472162</v>
      </c>
      <c r="H42" s="63">
        <f>(1/12)*(C23*C22^3)/F39</f>
        <v>208.59259259259258</v>
      </c>
      <c r="K42" s="227"/>
      <c r="L42" s="51" t="s">
        <v>7</v>
      </c>
      <c r="M42" s="232"/>
      <c r="N42" s="91">
        <f>C36</f>
        <v>786.96526405112195</v>
      </c>
      <c r="O42" s="232"/>
      <c r="P42" s="233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</row>
    <row r="43" spans="1:54" s="36" customFormat="1" outlineLevel="1">
      <c r="B43" s="193" t="str">
        <f>B32</f>
        <v>Built-up</v>
      </c>
      <c r="C43" s="65">
        <f>C14</f>
        <v>45</v>
      </c>
      <c r="D43" s="64">
        <f>C15/2</f>
        <v>19.125</v>
      </c>
      <c r="E43" s="62">
        <f>C43*D43</f>
        <v>860.625</v>
      </c>
      <c r="F43" s="64">
        <f>ABS(D43-$E$34)</f>
        <v>16.714579055441483</v>
      </c>
      <c r="G43" s="63">
        <f>C43*F43^2</f>
        <v>12571.971885027138</v>
      </c>
      <c r="H43" s="62">
        <f>C12</f>
        <v>10185.1171875</v>
      </c>
      <c r="K43" s="40" t="s">
        <v>4</v>
      </c>
      <c r="AC43" s="70" t="s">
        <v>169</v>
      </c>
      <c r="AD43" s="181"/>
      <c r="AE43" s="181"/>
      <c r="AF43" s="181"/>
      <c r="AG43" s="181"/>
      <c r="AH43" s="205" t="s">
        <v>180</v>
      </c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</row>
    <row r="44" spans="1:54" s="36" customFormat="1" ht="18">
      <c r="B44" s="53" t="s">
        <v>15</v>
      </c>
      <c r="C44" s="61">
        <f>SUM(C42:C43)</f>
        <v>84.111111111111114</v>
      </c>
      <c r="D44" s="53" t="s">
        <v>15</v>
      </c>
      <c r="E44" s="61">
        <f>SUM(E42:E43)</f>
        <v>2513.0694444444443</v>
      </c>
      <c r="F44" s="58"/>
      <c r="G44" s="43"/>
      <c r="H44" s="42"/>
      <c r="K44" s="1" t="s">
        <v>3</v>
      </c>
      <c r="L44" s="38" t="s">
        <v>2</v>
      </c>
      <c r="M44" s="38" t="s">
        <v>1</v>
      </c>
      <c r="N44" s="49" t="str">
        <f>TEXT(L38,"0.00")&amp;"/"&amp;TEXT(G15,"0.00")</f>
        <v>26.44/22.50</v>
      </c>
      <c r="O44" s="38" t="s">
        <v>1</v>
      </c>
      <c r="P44" s="48">
        <f>L38/G15</f>
        <v>1.1751226666666668</v>
      </c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</row>
    <row r="45" spans="1:54" s="36" customFormat="1" ht="15.75" customHeight="1">
      <c r="C45" s="53"/>
      <c r="D45" s="57" t="s">
        <v>12</v>
      </c>
      <c r="E45" s="59">
        <f>E44/C44</f>
        <v>29.877972258916774</v>
      </c>
      <c r="F45" s="58"/>
      <c r="G45" s="57" t="s">
        <v>0</v>
      </c>
      <c r="H45" s="46">
        <f>SUM(G42:H43)</f>
        <v>24572.893979966946</v>
      </c>
      <c r="I45" s="56" t="s">
        <v>11</v>
      </c>
      <c r="AB45" s="95"/>
      <c r="AC45" s="212"/>
      <c r="AD45" s="210" t="s">
        <v>114</v>
      </c>
      <c r="AE45" s="140" t="s">
        <v>116</v>
      </c>
      <c r="AF45" s="140" t="s">
        <v>115</v>
      </c>
      <c r="AG45" s="211" t="s">
        <v>117</v>
      </c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</row>
    <row r="46" spans="1:54" s="36" customFormat="1" ht="14.25" customHeight="1">
      <c r="B46" s="47" t="s">
        <v>8</v>
      </c>
      <c r="C46" s="46">
        <f>H45/(C23+D31-E45)</f>
        <v>244.81814837251738</v>
      </c>
      <c r="D46" s="45" t="s">
        <v>5</v>
      </c>
      <c r="F46" s="53"/>
      <c r="G46" s="52"/>
      <c r="H46" s="42"/>
      <c r="AB46" s="95"/>
      <c r="AC46" s="138" t="s">
        <v>167</v>
      </c>
      <c r="AD46" s="247">
        <v>0.83399999999999996</v>
      </c>
      <c r="AE46" s="248">
        <v>0.61950000000000005</v>
      </c>
      <c r="AF46" s="248">
        <v>0.66700000000000004</v>
      </c>
      <c r="AG46" s="249">
        <v>0.44400000000000001</v>
      </c>
      <c r="AH46" s="181"/>
      <c r="AI46" s="181"/>
      <c r="AJ46" s="181"/>
      <c r="AT46" s="181"/>
      <c r="AU46" s="181"/>
      <c r="AV46" s="181"/>
      <c r="AW46" s="181"/>
      <c r="AX46" s="181"/>
      <c r="AY46" s="181"/>
      <c r="AZ46" s="181"/>
      <c r="BA46" s="181"/>
      <c r="BB46" s="181"/>
    </row>
    <row r="47" spans="1:54" s="36" customFormat="1" ht="14.25" customHeight="1">
      <c r="B47" s="47" t="s">
        <v>6</v>
      </c>
      <c r="C47" s="46">
        <f>H45/E45</f>
        <v>822.44182326106215</v>
      </c>
      <c r="D47" s="45" t="s">
        <v>5</v>
      </c>
      <c r="F47" s="44"/>
      <c r="G47" s="43"/>
      <c r="H47" s="42"/>
      <c r="I47" s="41"/>
      <c r="AT47" s="181"/>
      <c r="AU47" s="181"/>
      <c r="AV47" s="181"/>
      <c r="AW47" s="181"/>
      <c r="AX47" s="181"/>
      <c r="AY47" s="181"/>
      <c r="AZ47" s="181"/>
      <c r="BA47" s="181"/>
      <c r="BB47" s="181"/>
    </row>
    <row r="48" spans="1:54" s="36" customFormat="1"/>
    <row r="49" spans="1:99" s="27" customFormat="1" ht="14.25">
      <c r="J49" s="3"/>
      <c r="K49" s="3"/>
      <c r="L49" s="3"/>
      <c r="M49" s="3"/>
      <c r="N49" s="3"/>
      <c r="O49" s="3"/>
      <c r="P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</row>
    <row r="50" spans="1:99" s="27" customFormat="1" ht="14.25">
      <c r="J50" s="3"/>
      <c r="K50" s="26"/>
      <c r="L50" s="35"/>
      <c r="M50" s="19"/>
      <c r="N50" s="3"/>
      <c r="O50" s="3"/>
      <c r="P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</row>
    <row r="51" spans="1:99" s="27" customFormat="1" ht="14.25">
      <c r="A51" s="6"/>
      <c r="B51" s="6"/>
      <c r="C51" s="6"/>
      <c r="D51" s="6"/>
      <c r="E51" s="6"/>
      <c r="F51" s="6"/>
      <c r="G51" s="6"/>
      <c r="H51" s="6"/>
      <c r="I51" s="6"/>
      <c r="J51" s="6"/>
      <c r="K51" s="24"/>
      <c r="L51" s="10"/>
      <c r="M51" s="19"/>
      <c r="N51" s="6"/>
      <c r="O51" s="6"/>
      <c r="P51" s="6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</row>
    <row r="52" spans="1:99" s="27" customFormat="1" ht="14.25" customHeight="1">
      <c r="A52" s="34"/>
      <c r="B52" s="34"/>
      <c r="C52" s="34"/>
      <c r="D52" s="34"/>
      <c r="E52" s="34"/>
      <c r="F52" s="34"/>
      <c r="G52" s="34"/>
      <c r="H52" s="34"/>
      <c r="I52" s="34"/>
      <c r="J52" s="33"/>
      <c r="K52" s="24"/>
      <c r="L52" s="22"/>
      <c r="M52" s="3"/>
      <c r="N52" s="33"/>
      <c r="O52" s="33"/>
      <c r="P52" s="3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</row>
    <row r="53" spans="1:99" s="27" customFormat="1" ht="15.75">
      <c r="A53" s="30"/>
      <c r="B53" s="16"/>
      <c r="C53" s="32"/>
      <c r="D53" s="32"/>
      <c r="E53" s="32"/>
      <c r="F53" s="32"/>
      <c r="G53" s="32"/>
      <c r="H53" s="32"/>
      <c r="I53" s="30"/>
      <c r="J53" s="30"/>
      <c r="K53" s="19"/>
      <c r="L53" s="3"/>
      <c r="M53" s="3"/>
      <c r="N53" s="13"/>
      <c r="O53" s="13"/>
      <c r="P53" s="1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</row>
    <row r="54" spans="1:99" s="27" customFormat="1" ht="15.75">
      <c r="A54" s="30"/>
      <c r="B54" s="16"/>
      <c r="C54" s="31"/>
      <c r="D54" s="31"/>
      <c r="E54" s="31"/>
      <c r="F54" s="31"/>
      <c r="G54" s="31"/>
      <c r="H54" s="31"/>
      <c r="I54" s="30"/>
      <c r="J54" s="30"/>
      <c r="K54" s="23"/>
      <c r="L54" s="3"/>
      <c r="M54" s="3"/>
      <c r="N54" s="29"/>
      <c r="O54" s="29"/>
      <c r="P54" s="29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</row>
    <row r="55" spans="1:99" s="27" customFormat="1" ht="15.75">
      <c r="A55" s="6"/>
      <c r="B55" s="16"/>
      <c r="C55" s="14"/>
      <c r="D55" s="28"/>
      <c r="E55" s="14"/>
      <c r="F55" s="14"/>
      <c r="G55" s="14"/>
      <c r="H55" s="14"/>
      <c r="I55" s="6"/>
      <c r="J55" s="6"/>
      <c r="K55" s="22"/>
      <c r="L55" s="3"/>
      <c r="M55" s="3"/>
      <c r="N55" s="18"/>
      <c r="O55" s="17"/>
      <c r="P55" s="17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</row>
    <row r="56" spans="1:99" s="27" customFormat="1">
      <c r="A56" s="263"/>
      <c r="B56" s="263"/>
      <c r="C56" s="263"/>
      <c r="D56" s="263"/>
      <c r="E56" s="264">
        <f>'Exterior Floorbeam'!AX57+1</f>
        <v>110</v>
      </c>
      <c r="F56" s="263"/>
      <c r="G56" s="263"/>
      <c r="H56" s="263"/>
      <c r="I56" s="263"/>
      <c r="J56" s="263"/>
      <c r="K56" s="263"/>
      <c r="L56" s="263"/>
      <c r="M56" s="263"/>
      <c r="N56" s="264">
        <f>E56+1</f>
        <v>111</v>
      </c>
      <c r="O56" s="263"/>
      <c r="P56" s="263"/>
      <c r="Q56" s="263"/>
      <c r="R56" s="263"/>
      <c r="S56" s="263"/>
      <c r="T56" s="263"/>
      <c r="U56" s="263"/>
      <c r="V56" s="263"/>
      <c r="W56" s="264">
        <f>N56+1</f>
        <v>112</v>
      </c>
      <c r="X56" s="263"/>
      <c r="Y56" s="263"/>
      <c r="Z56" s="263"/>
      <c r="AA56" s="263"/>
      <c r="AB56" s="263"/>
      <c r="AC56" s="263"/>
      <c r="AD56" s="263"/>
      <c r="AE56" s="263"/>
      <c r="AF56" s="264">
        <f>W56+1</f>
        <v>113</v>
      </c>
      <c r="AG56" s="263"/>
      <c r="AH56" s="263"/>
      <c r="AI56" s="263"/>
      <c r="AJ56" s="263"/>
      <c r="AK56" s="263"/>
      <c r="AL56" s="263"/>
      <c r="AM56" s="263"/>
      <c r="AN56" s="263"/>
      <c r="AO56" s="264">
        <f>AF56+1</f>
        <v>114</v>
      </c>
      <c r="AP56" s="263"/>
      <c r="AQ56" s="263"/>
      <c r="AR56" s="263"/>
      <c r="AS56" s="263"/>
      <c r="AT56" s="263"/>
      <c r="AU56" s="263"/>
      <c r="AV56" s="263"/>
      <c r="AW56" s="263"/>
      <c r="AX56" s="264">
        <f>AO56+1</f>
        <v>115</v>
      </c>
      <c r="AY56" s="263"/>
      <c r="AZ56" s="263"/>
      <c r="BA56" s="263"/>
      <c r="BB56" s="26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</row>
    <row r="57" spans="1:99" s="27" customFormat="1" ht="15.75">
      <c r="A57" s="6"/>
      <c r="B57" s="16"/>
      <c r="C57" s="14"/>
      <c r="D57" s="28"/>
      <c r="E57" s="14"/>
      <c r="F57" s="14"/>
      <c r="G57" s="14"/>
      <c r="H57" s="14"/>
      <c r="I57" s="6"/>
      <c r="J57" s="6"/>
      <c r="K57" s="22"/>
      <c r="L57" s="4"/>
      <c r="M57" s="19"/>
      <c r="N57" s="18"/>
      <c r="O57" s="17"/>
      <c r="P57" s="17"/>
      <c r="Q57" s="12"/>
      <c r="R57" s="6"/>
      <c r="S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</row>
    <row r="58" spans="1:99" ht="15.75" customHeight="1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</row>
    <row r="59" spans="1:99" ht="15.75" customHeight="1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</row>
    <row r="60" spans="1:99" ht="15.75" customHeight="1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</row>
    <row r="61" spans="1:99" ht="15.75" customHeight="1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</row>
    <row r="62" spans="1:99" ht="15.75" customHeight="1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</row>
    <row r="63" spans="1:99" ht="15.75" customHeight="1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</row>
    <row r="64" spans="1:99" ht="15.75" customHeight="1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</row>
    <row r="65" spans="1:99" ht="15.75" customHeight="1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</row>
    <row r="66" spans="1:99" ht="15.75" customHeight="1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</row>
    <row r="67" spans="1:99" ht="15.75" customHeight="1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</row>
    <row r="68" spans="1:99" ht="15.75" customHeight="1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</row>
    <row r="69" spans="1:99" ht="15.75" customHeight="1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</row>
    <row r="70" spans="1:99" ht="15.75" customHeight="1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</row>
    <row r="71" spans="1:99" ht="15.75" customHeight="1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</row>
    <row r="72" spans="1:99" ht="15.75" customHeight="1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</row>
    <row r="73" spans="1:99" ht="15.75" customHeight="1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</row>
    <row r="74" spans="1:99" ht="15.75" customHeight="1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</row>
    <row r="75" spans="1:99" ht="15.75" customHeight="1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</row>
    <row r="76" spans="1:99" ht="15.75" customHeight="1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</row>
    <row r="77" spans="1:99" ht="15.75" customHeight="1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</row>
    <row r="78" spans="1:99" ht="15.75" customHeight="1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</row>
    <row r="79" spans="1:99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</row>
    <row r="80" spans="1:99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</row>
    <row r="81" spans="1:99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</row>
    <row r="82" spans="1:99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</row>
    <row r="83" spans="1:99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</row>
    <row r="84" spans="1:99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</row>
    <row r="85" spans="1:99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</row>
    <row r="86" spans="1:99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</row>
    <row r="87" spans="1:99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</row>
    <row r="88" spans="1:99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</row>
    <row r="89" spans="1:99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</row>
    <row r="90" spans="1:99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</row>
    <row r="91" spans="1:99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</row>
    <row r="92" spans="1:99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</row>
    <row r="93" spans="1:99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</row>
    <row r="94" spans="1:99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</row>
    <row r="95" spans="1:99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</row>
    <row r="96" spans="1:99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</row>
    <row r="97" spans="1:23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</row>
    <row r="98" spans="1:23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</row>
    <row r="99" spans="1:23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</row>
    <row r="100" spans="1:23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</row>
    <row r="101" spans="1:23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</row>
    <row r="102" spans="1:23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</row>
    <row r="103" spans="1:23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</row>
    <row r="104" spans="1:23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</row>
    <row r="105" spans="1:23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</row>
    <row r="106" spans="1:23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</row>
    <row r="107" spans="1:23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</row>
    <row r="108" spans="1:23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</row>
    <row r="109" spans="1:23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</row>
    <row r="110" spans="1:23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</row>
    <row r="111" spans="1:23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</row>
  </sheetData>
  <mergeCells count="62">
    <mergeCell ref="AY12:AZ12"/>
    <mergeCell ref="AW22:AX22"/>
    <mergeCell ref="AY22:AZ22"/>
    <mergeCell ref="AV32:AW32"/>
    <mergeCell ref="AX32:AY32"/>
    <mergeCell ref="AD28:AE28"/>
    <mergeCell ref="T10:T11"/>
    <mergeCell ref="AC10:AC11"/>
    <mergeCell ref="U18:V18"/>
    <mergeCell ref="U19:V19"/>
    <mergeCell ref="U23:V23"/>
    <mergeCell ref="AD35:AE35"/>
    <mergeCell ref="AD34:AE34"/>
    <mergeCell ref="AD29:AE29"/>
    <mergeCell ref="AD24:AE24"/>
    <mergeCell ref="AD23:AE23"/>
    <mergeCell ref="U35:V35"/>
    <mergeCell ref="U34:V34"/>
    <mergeCell ref="K19:K20"/>
    <mergeCell ref="M19:M20"/>
    <mergeCell ref="O19:O20"/>
    <mergeCell ref="P19:P20"/>
    <mergeCell ref="B40:B41"/>
    <mergeCell ref="B29:B30"/>
    <mergeCell ref="K41:K42"/>
    <mergeCell ref="M41:M42"/>
    <mergeCell ref="O41:O42"/>
    <mergeCell ref="P41:P42"/>
    <mergeCell ref="B3:E3"/>
    <mergeCell ref="K3:N3"/>
    <mergeCell ref="T3:W3"/>
    <mergeCell ref="AL3:AO3"/>
    <mergeCell ref="B4:E4"/>
    <mergeCell ref="K4:N4"/>
    <mergeCell ref="T4:W4"/>
    <mergeCell ref="AL4:AO4"/>
    <mergeCell ref="AC3:AF3"/>
    <mergeCell ref="AC4:AF4"/>
    <mergeCell ref="B1:E1"/>
    <mergeCell ref="K1:N1"/>
    <mergeCell ref="T1:W1"/>
    <mergeCell ref="AL1:AO1"/>
    <mergeCell ref="B2:E2"/>
    <mergeCell ref="K2:N2"/>
    <mergeCell ref="T2:W2"/>
    <mergeCell ref="AL2:AO2"/>
    <mergeCell ref="AC1:AF1"/>
    <mergeCell ref="AC2:AF2"/>
    <mergeCell ref="AD19:AE19"/>
    <mergeCell ref="AD18:AE18"/>
    <mergeCell ref="AU1:AX1"/>
    <mergeCell ref="AU2:AX2"/>
    <mergeCell ref="AU3:AX3"/>
    <mergeCell ref="AU4:AX4"/>
    <mergeCell ref="AW12:AX12"/>
    <mergeCell ref="AN20:AO20"/>
    <mergeCell ref="AP20:AQ20"/>
    <mergeCell ref="AN30:AO30"/>
    <mergeCell ref="AP30:AQ30"/>
    <mergeCell ref="U29:V29"/>
    <mergeCell ref="U28:V28"/>
    <mergeCell ref="U24:V24"/>
  </mergeCells>
  <pageMargins left="0.7" right="0.7" top="0.75" bottom="0.75" header="0.3" footer="0.3"/>
  <pageSetup scale="84" orientation="portrait" r:id="rId1"/>
  <colBreaks count="5" manualBreakCount="5">
    <brk id="9" max="1048575" man="1"/>
    <brk id="18" max="1048575" man="1"/>
    <brk id="27" max="1048575" man="1"/>
    <brk id="36" max="1048575" man="1"/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Exterior Floorbeam</vt:lpstr>
      <vt:lpstr>Interior Floorbeam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2015-10-29T14:22:30Z</cp:lastPrinted>
  <dcterms:created xsi:type="dcterms:W3CDTF">2015-10-17T20:45:23Z</dcterms:created>
  <dcterms:modified xsi:type="dcterms:W3CDTF">2015-10-29T23:22:54Z</dcterms:modified>
</cp:coreProperties>
</file>