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\OneDrive\Documents\2. Professional\STV inc\STV\4014312 Lowell\L-15-095 Bridge Rating\Appendix C - Computations\"/>
    </mc:Choice>
  </mc:AlternateContent>
  <bookViews>
    <workbookView xWindow="0" yWindow="0" windowWidth="23040" windowHeight="9384"/>
  </bookViews>
  <sheets>
    <sheet name="End Stringer" sheetId="3" r:id="rId1"/>
    <sheet name="Interior Stringer" sheetId="2" r:id="rId2"/>
  </sheets>
  <externalReferences>
    <externalReference r:id="rId3"/>
    <externalReference r:id="rId4"/>
  </externalReferences>
  <definedNames>
    <definedName name="_xlnm.Print_Area" localSheetId="0">'End Stringer'!$A$1:$AS$48</definedName>
    <definedName name="_xlnm.Print_Area" localSheetId="1">'Interior Stringer'!$A$1:$AS$48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1" i="3"/>
  <c r="X8" i="3" l="1"/>
  <c r="V8" i="3"/>
  <c r="K4" i="2"/>
  <c r="K3" i="2"/>
  <c r="K4" i="3"/>
  <c r="K3" i="3"/>
  <c r="P85" i="3"/>
  <c r="F39" i="3"/>
  <c r="L37" i="3"/>
  <c r="U23" i="3" s="1"/>
  <c r="C23" i="3"/>
  <c r="H42" i="3" s="1"/>
  <c r="U22" i="3"/>
  <c r="G22" i="3"/>
  <c r="C22" i="3"/>
  <c r="U21" i="3"/>
  <c r="W26" i="3" s="1"/>
  <c r="U20" i="3"/>
  <c r="C17" i="3"/>
  <c r="C18" i="3" s="1"/>
  <c r="C15" i="3"/>
  <c r="D43" i="3" s="1"/>
  <c r="G14" i="3"/>
  <c r="C14" i="3"/>
  <c r="C43" i="3" s="1"/>
  <c r="L13" i="3"/>
  <c r="G13" i="3"/>
  <c r="C13" i="3"/>
  <c r="N20" i="3" s="1"/>
  <c r="G12" i="3"/>
  <c r="C12" i="3"/>
  <c r="H43" i="3" s="1"/>
  <c r="C11" i="3"/>
  <c r="B32" i="3" s="1"/>
  <c r="B43" i="3" s="1"/>
  <c r="L10" i="3"/>
  <c r="L14" i="3" s="1"/>
  <c r="L15" i="3" s="1"/>
  <c r="N19" i="3" s="1"/>
  <c r="P19" i="3" s="1"/>
  <c r="G10" i="3"/>
  <c r="C10" i="3"/>
  <c r="AC4" i="3"/>
  <c r="AL4" i="3" s="1"/>
  <c r="T4" i="3"/>
  <c r="F4" i="3"/>
  <c r="X4" i="3" s="1"/>
  <c r="AJ3" i="3"/>
  <c r="AS3" i="3" s="1"/>
  <c r="AG3" i="3"/>
  <c r="AP3" i="3" s="1"/>
  <c r="AC3" i="3"/>
  <c r="AL3" i="3" s="1"/>
  <c r="AA3" i="3"/>
  <c r="X3" i="3"/>
  <c r="T3" i="3"/>
  <c r="R3" i="3"/>
  <c r="O3" i="3"/>
  <c r="AA2" i="3"/>
  <c r="T2" i="3"/>
  <c r="R2" i="3"/>
  <c r="AJ2" i="3" s="1"/>
  <c r="AS2" i="3" s="1"/>
  <c r="K2" i="3"/>
  <c r="AC2" i="3" s="1"/>
  <c r="AL2" i="3" s="1"/>
  <c r="AL1" i="3"/>
  <c r="AC1" i="3"/>
  <c r="T1" i="3"/>
  <c r="K1" i="3"/>
  <c r="U22" i="2"/>
  <c r="U20" i="2"/>
  <c r="U21" i="2" s="1"/>
  <c r="W26" i="2" s="1"/>
  <c r="X8" i="2"/>
  <c r="V8" i="2"/>
  <c r="T4" i="2"/>
  <c r="AA3" i="2"/>
  <c r="X3" i="2"/>
  <c r="T3" i="2"/>
  <c r="AA2" i="2"/>
  <c r="T2" i="2"/>
  <c r="T1" i="2"/>
  <c r="L13" i="2"/>
  <c r="P85" i="2"/>
  <c r="F39" i="2"/>
  <c r="L37" i="2"/>
  <c r="U23" i="2" s="1"/>
  <c r="C23" i="2"/>
  <c r="G22" i="2"/>
  <c r="C22" i="2"/>
  <c r="C17" i="2"/>
  <c r="C18" i="2" s="1"/>
  <c r="C15" i="2"/>
  <c r="G14" i="2"/>
  <c r="C14" i="2"/>
  <c r="C43" i="2" s="1"/>
  <c r="G13" i="2"/>
  <c r="C13" i="2"/>
  <c r="N20" i="2" s="1"/>
  <c r="G12" i="2"/>
  <c r="C12" i="2"/>
  <c r="H32" i="2" s="1"/>
  <c r="C11" i="2"/>
  <c r="B32" i="2" s="1"/>
  <c r="B43" i="2" s="1"/>
  <c r="L10" i="2"/>
  <c r="G10" i="2"/>
  <c r="C10" i="2"/>
  <c r="AC4" i="2"/>
  <c r="AL4" i="2" s="1"/>
  <c r="F4" i="2"/>
  <c r="O4" i="2" s="1"/>
  <c r="AG4" i="2" s="1"/>
  <c r="AP4" i="2" s="1"/>
  <c r="R3" i="2"/>
  <c r="AJ3" i="2" s="1"/>
  <c r="AS3" i="2" s="1"/>
  <c r="O3" i="2"/>
  <c r="AG3" i="2" s="1"/>
  <c r="AP3" i="2" s="1"/>
  <c r="AC3" i="2"/>
  <c r="AL3" i="2" s="1"/>
  <c r="R2" i="2"/>
  <c r="AJ2" i="2" s="1"/>
  <c r="AS2" i="2" s="1"/>
  <c r="K2" i="2"/>
  <c r="AC2" i="2" s="1"/>
  <c r="AL2" i="2" s="1"/>
  <c r="AC1" i="2"/>
  <c r="AL1" i="2" s="1"/>
  <c r="K1" i="2"/>
  <c r="D31" i="2" l="1"/>
  <c r="L16" i="3"/>
  <c r="H31" i="2"/>
  <c r="D42" i="3"/>
  <c r="C32" i="3"/>
  <c r="G15" i="3"/>
  <c r="W29" i="3" s="1"/>
  <c r="C19" i="3"/>
  <c r="AD20" i="3" s="1"/>
  <c r="X4" i="2"/>
  <c r="N22" i="3"/>
  <c r="E43" i="3"/>
  <c r="Y29" i="3"/>
  <c r="C42" i="2"/>
  <c r="C44" i="2" s="1"/>
  <c r="O4" i="3"/>
  <c r="AG4" i="3" s="1"/>
  <c r="AP4" i="3" s="1"/>
  <c r="C31" i="3"/>
  <c r="D32" i="3"/>
  <c r="E32" i="3" s="1"/>
  <c r="H32" i="3"/>
  <c r="L12" i="3"/>
  <c r="D31" i="3"/>
  <c r="H31" i="3"/>
  <c r="C42" i="3"/>
  <c r="G15" i="2"/>
  <c r="Y29" i="2" s="1"/>
  <c r="C32" i="2"/>
  <c r="W29" i="2"/>
  <c r="L12" i="2"/>
  <c r="L14" i="2" s="1"/>
  <c r="C19" i="2"/>
  <c r="D42" i="2"/>
  <c r="H42" i="2"/>
  <c r="D43" i="2"/>
  <c r="E43" i="2" s="1"/>
  <c r="H43" i="2"/>
  <c r="C31" i="2"/>
  <c r="D32" i="2"/>
  <c r="P22" i="3" l="1"/>
  <c r="AM20" i="3"/>
  <c r="E31" i="3"/>
  <c r="E33" i="3" s="1"/>
  <c r="C33" i="3"/>
  <c r="C44" i="3"/>
  <c r="E42" i="3"/>
  <c r="E44" i="3" s="1"/>
  <c r="AM27" i="3"/>
  <c r="AD27" i="3"/>
  <c r="AP26" i="3"/>
  <c r="AM26" i="3"/>
  <c r="AG26" i="3"/>
  <c r="AD26" i="3"/>
  <c r="L15" i="2"/>
  <c r="N19" i="2" s="1"/>
  <c r="P19" i="2" s="1"/>
  <c r="AD20" i="2" s="1"/>
  <c r="L16" i="2"/>
  <c r="E32" i="2"/>
  <c r="AD27" i="2"/>
  <c r="AM27" i="2"/>
  <c r="E31" i="2"/>
  <c r="C33" i="2"/>
  <c r="E42" i="2"/>
  <c r="E44" i="2" s="1"/>
  <c r="E45" i="2" s="1"/>
  <c r="AM20" i="2" l="1"/>
  <c r="E45" i="3"/>
  <c r="E34" i="3"/>
  <c r="E33" i="2"/>
  <c r="E34" i="2" s="1"/>
  <c r="P22" i="2"/>
  <c r="N22" i="2"/>
  <c r="F43" i="3" l="1"/>
  <c r="G43" i="3" s="1"/>
  <c r="F42" i="3"/>
  <c r="G42" i="3" s="1"/>
  <c r="H45" i="3" s="1"/>
  <c r="F31" i="3"/>
  <c r="G31" i="3" s="1"/>
  <c r="H34" i="3" s="1"/>
  <c r="F32" i="3"/>
  <c r="G32" i="3" s="1"/>
  <c r="AD26" i="2"/>
  <c r="AP26" i="2"/>
  <c r="AM26" i="2"/>
  <c r="AG26" i="2"/>
  <c r="F31" i="2"/>
  <c r="G31" i="2" s="1"/>
  <c r="H34" i="2" s="1"/>
  <c r="F42" i="2"/>
  <c r="G42" i="2" s="1"/>
  <c r="F32" i="2"/>
  <c r="G32" i="2" s="1"/>
  <c r="F43" i="2"/>
  <c r="G43" i="2" s="1"/>
  <c r="C36" i="3" l="1"/>
  <c r="W27" i="3" s="1"/>
  <c r="Y26" i="3" s="1"/>
  <c r="C35" i="3"/>
  <c r="C46" i="3"/>
  <c r="C47" i="3"/>
  <c r="H45" i="2"/>
  <c r="C36" i="2"/>
  <c r="W27" i="2" s="1"/>
  <c r="Y26" i="2" s="1"/>
  <c r="C35" i="2"/>
  <c r="AM21" i="3" l="1"/>
  <c r="AD21" i="3"/>
  <c r="AP20" i="3"/>
  <c r="AM32" i="3" s="1"/>
  <c r="AM34" i="3" s="1"/>
  <c r="AG20" i="3"/>
  <c r="AD32" i="3" s="1"/>
  <c r="AD34" i="3" s="1"/>
  <c r="AM21" i="2"/>
  <c r="AD21" i="2"/>
  <c r="AP20" i="2"/>
  <c r="AM32" i="2" s="1"/>
  <c r="AM34" i="2" s="1"/>
  <c r="AG20" i="2"/>
  <c r="AD32" i="2" s="1"/>
  <c r="AD34" i="2" s="1"/>
  <c r="C46" i="2"/>
  <c r="C47" i="2"/>
</calcChain>
</file>

<file path=xl/sharedStrings.xml><?xml version="1.0" encoding="utf-8"?>
<sst xmlns="http://schemas.openxmlformats.org/spreadsheetml/2006/main" count="541" uniqueCount="151">
  <si>
    <t>184+125</t>
  </si>
  <si>
    <t>≤</t>
  </si>
  <si>
    <t>I=</t>
  </si>
  <si>
    <t>=</t>
  </si>
  <si>
    <r>
      <t>V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w</t>
    </r>
  </si>
  <si>
    <r>
      <t>f</t>
    </r>
    <r>
      <rPr>
        <vertAlign val="subscript"/>
        <sz val="11"/>
        <color theme="1"/>
        <rFont val="Calibri"/>
        <family val="2"/>
        <scheme val="minor"/>
      </rPr>
      <t>LL,shear</t>
    </r>
    <r>
      <rPr>
        <sz val="11"/>
        <color theme="1"/>
        <rFont val="Calibri"/>
        <family val="2"/>
        <scheme val="minor"/>
      </rPr>
      <t>=</t>
    </r>
  </si>
  <si>
    <t>Shear Stress</t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</si>
  <si>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</si>
  <si>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</t>
    </r>
    <r>
      <rPr>
        <vertAlign val="subscript"/>
        <sz val="11"/>
        <rFont val="Calibri"/>
        <family val="2"/>
        <scheme val="minor"/>
      </rPr>
      <t>bot,steel</t>
    </r>
    <r>
      <rPr>
        <sz val="11"/>
        <rFont val="Calibri"/>
        <family val="2"/>
        <scheme val="minor"/>
      </rPr>
      <t>=</t>
    </r>
  </si>
  <si>
    <t>Sx-x</t>
  </si>
  <si>
    <r>
      <t>S</t>
    </r>
    <r>
      <rPr>
        <vertAlign val="subscript"/>
        <sz val="11"/>
        <rFont val="Calibri"/>
        <family val="2"/>
        <scheme val="minor"/>
      </rPr>
      <t>top,conc</t>
    </r>
    <r>
      <rPr>
        <sz val="1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</si>
  <si>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LL</t>
    </r>
  </si>
  <si>
    <r>
      <t>f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</si>
  <si>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4</t>
    </r>
  </si>
  <si>
    <t>y1=</t>
  </si>
  <si>
    <t>Bottom of Steel</t>
  </si>
  <si>
    <t xml:space="preserve">Flexural Stresses </t>
  </si>
  <si>
    <t>Σ=</t>
  </si>
  <si>
    <t>kip</t>
  </si>
  <si>
    <r>
      <t>V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</si>
  <si>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t>Deck</t>
  </si>
  <si>
    <t>V=</t>
  </si>
  <si>
    <r>
      <t>in</t>
    </r>
    <r>
      <rPr>
        <i/>
        <vertAlign val="superscript"/>
        <sz val="10"/>
        <color theme="1"/>
        <rFont val="Calibri"/>
        <family val="2"/>
        <scheme val="minor"/>
      </rPr>
      <t>4</t>
    </r>
  </si>
  <si>
    <t>in</t>
  </si>
  <si>
    <r>
      <t>in</t>
    </r>
    <r>
      <rPr>
        <i/>
        <vertAlign val="superscript"/>
        <sz val="10"/>
        <color theme="1"/>
        <rFont val="Calibri"/>
        <family val="2"/>
        <scheme val="minor"/>
      </rPr>
      <t>3</t>
    </r>
  </si>
  <si>
    <r>
      <t>in</t>
    </r>
    <r>
      <rPr>
        <i/>
        <vertAlign val="superscript"/>
        <sz val="10"/>
        <color theme="1"/>
        <rFont val="Verdana"/>
        <family val="2"/>
      </rPr>
      <t>2</t>
    </r>
  </si>
  <si>
    <t>kip-ft</t>
  </si>
  <si>
    <r>
      <t>M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</si>
  <si>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r>
      <t>I</t>
    </r>
    <r>
      <rPr>
        <vertAlign val="subscript"/>
        <sz val="11"/>
        <color theme="1"/>
        <rFont val="Calibri"/>
        <family val="2"/>
        <scheme val="minor"/>
      </rPr>
      <t>0</t>
    </r>
  </si>
  <si>
    <r>
      <t>A*d</t>
    </r>
    <r>
      <rPr>
        <vertAlign val="superscript"/>
        <sz val="11"/>
        <color theme="1"/>
        <rFont val="Calibri"/>
        <family val="2"/>
        <scheme val="minor"/>
      </rPr>
      <t>2</t>
    </r>
  </si>
  <si>
    <t>d</t>
  </si>
  <si>
    <t>A*y</t>
  </si>
  <si>
    <t>y</t>
  </si>
  <si>
    <t>A</t>
  </si>
  <si>
    <t>M=</t>
  </si>
  <si>
    <t>3n=</t>
  </si>
  <si>
    <t>Long Term Composite Section</t>
  </si>
  <si>
    <t>DF=</t>
  </si>
  <si>
    <t>tons</t>
  </si>
  <si>
    <t>Rating Tons=</t>
  </si>
  <si>
    <t>RF=</t>
  </si>
  <si>
    <t>ASD Rating Summary</t>
  </si>
  <si>
    <t>Distribution factor</t>
  </si>
  <si>
    <t>n=</t>
  </si>
  <si>
    <t>Short Term Composite Section</t>
  </si>
  <si>
    <t>RF   =</t>
  </si>
  <si>
    <t>Impact</t>
  </si>
  <si>
    <t>Composite Section Properties</t>
  </si>
  <si>
    <t>Operational Rating - Shear</t>
  </si>
  <si>
    <t>4.2.</t>
  </si>
  <si>
    <t>ASD Operational Rating - Shear</t>
  </si>
  <si>
    <t>3.2.</t>
  </si>
  <si>
    <t>Live Load</t>
  </si>
  <si>
    <t>2.2.</t>
  </si>
  <si>
    <r>
      <t>b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>=</t>
    </r>
  </si>
  <si>
    <r>
      <t>V/A</t>
    </r>
    <r>
      <rPr>
        <vertAlign val="subscript"/>
        <sz val="11"/>
        <color theme="1"/>
        <rFont val="Calibri"/>
        <family val="2"/>
        <scheme val="minor"/>
      </rPr>
      <t>w</t>
    </r>
  </si>
  <si>
    <r>
      <t>f</t>
    </r>
    <r>
      <rPr>
        <vertAlign val="subscript"/>
        <sz val="11"/>
        <color theme="1"/>
        <rFont val="Calibri"/>
        <family val="2"/>
        <scheme val="minor"/>
      </rPr>
      <t>DL,shear</t>
    </r>
    <r>
      <rPr>
        <sz val="11"/>
        <color theme="1"/>
        <rFont val="Calibri"/>
        <family val="2"/>
        <scheme val="minor"/>
      </rPr>
      <t>=</t>
    </r>
  </si>
  <si>
    <t>ksi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</si>
  <si>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'=</t>
    </r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</si>
  <si>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</si>
  <si>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DL</t>
    </r>
  </si>
  <si>
    <r>
      <t>f</t>
    </r>
    <r>
      <rPr>
        <vertAlign val="subscript"/>
        <sz val="11"/>
        <color theme="1"/>
        <rFont val="Calibri"/>
        <family val="2"/>
        <scheme val="minor"/>
      </rPr>
      <t>DL,flexure</t>
    </r>
    <r>
      <rPr>
        <sz val="11"/>
        <color theme="1"/>
        <rFont val="Calibri"/>
        <family val="2"/>
        <scheme val="minor"/>
      </rPr>
      <t>=</t>
    </r>
  </si>
  <si>
    <t>Operating Fv=</t>
  </si>
  <si>
    <t>Operating fy=</t>
  </si>
  <si>
    <t>Operational Rating - Flexure</t>
  </si>
  <si>
    <t>4.1.</t>
  </si>
  <si>
    <t>ASD Operational Rating - Flexure</t>
  </si>
  <si>
    <t>3.1.</t>
  </si>
  <si>
    <t>Inventory fv=</t>
  </si>
  <si>
    <t>Inventory fy=</t>
  </si>
  <si>
    <t>fy=</t>
  </si>
  <si>
    <t xml:space="preserve"> Impact should not be included for sidewalk loads</t>
  </si>
  <si>
    <r>
      <t>V</t>
    </r>
    <r>
      <rPr>
        <vertAlign val="subscript"/>
        <sz val="11"/>
        <color theme="1"/>
        <rFont val="Calibri"/>
        <family val="2"/>
        <scheme val="minor"/>
      </rPr>
      <t>DL</t>
    </r>
    <r>
      <rPr>
        <sz val="11"/>
        <color theme="1"/>
        <rFont val="Calibri"/>
        <family val="2"/>
        <scheme val="minor"/>
      </rPr>
      <t>=</t>
    </r>
  </si>
  <si>
    <t>According to AASHTO Standard Specification, 17th Edition 3.8.1.1</t>
  </si>
  <si>
    <t>According to AASHTO Standard Specification, 7th Edition 3.8.1.1</t>
  </si>
  <si>
    <r>
      <t>M</t>
    </r>
    <r>
      <rPr>
        <vertAlign val="subscript"/>
        <sz val="11"/>
        <color theme="1"/>
        <rFont val="Calibri"/>
        <family val="2"/>
        <scheme val="minor"/>
      </rPr>
      <t>DL</t>
    </r>
    <r>
      <rPr>
        <sz val="11"/>
        <color theme="1"/>
        <rFont val="Calibri"/>
        <family val="2"/>
        <scheme val="minor"/>
      </rPr>
      <t>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</si>
  <si>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</si>
  <si>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t>Aw=</t>
  </si>
  <si>
    <t>d=</t>
  </si>
  <si>
    <t>kip/ft</t>
  </si>
  <si>
    <t>ΣW=</t>
  </si>
  <si>
    <t>T=</t>
  </si>
  <si>
    <t>A=</t>
  </si>
  <si>
    <t>For LFD Operating Rating A1=A2=</t>
  </si>
  <si>
    <t>For ASD Rating A1=A2=</t>
  </si>
  <si>
    <t>tw=</t>
  </si>
  <si>
    <t>Sx-x=</t>
  </si>
  <si>
    <t>SIP forms=</t>
  </si>
  <si>
    <t>tf=</t>
  </si>
  <si>
    <t>Ix-x=</t>
  </si>
  <si>
    <r>
      <t>A</t>
    </r>
    <r>
      <rPr>
        <vertAlign val="subscript"/>
        <sz val="11"/>
        <color indexed="8"/>
        <rFont val="Calibri"/>
        <family val="2"/>
        <scheme val="minor"/>
      </rPr>
      <t>2</t>
    </r>
    <r>
      <rPr>
        <sz val="11"/>
        <color indexed="8"/>
        <rFont val="Calibri"/>
        <family val="2"/>
        <scheme val="minor"/>
      </rPr>
      <t>L(1+I)</t>
    </r>
  </si>
  <si>
    <t>SW of Deck =</t>
  </si>
  <si>
    <t>Section</t>
  </si>
  <si>
    <r>
      <t>C-A</t>
    </r>
    <r>
      <rPr>
        <vertAlign val="subscript"/>
        <sz val="11"/>
        <color indexed="8"/>
        <rFont val="Calibri"/>
        <family val="2"/>
        <scheme val="minor"/>
      </rPr>
      <t>1</t>
    </r>
    <r>
      <rPr>
        <sz val="11"/>
        <color indexed="8"/>
        <rFont val="Calibri"/>
        <family val="2"/>
        <scheme val="minor"/>
      </rPr>
      <t>D</t>
    </r>
  </si>
  <si>
    <t>SW of stringer =</t>
  </si>
  <si>
    <t>ft</t>
  </si>
  <si>
    <t>S=</t>
  </si>
  <si>
    <t>L=</t>
  </si>
  <si>
    <t>General Rating Equation</t>
  </si>
  <si>
    <t>Dead Load</t>
  </si>
  <si>
    <t>2.1.</t>
  </si>
  <si>
    <t>Member and Material Properies</t>
  </si>
  <si>
    <t>1.</t>
  </si>
  <si>
    <t>LFD Rating</t>
  </si>
  <si>
    <t>4.</t>
  </si>
  <si>
    <t>ASD Rating</t>
  </si>
  <si>
    <t>3.</t>
  </si>
  <si>
    <t>Loading</t>
  </si>
  <si>
    <t>2.</t>
  </si>
  <si>
    <t>SUBJECT</t>
  </si>
  <si>
    <t>ARG</t>
  </si>
  <si>
    <t>REV.</t>
  </si>
  <si>
    <t xml:space="preserve">CHK. </t>
  </si>
  <si>
    <t xml:space="preserve">MADE </t>
  </si>
  <si>
    <t>PROJECT</t>
  </si>
  <si>
    <t>University Ave, Lowell, Bridge</t>
  </si>
  <si>
    <t>STV Incorporated</t>
  </si>
  <si>
    <t>CLIENT</t>
  </si>
  <si>
    <t>City of Lowell</t>
  </si>
  <si>
    <t>AASHTO</t>
  </si>
  <si>
    <t>**</t>
  </si>
  <si>
    <r>
      <t>M</t>
    </r>
    <r>
      <rPr>
        <i/>
        <vertAlign val="subscript"/>
        <sz val="11"/>
        <color theme="1"/>
        <rFont val="Calibri"/>
        <family val="2"/>
        <scheme val="minor"/>
      </rPr>
      <t>LL</t>
    </r>
    <r>
      <rPr>
        <i/>
        <sz val="11"/>
        <color theme="1"/>
        <rFont val="Calibri"/>
        <family val="2"/>
        <scheme val="minor"/>
      </rPr>
      <t>=M*DF*I</t>
    </r>
  </si>
  <si>
    <r>
      <t>V</t>
    </r>
    <r>
      <rPr>
        <i/>
        <vertAlign val="subscript"/>
        <sz val="11"/>
        <color theme="1"/>
        <rFont val="Calibri"/>
        <family val="2"/>
        <scheme val="minor"/>
      </rPr>
      <t>LL</t>
    </r>
    <r>
      <rPr>
        <i/>
        <sz val="11"/>
        <color theme="1"/>
        <rFont val="Calibri"/>
        <family val="2"/>
        <scheme val="minor"/>
      </rPr>
      <t>=V*DF*I</t>
    </r>
  </si>
  <si>
    <t>Load transferred from Stringer</t>
  </si>
  <si>
    <t>SW of floorbeam =</t>
  </si>
  <si>
    <t>Rating of Floorbeam</t>
  </si>
  <si>
    <t>3.6.2</t>
  </si>
  <si>
    <t xml:space="preserve">AASHTO </t>
  </si>
  <si>
    <t>10.38.3</t>
  </si>
  <si>
    <t>4.6.2.2.2.b</t>
  </si>
  <si>
    <t>Truck Type =</t>
  </si>
  <si>
    <t>Load per Axle =</t>
  </si>
  <si>
    <t>Axle Distances =</t>
  </si>
  <si>
    <t>Lane Load =</t>
  </si>
  <si>
    <t>Truck Live Load =</t>
  </si>
  <si>
    <t>Per stringer/2 = Transferred to Floorbeam</t>
  </si>
  <si>
    <t>psf</t>
  </si>
  <si>
    <r>
      <t>V</t>
    </r>
    <r>
      <rPr>
        <vertAlign val="subscript"/>
        <sz val="11"/>
        <color theme="1"/>
        <rFont val="Calibri"/>
        <family val="2"/>
        <scheme val="minor"/>
      </rPr>
      <t>LL2</t>
    </r>
    <r>
      <rPr>
        <sz val="11"/>
        <color theme="1"/>
        <rFont val="Calibri"/>
        <family val="2"/>
        <scheme val="minor"/>
      </rPr>
      <t xml:space="preserve"> =</t>
    </r>
  </si>
  <si>
    <r>
      <t>R = V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 xml:space="preserve"> =</t>
    </r>
  </si>
  <si>
    <t>As calculated on previous page</t>
  </si>
  <si>
    <t>Figure XX.</t>
  </si>
  <si>
    <t>Floorbeam loads caused by members framing in</t>
  </si>
  <si>
    <r>
      <t>Shear on FB = V</t>
    </r>
    <r>
      <rPr>
        <vertAlign val="subscript"/>
        <sz val="11"/>
        <color theme="1"/>
        <rFont val="Calibri"/>
        <family val="2"/>
        <scheme val="minor"/>
      </rPr>
      <t xml:space="preserve">LL </t>
    </r>
    <r>
      <rPr>
        <sz val="11"/>
        <color theme="1"/>
        <rFont val="Calibri"/>
        <family val="2"/>
        <scheme val="minor"/>
      </rPr>
      <t xml:space="preserve">= </t>
    </r>
  </si>
  <si>
    <r>
      <t>Moment on FB = M</t>
    </r>
    <r>
      <rPr>
        <vertAlign val="subscript"/>
        <sz val="11"/>
        <color theme="1"/>
        <rFont val="Calibri"/>
        <family val="2"/>
        <scheme val="minor"/>
      </rPr>
      <t xml:space="preserve">LL </t>
    </r>
    <r>
      <rPr>
        <sz val="11"/>
        <color theme="1"/>
        <rFont val="Calibri"/>
        <family val="2"/>
        <scheme val="minor"/>
      </rPr>
      <t xml:space="preserve">= </t>
    </r>
  </si>
  <si>
    <t>*Loads are multiplied by 2, since this is an intermediate Floor beam.</t>
  </si>
  <si>
    <t>AISC</t>
  </si>
  <si>
    <t>Live Loading</t>
  </si>
  <si>
    <t>FB1</t>
  </si>
  <si>
    <t>End Top Chord Floor beam rating</t>
  </si>
  <si>
    <t>Interior Top Chord Floor beam rating</t>
  </si>
  <si>
    <t>wf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</si>
</sst>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\ &quot;ksi&quot;"/>
    <numFmt numFmtId="166" formatCode="0.0000"/>
    <numFmt numFmtId="167" formatCode="0.00&quot;*12&quot;"/>
    <numFmt numFmtId="168" formatCode="0.000"/>
    <numFmt numFmtId="169" formatCode="&quot;SHT #&quot;\ 0\ &quot;/4&quot;"/>
  </numFmts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Verdana"/>
      <family val="2"/>
    </font>
    <font>
      <sz val="10"/>
      <color rgb="FFC00000"/>
      <name val="Calibri"/>
      <family val="2"/>
      <scheme val="minor"/>
    </font>
    <font>
      <sz val="12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i/>
      <vertAlign val="superscript"/>
      <sz val="10"/>
      <color theme="1"/>
      <name val="Verdana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1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Border="1"/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 wrapText="1"/>
    </xf>
    <xf numFmtId="0" fontId="5" fillId="0" borderId="0" xfId="0" applyFont="1" applyAlignment="1"/>
    <xf numFmtId="0" fontId="6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Fill="1" applyAlignment="1">
      <alignment vertical="center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1" fillId="0" borderId="0" xfId="0" applyFont="1" applyBorder="1" applyAlignment="1"/>
    <xf numFmtId="2" fontId="5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left"/>
    </xf>
    <xf numFmtId="2" fontId="0" fillId="0" borderId="0" xfId="0" applyNumberFormat="1" applyFont="1"/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166" fontId="0" fillId="0" borderId="0" xfId="0" applyNumberFormat="1" applyFont="1" applyAlignment="1">
      <alignment horizontal="left"/>
    </xf>
    <xf numFmtId="0" fontId="0" fillId="0" borderId="0" xfId="0" applyFont="1" applyAlignment="1">
      <alignment horizontal="right"/>
    </xf>
    <xf numFmtId="167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left" vertical="center"/>
    </xf>
    <xf numFmtId="2" fontId="0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5" fillId="0" borderId="3" xfId="0" applyFont="1" applyBorder="1" applyAlignment="1"/>
    <xf numFmtId="0" fontId="16" fillId="0" borderId="0" xfId="0" applyFont="1" applyAlignment="1">
      <alignment horizontal="left"/>
    </xf>
    <xf numFmtId="2" fontId="0" fillId="2" borderId="0" xfId="0" applyNumberFormat="1" applyFont="1" applyFill="1" applyAlignment="1">
      <alignment horizontal="center" vertical="center"/>
    </xf>
    <xf numFmtId="164" fontId="13" fillId="0" borderId="3" xfId="0" applyNumberFormat="1" applyFont="1" applyBorder="1" applyAlignment="1">
      <alignment horizontal="center"/>
    </xf>
    <xf numFmtId="168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/>
    <xf numFmtId="0" fontId="6" fillId="0" borderId="3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20" fillId="0" borderId="0" xfId="0" applyFont="1"/>
    <xf numFmtId="12" fontId="20" fillId="0" borderId="0" xfId="0" applyNumberFormat="1" applyFont="1" applyAlignment="1">
      <alignment horizontal="right"/>
    </xf>
    <xf numFmtId="0" fontId="20" fillId="0" borderId="0" xfId="0" applyFont="1" applyAlignment="1"/>
    <xf numFmtId="168" fontId="0" fillId="2" borderId="0" xfId="0" applyNumberFormat="1" applyFont="1" applyFill="1" applyAlignment="1">
      <alignment horizontal="center" vertical="center"/>
    </xf>
    <xf numFmtId="2" fontId="0" fillId="0" borderId="0" xfId="0" applyNumberFormat="1" applyBorder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/>
    <xf numFmtId="168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2" fontId="0" fillId="0" borderId="0" xfId="0" applyNumberFormat="1" applyFont="1" applyBorder="1" applyAlignment="1"/>
    <xf numFmtId="0" fontId="13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8" fontId="13" fillId="0" borderId="3" xfId="0" applyNumberFormat="1" applyFont="1" applyBorder="1" applyAlignment="1">
      <alignment horizontal="center" vertical="center"/>
    </xf>
    <xf numFmtId="0" fontId="21" fillId="0" borderId="0" xfId="0" applyFont="1" applyAlignment="1"/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168" fontId="0" fillId="0" borderId="0" xfId="0" applyNumberFormat="1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right" vertical="center"/>
    </xf>
    <xf numFmtId="2" fontId="13" fillId="0" borderId="0" xfId="0" applyNumberFormat="1" applyFont="1" applyAlignment="1"/>
    <xf numFmtId="0" fontId="2" fillId="0" borderId="0" xfId="0" applyFont="1" applyAlignment="1">
      <alignment horizontal="right"/>
    </xf>
    <xf numFmtId="165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168" fontId="0" fillId="0" borderId="0" xfId="0" applyNumberFormat="1" applyFont="1" applyFill="1" applyAlignment="1">
      <alignment vertical="center"/>
    </xf>
    <xf numFmtId="2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2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 vertical="center" wrapText="1"/>
    </xf>
    <xf numFmtId="2" fontId="13" fillId="0" borderId="0" xfId="0" applyNumberFormat="1" applyFont="1" applyBorder="1" applyAlignment="1"/>
    <xf numFmtId="0" fontId="5" fillId="0" borderId="0" xfId="0" applyFont="1" applyAlignment="1">
      <alignment horizontal="center"/>
    </xf>
    <xf numFmtId="0" fontId="24" fillId="0" borderId="0" xfId="0" applyFont="1" applyAlignment="1"/>
    <xf numFmtId="49" fontId="24" fillId="0" borderId="0" xfId="0" applyNumberFormat="1" applyFont="1" applyAlignment="1">
      <alignment horizontal="right"/>
    </xf>
    <xf numFmtId="49" fontId="24" fillId="0" borderId="0" xfId="0" applyNumberFormat="1" applyFont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25" fillId="0" borderId="3" xfId="0" applyFont="1" applyBorder="1" applyAlignment="1">
      <alignment horizontal="center"/>
    </xf>
    <xf numFmtId="14" fontId="25" fillId="0" borderId="3" xfId="0" applyNumberFormat="1" applyFont="1" applyBorder="1" applyAlignment="1">
      <alignment horizontal="center"/>
    </xf>
    <xf numFmtId="0" fontId="25" fillId="0" borderId="3" xfId="0" applyFont="1" applyBorder="1"/>
    <xf numFmtId="0" fontId="25" fillId="0" borderId="3" xfId="0" applyFont="1" applyBorder="1" applyAlignment="1">
      <alignment horizontal="center" vertical="center"/>
    </xf>
    <xf numFmtId="14" fontId="25" fillId="0" borderId="3" xfId="0" applyNumberFormat="1" applyFont="1" applyBorder="1" applyAlignment="1">
      <alignment horizontal="center" vertical="center"/>
    </xf>
    <xf numFmtId="169" fontId="25" fillId="0" borderId="3" xfId="0" applyNumberFormat="1" applyFont="1" applyBorder="1" applyAlignment="1">
      <alignment horizontal="center" vertical="center"/>
    </xf>
    <xf numFmtId="0" fontId="26" fillId="3" borderId="4" xfId="0" applyFont="1" applyFill="1" applyBorder="1" applyAlignment="1">
      <alignment horizontal="right"/>
    </xf>
    <xf numFmtId="0" fontId="26" fillId="3" borderId="9" xfId="0" applyFont="1" applyFill="1" applyBorder="1" applyAlignment="1"/>
    <xf numFmtId="0" fontId="26" fillId="3" borderId="10" xfId="0" applyFont="1" applyFill="1" applyBorder="1" applyAlignment="1"/>
    <xf numFmtId="0" fontId="26" fillId="3" borderId="4" xfId="0" applyFont="1" applyFill="1" applyBorder="1" applyAlignment="1"/>
    <xf numFmtId="0" fontId="13" fillId="0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16" fillId="0" borderId="0" xfId="0" applyFont="1"/>
    <xf numFmtId="0" fontId="13" fillId="0" borderId="0" xfId="0" applyFont="1" applyFill="1" applyBorder="1" applyAlignment="1">
      <alignment horizontal="right"/>
    </xf>
    <xf numFmtId="0" fontId="27" fillId="0" borderId="0" xfId="0" applyFont="1"/>
    <xf numFmtId="0" fontId="2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0" xfId="0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2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5" fillId="0" borderId="8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5" fillId="0" borderId="7" xfId="0" applyFont="1" applyBorder="1" applyAlignment="1">
      <alignment vertical="top" wrapText="1"/>
    </xf>
    <xf numFmtId="0" fontId="25" fillId="0" borderId="6" xfId="0" applyFont="1" applyBorder="1" applyAlignment="1">
      <alignment vertical="top" wrapText="1"/>
    </xf>
    <xf numFmtId="0" fontId="25" fillId="0" borderId="2" xfId="0" applyFont="1" applyBorder="1" applyAlignment="1">
      <alignment vertical="top" wrapText="1"/>
    </xf>
    <xf numFmtId="0" fontId="25" fillId="0" borderId="5" xfId="0" applyFont="1" applyBorder="1" applyAlignment="1">
      <alignment vertical="top" wrapText="1"/>
    </xf>
    <xf numFmtId="0" fontId="25" fillId="0" borderId="10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5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50</xdr:row>
      <xdr:rowOff>41275</xdr:rowOff>
    </xdr:from>
    <xdr:ext cx="1216273" cy="331073"/>
    <xdr:pic>
      <xdr:nvPicPr>
        <xdr:cNvPr id="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139555"/>
          <a:ext cx="1216273" cy="331073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46567</xdr:colOff>
      <xdr:row>49</xdr:row>
      <xdr:rowOff>98425</xdr:rowOff>
    </xdr:from>
    <xdr:ext cx="1235323" cy="632075"/>
    <xdr:pic>
      <xdr:nvPicPr>
        <xdr:cNvPr id="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06047" y="9013825"/>
          <a:ext cx="1235323" cy="632075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oneCellAnchor>
  <xdr:oneCellAnchor>
    <xdr:from>
      <xdr:col>2</xdr:col>
      <xdr:colOff>629708</xdr:colOff>
      <xdr:row>49</xdr:row>
      <xdr:rowOff>92076</xdr:rowOff>
    </xdr:from>
    <xdr:ext cx="1301625" cy="471208"/>
    <xdr:pic>
      <xdr:nvPicPr>
        <xdr:cNvPr id="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01308" y="9007476"/>
          <a:ext cx="1301625" cy="471208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267563</xdr:colOff>
      <xdr:row>49</xdr:row>
      <xdr:rowOff>8615</xdr:rowOff>
    </xdr:from>
    <xdr:ext cx="3159783" cy="2295570"/>
    <xdr:pic>
      <xdr:nvPicPr>
        <xdr:cNvPr id="5" name="Picture 4" descr="Sidewalk Bracket Section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70243" y="8924015"/>
          <a:ext cx="3159783" cy="2295570"/>
        </a:xfrm>
        <a:prstGeom prst="rect">
          <a:avLst/>
        </a:prstGeom>
      </xdr:spPr>
    </xdr:pic>
    <xdr:clientData/>
  </xdr:oneCellAnchor>
  <xdr:oneCellAnchor>
    <xdr:from>
      <xdr:col>9</xdr:col>
      <xdr:colOff>261097</xdr:colOff>
      <xdr:row>61</xdr:row>
      <xdr:rowOff>198962</xdr:rowOff>
    </xdr:from>
    <xdr:ext cx="5695949" cy="2804136"/>
    <xdr:pic>
      <xdr:nvPicPr>
        <xdr:cNvPr id="6" name="Picture 5" descr="sidewalk brackets-Loading.jp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 t="16570" b="14971"/>
        <a:stretch>
          <a:fillRect/>
        </a:stretch>
      </xdr:blipFill>
      <xdr:spPr>
        <a:xfrm>
          <a:off x="6463777" y="11438462"/>
          <a:ext cx="5695949" cy="2804136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129540</xdr:colOff>
          <xdr:row>49</xdr:row>
          <xdr:rowOff>60960</xdr:rowOff>
        </xdr:from>
        <xdr:to>
          <xdr:col>8</xdr:col>
          <xdr:colOff>312420</xdr:colOff>
          <xdr:row>51</xdr:row>
          <xdr:rowOff>45720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50</xdr:row>
      <xdr:rowOff>41275</xdr:rowOff>
    </xdr:from>
    <xdr:ext cx="1216273" cy="331073"/>
    <xdr:pic>
      <xdr:nvPicPr>
        <xdr:cNvPr id="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139555"/>
          <a:ext cx="1216273" cy="331073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oneCellAnchor>
  <xdr:oneCellAnchor>
    <xdr:from>
      <xdr:col>5</xdr:col>
      <xdr:colOff>46567</xdr:colOff>
      <xdr:row>49</xdr:row>
      <xdr:rowOff>98425</xdr:rowOff>
    </xdr:from>
    <xdr:ext cx="1235323" cy="632075"/>
    <xdr:pic>
      <xdr:nvPicPr>
        <xdr:cNvPr id="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06047" y="9013825"/>
          <a:ext cx="1235323" cy="632075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oneCellAnchor>
  <xdr:oneCellAnchor>
    <xdr:from>
      <xdr:col>2</xdr:col>
      <xdr:colOff>629708</xdr:colOff>
      <xdr:row>49</xdr:row>
      <xdr:rowOff>92076</xdr:rowOff>
    </xdr:from>
    <xdr:ext cx="1301625" cy="471208"/>
    <xdr:pic>
      <xdr:nvPicPr>
        <xdr:cNvPr id="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01308" y="9007476"/>
          <a:ext cx="1301625" cy="471208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oneCellAnchor>
  <xdr:oneCellAnchor>
    <xdr:from>
      <xdr:col>9</xdr:col>
      <xdr:colOff>267563</xdr:colOff>
      <xdr:row>49</xdr:row>
      <xdr:rowOff>8615</xdr:rowOff>
    </xdr:from>
    <xdr:ext cx="3159783" cy="2295570"/>
    <xdr:pic>
      <xdr:nvPicPr>
        <xdr:cNvPr id="5" name="Picture 4" descr="Sidewalk Bracket Section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70243" y="8924015"/>
          <a:ext cx="3159783" cy="2295570"/>
        </a:xfrm>
        <a:prstGeom prst="rect">
          <a:avLst/>
        </a:prstGeom>
      </xdr:spPr>
    </xdr:pic>
    <xdr:clientData/>
  </xdr:oneCellAnchor>
  <xdr:oneCellAnchor>
    <xdr:from>
      <xdr:col>9</xdr:col>
      <xdr:colOff>261097</xdr:colOff>
      <xdr:row>61</xdr:row>
      <xdr:rowOff>198962</xdr:rowOff>
    </xdr:from>
    <xdr:ext cx="5695949" cy="2804136"/>
    <xdr:pic>
      <xdr:nvPicPr>
        <xdr:cNvPr id="6" name="Picture 5" descr="sidewalk brackets-Loading.jp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 t="16570" b="14971"/>
        <a:stretch>
          <a:fillRect/>
        </a:stretch>
      </xdr:blipFill>
      <xdr:spPr>
        <a:xfrm>
          <a:off x="6463777" y="11438462"/>
          <a:ext cx="5695949" cy="2804136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129540</xdr:colOff>
          <xdr:row>49</xdr:row>
          <xdr:rowOff>60960</xdr:rowOff>
        </xdr:from>
        <xdr:to>
          <xdr:col>8</xdr:col>
          <xdr:colOff>312420</xdr:colOff>
          <xdr:row>51</xdr:row>
          <xdr:rowOff>45720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ouveiar/AppData/Roaming/Microsoft/Excel/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ouveiar/Documents/STV/4014312%20Lowell/L-15-095%20Bridge%20Rating/Excel/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dge Information"/>
      <sheetName val="ASD Summary"/>
      <sheetName val="LRF Summary"/>
      <sheetName val="Description"/>
      <sheetName val="Assumptions"/>
      <sheetName val="Members"/>
      <sheetName val="Database"/>
      <sheetName val="Sheet3"/>
    </sheetNames>
    <sheetDataSet>
      <sheetData sheetId="0"/>
      <sheetData sheetId="1"/>
      <sheetData sheetId="2"/>
      <sheetData sheetId="3"/>
      <sheetData sheetId="4"/>
      <sheetData sheetId="5">
        <row r="7">
          <cell r="B7" t="str">
            <v>Member Connection</v>
          </cell>
          <cell r="C7" t="str">
            <v>Deck</v>
          </cell>
          <cell r="D7" t="str">
            <v>FS1</v>
          </cell>
          <cell r="E7" t="str">
            <v>S1</v>
          </cell>
          <cell r="F7" t="str">
            <v>NFB3</v>
          </cell>
          <cell r="G7" t="str">
            <v>NFB0</v>
          </cell>
          <cell r="H7" t="str">
            <v>BR1</v>
          </cell>
          <cell r="I7" t="str">
            <v>TLB</v>
          </cell>
          <cell r="J7" t="str">
            <v>BLB</v>
          </cell>
          <cell r="K7" t="str">
            <v>BFB</v>
          </cell>
          <cell r="L7" t="str">
            <v>EFB</v>
          </cell>
          <cell r="M7" t="str">
            <v>JB</v>
          </cell>
          <cell r="N7" t="str">
            <v>SS1</v>
          </cell>
        </row>
        <row r="8">
          <cell r="B8" t="str">
            <v>Yield Strength</v>
          </cell>
          <cell r="C8">
            <v>5</v>
          </cell>
          <cell r="D8">
            <v>50</v>
          </cell>
          <cell r="E8">
            <v>50</v>
          </cell>
          <cell r="F8">
            <v>50</v>
          </cell>
          <cell r="G8">
            <v>50</v>
          </cell>
          <cell r="H8">
            <v>50</v>
          </cell>
          <cell r="N8">
            <v>50</v>
          </cell>
        </row>
        <row r="9">
          <cell r="B9" t="str">
            <v>Mod. Elasticity</v>
          </cell>
        </row>
        <row r="10">
          <cell r="B10" t="str">
            <v>Poisson's</v>
          </cell>
        </row>
        <row r="11">
          <cell r="B11" t="str">
            <v>Damping Fact</v>
          </cell>
        </row>
        <row r="12">
          <cell r="B12" t="str">
            <v>Fracture Critical</v>
          </cell>
        </row>
        <row r="13">
          <cell r="B13" t="str">
            <v>Section</v>
          </cell>
          <cell r="C13" t="str">
            <v>Rectangular</v>
          </cell>
          <cell r="D13" t="str">
            <v>Rectangular</v>
          </cell>
          <cell r="E13" t="str">
            <v>W24X55</v>
          </cell>
          <cell r="F13" t="str">
            <v>W21X62</v>
          </cell>
          <cell r="G13" t="str">
            <v>W21X62</v>
          </cell>
          <cell r="H13" t="str">
            <v>W30X90</v>
          </cell>
          <cell r="I13" t="str">
            <v>WT8x33.5</v>
          </cell>
          <cell r="J13" t="str">
            <v>W30x116</v>
          </cell>
          <cell r="K13" t="str">
            <v>W27x84</v>
          </cell>
          <cell r="L13" t="str">
            <v>W27x178</v>
          </cell>
          <cell r="N13" t="str">
            <v>W12X40</v>
          </cell>
        </row>
        <row r="14">
          <cell r="B14" t="str">
            <v>Length</v>
          </cell>
          <cell r="D14">
            <v>21.666666666666668</v>
          </cell>
          <cell r="E14">
            <v>21.666666666666668</v>
          </cell>
          <cell r="F14">
            <v>21</v>
          </cell>
          <cell r="G14">
            <v>21</v>
          </cell>
          <cell r="H14">
            <v>6.489583333333333</v>
          </cell>
          <cell r="N14">
            <v>23</v>
          </cell>
        </row>
        <row r="15">
          <cell r="B15" t="str">
            <v>Spacing</v>
          </cell>
          <cell r="D15">
            <v>7.333333333333333</v>
          </cell>
          <cell r="E15">
            <v>6.833333333333333</v>
          </cell>
          <cell r="F15">
            <v>21.666666666666668</v>
          </cell>
          <cell r="G15">
            <v>21.666666666666668</v>
          </cell>
          <cell r="H15">
            <v>21.666666666666668</v>
          </cell>
          <cell r="N15">
            <v>4.4169999999999998</v>
          </cell>
        </row>
        <row r="16">
          <cell r="B16" t="str">
            <v>Weight</v>
          </cell>
          <cell r="C16">
            <v>116.16000000000001</v>
          </cell>
          <cell r="D16">
            <v>7.4861111111111101E-2</v>
          </cell>
          <cell r="E16">
            <v>55</v>
          </cell>
          <cell r="F16">
            <v>62</v>
          </cell>
          <cell r="G16">
            <v>62</v>
          </cell>
          <cell r="H16">
            <v>90</v>
          </cell>
          <cell r="N16">
            <v>40</v>
          </cell>
        </row>
        <row r="17">
          <cell r="B17" t="str">
            <v>Area</v>
          </cell>
          <cell r="C17">
            <v>704</v>
          </cell>
          <cell r="D17">
            <v>22</v>
          </cell>
          <cell r="E17">
            <v>16.2</v>
          </cell>
          <cell r="F17">
            <v>18.3</v>
          </cell>
          <cell r="G17">
            <v>18.3</v>
          </cell>
          <cell r="H17">
            <v>26.3</v>
          </cell>
          <cell r="N17">
            <v>11.7</v>
          </cell>
        </row>
        <row r="18">
          <cell r="B18" t="str">
            <v>Depth, d</v>
          </cell>
          <cell r="C18">
            <v>8</v>
          </cell>
          <cell r="D18">
            <v>32</v>
          </cell>
          <cell r="E18">
            <v>23.6</v>
          </cell>
          <cell r="F18">
            <v>21</v>
          </cell>
          <cell r="G18">
            <v>21</v>
          </cell>
          <cell r="H18">
            <v>29.5</v>
          </cell>
          <cell r="N18">
            <v>11.9</v>
          </cell>
        </row>
        <row r="19">
          <cell r="B19" t="str">
            <v>Width, b</v>
          </cell>
          <cell r="C19">
            <v>88</v>
          </cell>
          <cell r="D19">
            <v>8</v>
          </cell>
          <cell r="E19">
            <v>7.01</v>
          </cell>
          <cell r="F19">
            <v>8.24</v>
          </cell>
          <cell r="G19">
            <v>8.24</v>
          </cell>
          <cell r="H19">
            <v>10.4</v>
          </cell>
          <cell r="N19">
            <v>8.01</v>
          </cell>
        </row>
        <row r="20">
          <cell r="B20" t="str">
            <v>Flange Thickness, tf</v>
          </cell>
          <cell r="D20">
            <v>0.625</v>
          </cell>
          <cell r="E20">
            <v>0.505</v>
          </cell>
          <cell r="F20">
            <v>0.61499999999999999</v>
          </cell>
          <cell r="G20">
            <v>0.61499999999999999</v>
          </cell>
          <cell r="H20">
            <v>0.61</v>
          </cell>
          <cell r="N20">
            <v>0.51500000000000001</v>
          </cell>
        </row>
        <row r="21">
          <cell r="B21" t="str">
            <v>Web Thickness, tw</v>
          </cell>
          <cell r="D21">
            <v>0.375</v>
          </cell>
          <cell r="E21">
            <v>0.39500000000000002</v>
          </cell>
          <cell r="F21">
            <v>0.4</v>
          </cell>
          <cell r="G21">
            <v>0.4</v>
          </cell>
          <cell r="H21">
            <v>0.47</v>
          </cell>
          <cell r="N21">
            <v>0.29499999999999998</v>
          </cell>
        </row>
        <row r="22">
          <cell r="B22" t="str">
            <v>Web Height, T</v>
          </cell>
          <cell r="D22">
            <v>30.75</v>
          </cell>
          <cell r="E22">
            <v>20.75</v>
          </cell>
          <cell r="F22">
            <v>18.375</v>
          </cell>
          <cell r="G22">
            <v>18.375</v>
          </cell>
          <cell r="H22">
            <v>26.5</v>
          </cell>
          <cell r="N22">
            <v>9.25</v>
          </cell>
        </row>
        <row r="23">
          <cell r="B23" t="str">
            <v>Ix</v>
          </cell>
          <cell r="D23">
            <v>3486</v>
          </cell>
          <cell r="E23">
            <v>1350</v>
          </cell>
          <cell r="F23">
            <v>1330</v>
          </cell>
          <cell r="G23">
            <v>1330</v>
          </cell>
          <cell r="H23">
            <v>3610</v>
          </cell>
          <cell r="N23">
            <v>307</v>
          </cell>
        </row>
        <row r="24">
          <cell r="B24" t="str">
            <v>Sx</v>
          </cell>
          <cell r="D24">
            <v>217.875</v>
          </cell>
          <cell r="E24">
            <v>114</v>
          </cell>
          <cell r="F24">
            <v>127</v>
          </cell>
          <cell r="G24">
            <v>127</v>
          </cell>
          <cell r="H24">
            <v>245</v>
          </cell>
          <cell r="N24">
            <v>51.5</v>
          </cell>
        </row>
        <row r="25">
          <cell r="B25" t="str">
            <v>rx</v>
          </cell>
          <cell r="D25">
            <v>12.587872951954411</v>
          </cell>
          <cell r="E25">
            <v>9.11</v>
          </cell>
          <cell r="F25">
            <v>8.5399999999999991</v>
          </cell>
          <cell r="G25">
            <v>8.5399999999999991</v>
          </cell>
          <cell r="H25">
            <v>11.7</v>
          </cell>
          <cell r="N25">
            <v>5.13</v>
          </cell>
        </row>
        <row r="26">
          <cell r="B26" t="str">
            <v>ybar</v>
          </cell>
          <cell r="D26">
            <v>16</v>
          </cell>
          <cell r="E26" t="str">
            <v>–</v>
          </cell>
          <cell r="F26" t="str">
            <v>–</v>
          </cell>
          <cell r="G26" t="str">
            <v>–</v>
          </cell>
          <cell r="H26" t="str">
            <v>–</v>
          </cell>
          <cell r="N26" t="str">
            <v>–</v>
          </cell>
        </row>
        <row r="27">
          <cell r="B27" t="str">
            <v>Iy</v>
          </cell>
          <cell r="D27">
            <v>149.13</v>
          </cell>
          <cell r="E27">
            <v>29.1</v>
          </cell>
          <cell r="F27">
            <v>57.5</v>
          </cell>
          <cell r="G27">
            <v>57.5</v>
          </cell>
          <cell r="H27">
            <v>115</v>
          </cell>
          <cell r="N27">
            <v>44.1</v>
          </cell>
        </row>
        <row r="28">
          <cell r="B28" t="str">
            <v>Sy</v>
          </cell>
          <cell r="D28">
            <v>71.354066985645929</v>
          </cell>
          <cell r="E28">
            <v>8.3000000000000007</v>
          </cell>
          <cell r="F28">
            <v>14</v>
          </cell>
          <cell r="G28">
            <v>14</v>
          </cell>
          <cell r="H28">
            <v>22.1</v>
          </cell>
          <cell r="N28">
            <v>11</v>
          </cell>
        </row>
        <row r="29">
          <cell r="B29" t="str">
            <v>ry</v>
          </cell>
          <cell r="D29">
            <v>2.6035814493954983</v>
          </cell>
          <cell r="E29">
            <v>1.34</v>
          </cell>
          <cell r="F29">
            <v>1.77</v>
          </cell>
          <cell r="G29">
            <v>1.77</v>
          </cell>
          <cell r="H29">
            <v>2.09</v>
          </cell>
          <cell r="N29">
            <v>1.94</v>
          </cell>
        </row>
        <row r="30">
          <cell r="B30" t="str">
            <v>xbar</v>
          </cell>
          <cell r="D30">
            <v>2.09</v>
          </cell>
          <cell r="E30" t="str">
            <v>–</v>
          </cell>
          <cell r="F30" t="str">
            <v>–</v>
          </cell>
          <cell r="G30" t="str">
            <v>–</v>
          </cell>
          <cell r="H30" t="str">
            <v>–</v>
          </cell>
          <cell r="N30" t="str">
            <v>–</v>
          </cell>
        </row>
        <row r="31">
          <cell r="B31" t="str">
            <v>J</v>
          </cell>
          <cell r="D31">
            <v>1.3020833333333333</v>
          </cell>
          <cell r="E31">
            <v>1.18</v>
          </cell>
          <cell r="F31">
            <v>1.83</v>
          </cell>
          <cell r="G31">
            <v>1.83</v>
          </cell>
          <cell r="H31">
            <v>2.84</v>
          </cell>
          <cell r="N31">
            <v>0.90600000000000003</v>
          </cell>
        </row>
        <row r="32">
          <cell r="B32" t="str">
            <v>Connection</v>
          </cell>
        </row>
        <row r="33">
          <cell r="B33" t="str">
            <v>Bolt/Weld Size</v>
          </cell>
        </row>
        <row r="34">
          <cell r="B34" t="str">
            <v>Depth/Length</v>
          </cell>
          <cell r="D34">
            <v>10.25</v>
          </cell>
        </row>
        <row r="35">
          <cell r="B35" t="str">
            <v>Number of</v>
          </cell>
        </row>
        <row r="36">
          <cell r="B36" t="str">
            <v>Addt'l Members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dge Information"/>
      <sheetName val="ASD Summary"/>
      <sheetName val="LRF Summary"/>
      <sheetName val="Description"/>
      <sheetName val="Assumptions"/>
      <sheetName val="Members"/>
      <sheetName val="Truss Info"/>
      <sheetName val="Database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B7" t="str">
            <v>Member Connection</v>
          </cell>
          <cell r="C7" t="str">
            <v>Deck</v>
          </cell>
          <cell r="D7" t="str">
            <v>FS1</v>
          </cell>
          <cell r="E7" t="str">
            <v>S1</v>
          </cell>
          <cell r="F7" t="str">
            <v>NFB3</v>
          </cell>
          <cell r="G7" t="str">
            <v>NFB0</v>
          </cell>
          <cell r="H7" t="str">
            <v>BR1</v>
          </cell>
          <cell r="I7" t="str">
            <v>SS1</v>
          </cell>
        </row>
        <row r="8">
          <cell r="B8" t="str">
            <v>Yield Strength</v>
          </cell>
          <cell r="C8">
            <v>5</v>
          </cell>
          <cell r="D8">
            <v>50</v>
          </cell>
          <cell r="E8">
            <v>50</v>
          </cell>
          <cell r="F8">
            <v>50</v>
          </cell>
          <cell r="G8">
            <v>50</v>
          </cell>
          <cell r="H8">
            <v>50</v>
          </cell>
          <cell r="I8">
            <v>50</v>
          </cell>
        </row>
        <row r="9">
          <cell r="B9" t="str">
            <v>Mod. Elasticity</v>
          </cell>
        </row>
        <row r="10">
          <cell r="B10" t="str">
            <v>Poisson's</v>
          </cell>
        </row>
        <row r="11">
          <cell r="B11" t="str">
            <v>Damping Fact</v>
          </cell>
        </row>
        <row r="12">
          <cell r="B12" t="str">
            <v>Fracture Critical</v>
          </cell>
        </row>
        <row r="13">
          <cell r="B13" t="str">
            <v>Section</v>
          </cell>
          <cell r="C13" t="str">
            <v>Rectangular</v>
          </cell>
          <cell r="D13" t="str">
            <v>Rectangular</v>
          </cell>
          <cell r="E13" t="str">
            <v>W24X55</v>
          </cell>
          <cell r="F13" t="str">
            <v>W21X62</v>
          </cell>
          <cell r="G13" t="str">
            <v>W21X62</v>
          </cell>
          <cell r="H13" t="str">
            <v>W30X90</v>
          </cell>
          <cell r="I13" t="str">
            <v>W12X40</v>
          </cell>
        </row>
        <row r="14">
          <cell r="B14" t="str">
            <v>Length</v>
          </cell>
          <cell r="D14">
            <v>21.666666666666668</v>
          </cell>
          <cell r="E14">
            <v>21.666666666666668</v>
          </cell>
          <cell r="F14">
            <v>21</v>
          </cell>
          <cell r="G14">
            <v>21</v>
          </cell>
          <cell r="H14">
            <v>3.1666666666666665</v>
          </cell>
          <cell r="I14">
            <v>23</v>
          </cell>
        </row>
        <row r="15">
          <cell r="B15" t="str">
            <v>Spacing</v>
          </cell>
          <cell r="D15">
            <v>7.333333333333333</v>
          </cell>
          <cell r="E15">
            <v>6.833333333333333</v>
          </cell>
          <cell r="F15">
            <v>21.666666666666668</v>
          </cell>
          <cell r="G15">
            <v>21.666666666666668</v>
          </cell>
          <cell r="H15">
            <v>21.666666666666668</v>
          </cell>
          <cell r="I15">
            <v>4.4169999999999998</v>
          </cell>
        </row>
        <row r="16">
          <cell r="B16" t="str">
            <v>Weight</v>
          </cell>
          <cell r="C16">
            <v>152.46</v>
          </cell>
          <cell r="D16">
            <v>10.78</v>
          </cell>
          <cell r="E16">
            <v>55</v>
          </cell>
          <cell r="F16">
            <v>62</v>
          </cell>
          <cell r="G16">
            <v>62</v>
          </cell>
          <cell r="H16">
            <v>90</v>
          </cell>
          <cell r="I16">
            <v>40</v>
          </cell>
        </row>
        <row r="17">
          <cell r="B17" t="str">
            <v>Area</v>
          </cell>
          <cell r="C17">
            <v>924</v>
          </cell>
          <cell r="D17">
            <v>22</v>
          </cell>
          <cell r="E17">
            <v>16.2</v>
          </cell>
          <cell r="F17">
            <v>18.3</v>
          </cell>
          <cell r="G17">
            <v>18.3</v>
          </cell>
          <cell r="H17">
            <v>26.3</v>
          </cell>
          <cell r="I17">
            <v>11.7</v>
          </cell>
        </row>
        <row r="18">
          <cell r="B18" t="str">
            <v>Depth, d</v>
          </cell>
          <cell r="C18">
            <v>10.5</v>
          </cell>
          <cell r="D18">
            <v>32</v>
          </cell>
          <cell r="E18">
            <v>23.6</v>
          </cell>
          <cell r="F18">
            <v>21</v>
          </cell>
          <cell r="G18">
            <v>21</v>
          </cell>
          <cell r="H18">
            <v>29.5</v>
          </cell>
          <cell r="I18">
            <v>11.9</v>
          </cell>
        </row>
        <row r="19">
          <cell r="B19" t="str">
            <v>Width, b</v>
          </cell>
          <cell r="C19">
            <v>88</v>
          </cell>
          <cell r="D19">
            <v>8</v>
          </cell>
          <cell r="E19">
            <v>7.01</v>
          </cell>
          <cell r="F19">
            <v>8.24</v>
          </cell>
          <cell r="G19">
            <v>8.24</v>
          </cell>
          <cell r="H19">
            <v>10.4</v>
          </cell>
          <cell r="I19">
            <v>8.01</v>
          </cell>
        </row>
        <row r="20">
          <cell r="B20" t="str">
            <v>Flange Thickness, tf</v>
          </cell>
          <cell r="D20">
            <v>0.625</v>
          </cell>
          <cell r="E20">
            <v>0.505</v>
          </cell>
          <cell r="F20">
            <v>0.61499999999999999</v>
          </cell>
          <cell r="G20">
            <v>0.61499999999999999</v>
          </cell>
          <cell r="H20">
            <v>0.61</v>
          </cell>
          <cell r="I20">
            <v>0.51500000000000001</v>
          </cell>
        </row>
        <row r="21">
          <cell r="B21" t="str">
            <v>Web Thickness, tw</v>
          </cell>
          <cell r="D21">
            <v>0.375</v>
          </cell>
          <cell r="E21">
            <v>0.39500000000000002</v>
          </cell>
          <cell r="F21">
            <v>0.4</v>
          </cell>
          <cell r="G21">
            <v>0.4</v>
          </cell>
          <cell r="H21">
            <v>0.47</v>
          </cell>
          <cell r="I21">
            <v>0.29499999999999998</v>
          </cell>
        </row>
        <row r="22">
          <cell r="B22" t="str">
            <v>Web Height, T</v>
          </cell>
          <cell r="I22">
            <v>9.25</v>
          </cell>
        </row>
        <row r="23">
          <cell r="B23" t="str">
            <v>Ix</v>
          </cell>
          <cell r="D23">
            <v>3584.3255208333335</v>
          </cell>
          <cell r="E23">
            <v>1350</v>
          </cell>
          <cell r="F23">
            <v>1330</v>
          </cell>
          <cell r="G23">
            <v>1330</v>
          </cell>
          <cell r="H23">
            <v>3610</v>
          </cell>
          <cell r="I23">
            <v>307</v>
          </cell>
        </row>
        <row r="24">
          <cell r="B24" t="str">
            <v>Sx</v>
          </cell>
          <cell r="D24">
            <v>224.02034505208334</v>
          </cell>
          <cell r="E24">
            <v>114</v>
          </cell>
          <cell r="F24">
            <v>127</v>
          </cell>
          <cell r="G24">
            <v>127</v>
          </cell>
          <cell r="H24">
            <v>245</v>
          </cell>
          <cell r="I24">
            <v>51.5</v>
          </cell>
        </row>
        <row r="25">
          <cell r="B25" t="str">
            <v>rx</v>
          </cell>
          <cell r="E25">
            <v>9.11</v>
          </cell>
          <cell r="F25">
            <v>8.5399999999999991</v>
          </cell>
          <cell r="G25">
            <v>8.5399999999999991</v>
          </cell>
          <cell r="H25">
            <v>11.7</v>
          </cell>
          <cell r="I25">
            <v>5.13</v>
          </cell>
        </row>
        <row r="26">
          <cell r="B26" t="str">
            <v>ybar</v>
          </cell>
          <cell r="E26" t="str">
            <v>–</v>
          </cell>
          <cell r="F26" t="str">
            <v>–</v>
          </cell>
          <cell r="G26" t="str">
            <v>–</v>
          </cell>
          <cell r="H26" t="str">
            <v>–</v>
          </cell>
          <cell r="I26" t="str">
            <v>–</v>
          </cell>
        </row>
        <row r="27">
          <cell r="B27" t="str">
            <v>Iy</v>
          </cell>
          <cell r="E27">
            <v>29.1</v>
          </cell>
          <cell r="F27">
            <v>57.5</v>
          </cell>
          <cell r="G27">
            <v>57.5</v>
          </cell>
          <cell r="H27">
            <v>115</v>
          </cell>
          <cell r="I27">
            <v>44.1</v>
          </cell>
        </row>
        <row r="28">
          <cell r="B28" t="str">
            <v>Sy</v>
          </cell>
          <cell r="E28">
            <v>8.3000000000000007</v>
          </cell>
          <cell r="F28">
            <v>14</v>
          </cell>
          <cell r="G28">
            <v>14</v>
          </cell>
          <cell r="H28">
            <v>22.1</v>
          </cell>
          <cell r="I28">
            <v>11</v>
          </cell>
        </row>
        <row r="29">
          <cell r="B29" t="str">
            <v>ry</v>
          </cell>
          <cell r="E29">
            <v>1.34</v>
          </cell>
          <cell r="F29">
            <v>1.77</v>
          </cell>
          <cell r="G29">
            <v>1.77</v>
          </cell>
          <cell r="H29">
            <v>2.09</v>
          </cell>
          <cell r="I29">
            <v>1.94</v>
          </cell>
        </row>
        <row r="30">
          <cell r="B30" t="str">
            <v>xbar</v>
          </cell>
          <cell r="E30" t="str">
            <v>–</v>
          </cell>
          <cell r="F30" t="str">
            <v>–</v>
          </cell>
          <cell r="G30" t="str">
            <v>–</v>
          </cell>
          <cell r="H30" t="str">
            <v>–</v>
          </cell>
          <cell r="I30" t="str">
            <v>–</v>
          </cell>
        </row>
        <row r="31">
          <cell r="B31" t="str">
            <v>J</v>
          </cell>
          <cell r="E31">
            <v>1.18</v>
          </cell>
          <cell r="F31">
            <v>1.83</v>
          </cell>
          <cell r="G31">
            <v>1.83</v>
          </cell>
          <cell r="H31">
            <v>2.84</v>
          </cell>
          <cell r="I31">
            <v>0.90600000000000003</v>
          </cell>
        </row>
        <row r="32">
          <cell r="B32" t="str">
            <v>Connection</v>
          </cell>
        </row>
        <row r="33">
          <cell r="B33" t="str">
            <v>Bolt/Weld Size</v>
          </cell>
        </row>
        <row r="34">
          <cell r="B34" t="str">
            <v>Depth/Length</v>
          </cell>
        </row>
        <row r="35">
          <cell r="B35" t="str">
            <v>Number of</v>
          </cell>
        </row>
        <row r="36">
          <cell r="B36" t="str">
            <v>Addt'l Members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CK91"/>
  <sheetViews>
    <sheetView tabSelected="1" view="pageBreakPreview" zoomScale="85" zoomScaleNormal="110" zoomScaleSheetLayoutView="85" workbookViewId="0">
      <selection activeCell="H11" sqref="F11:H11"/>
    </sheetView>
  </sheetViews>
  <sheetFormatPr defaultRowHeight="14.4" outlineLevelRow="1" outlineLevelCol="3" x14ac:dyDescent="0.3"/>
  <cols>
    <col min="1" max="1" width="10" customWidth="1"/>
    <col min="2" max="2" width="10" style="2" customWidth="1" outlineLevel="3"/>
    <col min="3" max="3" width="10.5546875" customWidth="1" outlineLevel="3"/>
    <col min="4" max="4" width="9.88671875" customWidth="1" outlineLevel="2"/>
    <col min="5" max="5" width="10" customWidth="1" outlineLevel="2"/>
    <col min="6" max="9" width="10" customWidth="1" outlineLevel="1"/>
    <col min="10" max="10" width="9.5546875" customWidth="1" outlineLevel="1"/>
    <col min="11" max="11" width="10.88671875" customWidth="1" outlineLevel="1"/>
    <col min="12" max="12" width="9.5546875" customWidth="1" outlineLevel="1"/>
    <col min="13" max="13" width="9" customWidth="1" outlineLevel="1"/>
    <col min="14" max="14" width="12.88671875" customWidth="1" outlineLevel="1"/>
    <col min="15" max="15" width="10.6640625" customWidth="1" outlineLevel="1"/>
    <col min="16" max="16" width="13.44140625" customWidth="1" outlineLevel="1"/>
    <col min="17" max="17" width="7.6640625" customWidth="1" outlineLevel="1"/>
    <col min="18" max="18" width="11.88671875" style="1" customWidth="1" outlineLevel="1"/>
    <col min="19" max="19" width="10.5546875" style="1" customWidth="1" outlineLevel="1"/>
    <col min="20" max="22" width="11.88671875" style="1" customWidth="1" outlineLevel="1"/>
    <col min="23" max="23" width="10.109375" style="1" customWidth="1" outlineLevel="1"/>
    <col min="24" max="24" width="10.88671875" style="1" customWidth="1" outlineLevel="1"/>
    <col min="25" max="25" width="9.44140625" style="1" customWidth="1" outlineLevel="1"/>
    <col min="26" max="26" width="10.21875" style="1" customWidth="1" outlineLevel="1"/>
    <col min="27" max="27" width="10.88671875" style="1" customWidth="1" outlineLevel="1"/>
    <col min="28" max="28" width="9.5546875" customWidth="1" outlineLevel="1"/>
    <col min="29" max="29" width="10.88671875" customWidth="1" outlineLevel="1"/>
    <col min="30" max="30" width="9.5546875" customWidth="1" outlineLevel="1"/>
    <col min="31" max="31" width="9" customWidth="1" outlineLevel="1"/>
    <col min="32" max="32" width="9.5546875" customWidth="1" outlineLevel="1"/>
    <col min="33" max="33" width="10.6640625" customWidth="1" outlineLevel="1"/>
    <col min="34" max="34" width="9.5546875" customWidth="1" outlineLevel="1"/>
    <col min="35" max="35" width="7.6640625" customWidth="1" outlineLevel="1"/>
    <col min="36" max="36" width="11.88671875" customWidth="1" outlineLevel="1"/>
    <col min="37" max="37" width="10.33203125" customWidth="1" outlineLevel="1"/>
    <col min="42" max="42" width="10.33203125" customWidth="1"/>
    <col min="45" max="45" width="10.5546875" customWidth="1"/>
  </cols>
  <sheetData>
    <row r="1" spans="1:89" ht="20.399999999999999" x14ac:dyDescent="0.35">
      <c r="A1" s="127" t="s">
        <v>117</v>
      </c>
      <c r="B1" s="161" t="s">
        <v>118</v>
      </c>
      <c r="C1" s="162"/>
      <c r="D1" s="162"/>
      <c r="E1" s="163"/>
      <c r="F1" s="133" t="s">
        <v>116</v>
      </c>
      <c r="G1" s="132"/>
      <c r="H1" s="132"/>
      <c r="I1" s="134"/>
      <c r="J1" s="127" t="s">
        <v>117</v>
      </c>
      <c r="K1" s="161" t="str">
        <f>B1</f>
        <v>City of Lowell</v>
      </c>
      <c r="L1" s="162"/>
      <c r="M1" s="162"/>
      <c r="N1" s="163"/>
      <c r="O1" s="133" t="s">
        <v>116</v>
      </c>
      <c r="P1" s="132"/>
      <c r="Q1" s="132"/>
      <c r="R1" s="131"/>
      <c r="S1" s="127" t="s">
        <v>117</v>
      </c>
      <c r="T1" s="161" t="str">
        <f>B1</f>
        <v>City of Lowell</v>
      </c>
      <c r="U1" s="162"/>
      <c r="V1" s="162"/>
      <c r="W1" s="163"/>
      <c r="X1" s="133" t="s">
        <v>116</v>
      </c>
      <c r="Y1" s="132"/>
      <c r="Z1" s="132"/>
      <c r="AA1" s="131"/>
      <c r="AB1" s="127" t="s">
        <v>117</v>
      </c>
      <c r="AC1" s="161" t="str">
        <f>K1</f>
        <v>City of Lowell</v>
      </c>
      <c r="AD1" s="162"/>
      <c r="AE1" s="162"/>
      <c r="AF1" s="163"/>
      <c r="AG1" s="133" t="s">
        <v>116</v>
      </c>
      <c r="AH1" s="132"/>
      <c r="AI1" s="132"/>
      <c r="AJ1" s="131"/>
      <c r="AK1" s="127" t="s">
        <v>117</v>
      </c>
      <c r="AL1" s="161" t="str">
        <f>AC1</f>
        <v>City of Lowell</v>
      </c>
      <c r="AM1" s="162"/>
      <c r="AN1" s="162"/>
      <c r="AO1" s="163"/>
      <c r="AP1" s="133" t="s">
        <v>116</v>
      </c>
      <c r="AQ1" s="132"/>
      <c r="AR1" s="132"/>
      <c r="AS1" s="131"/>
    </row>
    <row r="2" spans="1:89" x14ac:dyDescent="0.3">
      <c r="A2" s="127" t="s">
        <v>114</v>
      </c>
      <c r="B2" s="161" t="s">
        <v>115</v>
      </c>
      <c r="C2" s="162"/>
      <c r="D2" s="162"/>
      <c r="E2" s="163"/>
      <c r="F2" s="128" t="s">
        <v>113</v>
      </c>
      <c r="G2" s="128" t="s">
        <v>112</v>
      </c>
      <c r="H2" s="128" t="s">
        <v>111</v>
      </c>
      <c r="I2" s="128">
        <v>4014312</v>
      </c>
      <c r="J2" s="127" t="s">
        <v>114</v>
      </c>
      <c r="K2" s="161" t="str">
        <f>B2</f>
        <v>University Ave, Lowell, Bridge</v>
      </c>
      <c r="L2" s="162"/>
      <c r="M2" s="162"/>
      <c r="N2" s="163"/>
      <c r="O2" s="128" t="s">
        <v>113</v>
      </c>
      <c r="P2" s="128" t="s">
        <v>112</v>
      </c>
      <c r="Q2" s="128" t="s">
        <v>111</v>
      </c>
      <c r="R2" s="128">
        <f>I2</f>
        <v>4014312</v>
      </c>
      <c r="S2" s="127" t="s">
        <v>114</v>
      </c>
      <c r="T2" s="161" t="str">
        <f>B2</f>
        <v>University Ave, Lowell, Bridge</v>
      </c>
      <c r="U2" s="162"/>
      <c r="V2" s="162"/>
      <c r="W2" s="163"/>
      <c r="X2" s="125" t="s">
        <v>113</v>
      </c>
      <c r="Y2" s="125" t="s">
        <v>112</v>
      </c>
      <c r="Z2" s="125" t="s">
        <v>111</v>
      </c>
      <c r="AA2" s="125">
        <f>I2</f>
        <v>4014312</v>
      </c>
      <c r="AB2" s="127" t="s">
        <v>114</v>
      </c>
      <c r="AC2" s="161" t="str">
        <f>K2</f>
        <v>University Ave, Lowell, Bridge</v>
      </c>
      <c r="AD2" s="162"/>
      <c r="AE2" s="162"/>
      <c r="AF2" s="163"/>
      <c r="AG2" s="125" t="s">
        <v>113</v>
      </c>
      <c r="AH2" s="125" t="s">
        <v>112</v>
      </c>
      <c r="AI2" s="125" t="s">
        <v>111</v>
      </c>
      <c r="AJ2" s="125">
        <f>R2</f>
        <v>4014312</v>
      </c>
      <c r="AK2" s="127" t="s">
        <v>114</v>
      </c>
      <c r="AL2" s="161" t="str">
        <f>AC2</f>
        <v>University Ave, Lowell, Bridge</v>
      </c>
      <c r="AM2" s="162"/>
      <c r="AN2" s="162"/>
      <c r="AO2" s="163"/>
      <c r="AP2" s="125" t="s">
        <v>113</v>
      </c>
      <c r="AQ2" s="125" t="s">
        <v>112</v>
      </c>
      <c r="AR2" s="125" t="s">
        <v>111</v>
      </c>
      <c r="AS2" s="125">
        <f>AJ2</f>
        <v>4014312</v>
      </c>
    </row>
    <row r="3" spans="1:89" ht="15" customHeight="1" x14ac:dyDescent="0.3">
      <c r="A3" s="127" t="s">
        <v>109</v>
      </c>
      <c r="B3" s="155" t="s">
        <v>148</v>
      </c>
      <c r="C3" s="156"/>
      <c r="D3" s="156"/>
      <c r="E3" s="157"/>
      <c r="F3" s="128" t="s">
        <v>110</v>
      </c>
      <c r="G3" s="128"/>
      <c r="H3" s="128"/>
      <c r="I3" s="130">
        <v>1</v>
      </c>
      <c r="J3" s="127" t="s">
        <v>109</v>
      </c>
      <c r="K3" s="155" t="str">
        <f>B3</f>
        <v>End Top Chord Floor beam rating</v>
      </c>
      <c r="L3" s="156"/>
      <c r="M3" s="156"/>
      <c r="N3" s="157"/>
      <c r="O3" s="128" t="str">
        <f>F3</f>
        <v>ARG</v>
      </c>
      <c r="P3" s="128"/>
      <c r="Q3" s="128"/>
      <c r="R3" s="130">
        <f>I3+1</f>
        <v>2</v>
      </c>
      <c r="S3" s="127" t="s">
        <v>109</v>
      </c>
      <c r="T3" s="155" t="str">
        <f>B3</f>
        <v>End Top Chord Floor beam rating</v>
      </c>
      <c r="U3" s="156"/>
      <c r="V3" s="156"/>
      <c r="W3" s="157"/>
      <c r="X3" s="125" t="str">
        <f>F3</f>
        <v>ARG</v>
      </c>
      <c r="Y3" s="125"/>
      <c r="Z3" s="125"/>
      <c r="AA3" s="130">
        <f>I3+1</f>
        <v>2</v>
      </c>
      <c r="AB3" s="127" t="s">
        <v>109</v>
      </c>
      <c r="AC3" s="155" t="str">
        <f>K3</f>
        <v>End Top Chord Floor beam rating</v>
      </c>
      <c r="AD3" s="156"/>
      <c r="AE3" s="156"/>
      <c r="AF3" s="157"/>
      <c r="AG3" s="125" t="str">
        <f>O3</f>
        <v>ARG</v>
      </c>
      <c r="AH3" s="125"/>
      <c r="AI3" s="125"/>
      <c r="AJ3" s="130">
        <f>R3+1</f>
        <v>3</v>
      </c>
      <c r="AK3" s="127" t="s">
        <v>109</v>
      </c>
      <c r="AL3" s="155" t="str">
        <f>AC3</f>
        <v>End Top Chord Floor beam rating</v>
      </c>
      <c r="AM3" s="156"/>
      <c r="AN3" s="156"/>
      <c r="AO3" s="157"/>
      <c r="AP3" s="125" t="str">
        <f>AG3</f>
        <v>ARG</v>
      </c>
      <c r="AQ3" s="125"/>
      <c r="AR3" s="125"/>
      <c r="AS3" s="130">
        <f>AJ3+1</f>
        <v>4</v>
      </c>
    </row>
    <row r="4" spans="1:89" ht="15" customHeight="1" x14ac:dyDescent="0.3">
      <c r="A4" s="127"/>
      <c r="B4" s="158" t="s">
        <v>147</v>
      </c>
      <c r="C4" s="159"/>
      <c r="D4" s="159"/>
      <c r="E4" s="160"/>
      <c r="F4" s="129">
        <f ca="1">TODAY()</f>
        <v>42295</v>
      </c>
      <c r="G4" s="128"/>
      <c r="H4" s="128"/>
      <c r="I4" s="128"/>
      <c r="J4" s="127"/>
      <c r="K4" s="158" t="str">
        <f>B4</f>
        <v>FB1</v>
      </c>
      <c r="L4" s="159"/>
      <c r="M4" s="159"/>
      <c r="N4" s="160"/>
      <c r="O4" s="129">
        <f ca="1">F4</f>
        <v>42295</v>
      </c>
      <c r="P4" s="128"/>
      <c r="Q4" s="128"/>
      <c r="R4" s="128"/>
      <c r="S4" s="127"/>
      <c r="T4" s="158" t="str">
        <f>IF(B4="","",B4)</f>
        <v>FB1</v>
      </c>
      <c r="U4" s="159"/>
      <c r="V4" s="159"/>
      <c r="W4" s="160"/>
      <c r="X4" s="126">
        <f ca="1">F4</f>
        <v>42295</v>
      </c>
      <c r="Y4" s="125"/>
      <c r="Z4" s="125"/>
      <c r="AA4" s="125"/>
      <c r="AB4" s="127"/>
      <c r="AC4" s="158" t="str">
        <f>IF(K4="","",K4)</f>
        <v>FB1</v>
      </c>
      <c r="AD4" s="159"/>
      <c r="AE4" s="159"/>
      <c r="AF4" s="160"/>
      <c r="AG4" s="126">
        <f ca="1">O4</f>
        <v>42295</v>
      </c>
      <c r="AH4" s="125"/>
      <c r="AI4" s="125"/>
      <c r="AJ4" s="125"/>
      <c r="AK4" s="127"/>
      <c r="AL4" s="158" t="str">
        <f>IF(AC4="","",AC4)</f>
        <v>FB1</v>
      </c>
      <c r="AM4" s="159"/>
      <c r="AN4" s="159"/>
      <c r="AO4" s="160"/>
      <c r="AP4" s="126">
        <f ca="1">AG4</f>
        <v>42295</v>
      </c>
      <c r="AQ4" s="125"/>
      <c r="AR4" s="125"/>
      <c r="AS4" s="125"/>
    </row>
    <row r="5" spans="1:89" s="30" customFormat="1" ht="14.25" customHeight="1" x14ac:dyDescent="0.3">
      <c r="A5" s="124"/>
      <c r="B5" s="124"/>
      <c r="C5" s="124"/>
      <c r="D5" s="124"/>
      <c r="E5" s="124"/>
      <c r="F5" s="124"/>
      <c r="G5" s="124"/>
      <c r="H5" s="124"/>
      <c r="I5" s="124"/>
      <c r="J5" s="3"/>
      <c r="K5" s="3"/>
      <c r="L5" s="3"/>
      <c r="M5" s="3"/>
      <c r="N5" s="3"/>
      <c r="O5" s="124"/>
      <c r="P5" s="124"/>
      <c r="Q5" s="124"/>
      <c r="R5" s="123"/>
      <c r="S5" s="8"/>
      <c r="T5" s="8"/>
      <c r="U5" s="8"/>
      <c r="V5" s="8"/>
      <c r="W5" s="8"/>
      <c r="X5" s="8"/>
      <c r="Y5" s="8"/>
      <c r="Z5" s="8"/>
      <c r="AA5" s="8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</row>
    <row r="6" spans="1:89" s="30" customFormat="1" ht="15" customHeight="1" x14ac:dyDescent="0.35">
      <c r="B6" s="120"/>
      <c r="C6" s="120"/>
      <c r="D6" s="120"/>
      <c r="E6" s="122" t="s">
        <v>125</v>
      </c>
      <c r="F6" s="121" t="s">
        <v>147</v>
      </c>
      <c r="G6" s="120"/>
      <c r="H6" s="120"/>
      <c r="I6" s="120"/>
      <c r="J6" s="118" t="s">
        <v>108</v>
      </c>
      <c r="K6" s="117" t="s">
        <v>107</v>
      </c>
      <c r="L6" s="25"/>
      <c r="M6" s="29"/>
      <c r="N6" s="22"/>
      <c r="O6" s="22"/>
      <c r="P6" s="25"/>
      <c r="Q6" s="29"/>
      <c r="R6" s="25"/>
      <c r="S6" s="25"/>
      <c r="T6" s="118" t="s">
        <v>108</v>
      </c>
      <c r="U6" s="117" t="s">
        <v>146</v>
      </c>
      <c r="V6" s="25"/>
      <c r="W6" s="25"/>
      <c r="X6" s="25"/>
      <c r="Y6" s="25"/>
      <c r="Z6" s="25"/>
      <c r="AA6" s="25"/>
      <c r="AB6" s="118" t="s">
        <v>106</v>
      </c>
      <c r="AC6" s="119" t="s">
        <v>105</v>
      </c>
      <c r="AD6" s="3"/>
      <c r="AE6" s="3"/>
      <c r="AF6" s="3"/>
      <c r="AG6" s="3"/>
      <c r="AH6" s="3"/>
      <c r="AI6" s="3"/>
      <c r="AJ6" s="39"/>
      <c r="AK6" s="118" t="s">
        <v>104</v>
      </c>
      <c r="AL6" s="119" t="s">
        <v>103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</row>
    <row r="7" spans="1:89" s="30" customFormat="1" ht="14.25" customHeight="1" x14ac:dyDescent="0.3">
      <c r="A7" s="116"/>
      <c r="B7" s="116"/>
      <c r="C7" s="116"/>
      <c r="D7" s="116"/>
      <c r="E7" s="116"/>
      <c r="F7" s="116"/>
      <c r="G7" s="116"/>
      <c r="H7" s="116"/>
      <c r="I7" s="116"/>
      <c r="J7" s="3"/>
      <c r="K7" s="27"/>
      <c r="L7" s="13"/>
      <c r="M7" s="27"/>
      <c r="N7" s="27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</row>
    <row r="8" spans="1:89" s="30" customFormat="1" ht="14.25" customHeight="1" x14ac:dyDescent="0.3">
      <c r="A8" s="118" t="s">
        <v>102</v>
      </c>
      <c r="B8" s="117" t="s">
        <v>101</v>
      </c>
      <c r="C8" s="22"/>
      <c r="D8" s="22"/>
      <c r="E8" s="22"/>
      <c r="F8" s="22"/>
      <c r="G8" s="22"/>
      <c r="H8" s="22"/>
      <c r="I8" s="22"/>
      <c r="J8" s="99" t="s">
        <v>100</v>
      </c>
      <c r="K8" s="99" t="s">
        <v>99</v>
      </c>
      <c r="L8" s="11"/>
      <c r="M8" s="27"/>
      <c r="N8" s="27"/>
      <c r="O8" s="3"/>
      <c r="P8" s="3"/>
      <c r="Q8" s="3"/>
      <c r="R8" s="3"/>
      <c r="S8" s="3"/>
      <c r="T8" s="3"/>
      <c r="U8" s="3"/>
      <c r="V8" s="141">
        <f>M47</f>
        <v>0</v>
      </c>
      <c r="W8" s="3"/>
      <c r="X8" s="141">
        <f>O47</f>
        <v>0</v>
      </c>
      <c r="Y8" s="3"/>
      <c r="Z8" s="3"/>
      <c r="AA8" s="3"/>
      <c r="AB8" s="3"/>
      <c r="AC8" s="3" t="s">
        <v>98</v>
      </c>
      <c r="AD8" s="116"/>
      <c r="AE8" s="116"/>
      <c r="AF8" s="3"/>
      <c r="AG8" s="3"/>
      <c r="AH8" s="3"/>
      <c r="AI8" s="3"/>
      <c r="AJ8" s="39"/>
      <c r="AK8" s="3"/>
      <c r="AL8" s="3" t="s">
        <v>98</v>
      </c>
      <c r="AM8" s="116"/>
      <c r="AN8" s="116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</row>
    <row r="9" spans="1:89" s="39" customFormat="1" ht="14.25" customHeight="1" x14ac:dyDescent="0.3">
      <c r="A9" s="42"/>
      <c r="B9" s="42"/>
      <c r="C9" s="42"/>
      <c r="D9" s="104"/>
      <c r="E9" s="104"/>
      <c r="F9" s="104"/>
      <c r="G9" s="105"/>
      <c r="H9" s="104"/>
      <c r="I9" s="104"/>
      <c r="K9" s="98"/>
      <c r="L9" s="115"/>
      <c r="M9" s="42"/>
      <c r="N9" s="42"/>
      <c r="AD9" s="59"/>
      <c r="AE9" s="59"/>
      <c r="AM9" s="59"/>
      <c r="AN9" s="59"/>
    </row>
    <row r="10" spans="1:89" s="39" customFormat="1" ht="14.25" customHeight="1" x14ac:dyDescent="0.35">
      <c r="A10" s="48"/>
      <c r="B10" s="48" t="s">
        <v>97</v>
      </c>
      <c r="C10" s="47" t="e">
        <f>HLOOKUP($F$6,[1]Members!$B$7:$N$37,8,FALSE)</f>
        <v>#N/A</v>
      </c>
      <c r="D10" s="42" t="s">
        <v>95</v>
      </c>
      <c r="E10" s="42"/>
      <c r="F10" s="114" t="s">
        <v>96</v>
      </c>
      <c r="G10" s="47" t="e">
        <f>HLOOKUP($F$6,[1]Members!$B$7:$N$37,9,FALSE)</f>
        <v>#N/A</v>
      </c>
      <c r="H10" s="46" t="s">
        <v>95</v>
      </c>
      <c r="I10" s="42"/>
      <c r="J10" s="39" t="s">
        <v>120</v>
      </c>
      <c r="K10" s="113" t="s">
        <v>124</v>
      </c>
      <c r="L10" s="112" t="e">
        <f>HLOOKUP($F$6,[2]Members!$B$7:$I$37,10,FALSE)*10^-3</f>
        <v>#N/A</v>
      </c>
      <c r="M10" s="42" t="s">
        <v>79</v>
      </c>
      <c r="N10" s="42"/>
      <c r="P10" s="137"/>
      <c r="AC10" s="107" t="s">
        <v>45</v>
      </c>
      <c r="AD10" s="111" t="s">
        <v>93</v>
      </c>
      <c r="AE10" s="59"/>
      <c r="AL10" s="152" t="s">
        <v>45</v>
      </c>
      <c r="AM10" s="111" t="s">
        <v>93</v>
      </c>
      <c r="AN10" s="59"/>
    </row>
    <row r="11" spans="1:89" s="39" customFormat="1" ht="14.25" customHeight="1" x14ac:dyDescent="0.35">
      <c r="B11" s="48" t="s">
        <v>92</v>
      </c>
      <c r="C11" s="110" t="e">
        <f>HLOOKUP($F$6,[1]Members!$B$7:$N$37,7,FALSE)</f>
        <v>#N/A</v>
      </c>
      <c r="D11" s="42"/>
      <c r="E11" s="42"/>
      <c r="F11" s="106" t="s">
        <v>150</v>
      </c>
      <c r="G11" s="105" t="e">
        <f>HLOOKUP($F$6,[1]Members!$B$7:$N$37,13,FALSE)</f>
        <v>#N/A</v>
      </c>
      <c r="H11" s="46" t="s">
        <v>23</v>
      </c>
      <c r="I11" s="42"/>
      <c r="K11" s="136" t="s">
        <v>91</v>
      </c>
      <c r="L11" s="109">
        <v>2.0699999999999998</v>
      </c>
      <c r="M11" s="42" t="s">
        <v>79</v>
      </c>
      <c r="N11" s="108"/>
      <c r="O11"/>
      <c r="P11" s="137" t="s">
        <v>123</v>
      </c>
      <c r="AC11" s="107"/>
      <c r="AD11" s="94" t="s">
        <v>90</v>
      </c>
      <c r="AE11" s="59"/>
      <c r="AL11" s="152"/>
      <c r="AM11" s="94" t="s">
        <v>90</v>
      </c>
      <c r="AN11" s="59"/>
    </row>
    <row r="12" spans="1:89" s="39" customFormat="1" ht="14.25" customHeight="1" x14ac:dyDescent="0.3">
      <c r="A12" s="42"/>
      <c r="B12" s="53" t="s">
        <v>89</v>
      </c>
      <c r="C12" s="105" t="e">
        <f>HLOOKUP($F$6,[1]Members!$B$7:$N$37,17,FALSE)</f>
        <v>#N/A</v>
      </c>
      <c r="D12" s="60" t="s">
        <v>13</v>
      </c>
      <c r="F12" s="106" t="s">
        <v>88</v>
      </c>
      <c r="G12" s="105" t="e">
        <f>HLOOKUP($F$6,[1]Members!$B$7:$N$37,14,FALSE)</f>
        <v>#N/A</v>
      </c>
      <c r="H12" s="46" t="s">
        <v>23</v>
      </c>
      <c r="I12" s="48"/>
      <c r="K12" s="53" t="s">
        <v>87</v>
      </c>
      <c r="L12" s="93">
        <f>C23/12*0.005</f>
        <v>3.6666666666666667E-2</v>
      </c>
      <c r="M12" s="42" t="s">
        <v>79</v>
      </c>
      <c r="P12" s="137" t="s">
        <v>123</v>
      </c>
    </row>
    <row r="13" spans="1:89" s="39" customFormat="1" ht="14.25" customHeight="1" outlineLevel="1" x14ac:dyDescent="0.3">
      <c r="A13" s="42"/>
      <c r="B13" s="53" t="s">
        <v>86</v>
      </c>
      <c r="C13" s="47" t="e">
        <f>HLOOKUP($F$6,[1]Members!$B$7:$N$37,18,FALSE)</f>
        <v>#N/A</v>
      </c>
      <c r="D13" s="60" t="s">
        <v>7</v>
      </c>
      <c r="E13" s="42"/>
      <c r="F13" s="107" t="s">
        <v>85</v>
      </c>
      <c r="G13" s="105" t="e">
        <f>HLOOKUP($F$6,[1]Members!$B$7:$N$37,15,FALSE)</f>
        <v>#N/A</v>
      </c>
      <c r="H13" s="56" t="s">
        <v>23</v>
      </c>
      <c r="I13" s="53"/>
      <c r="K13" s="113" t="s">
        <v>94</v>
      </c>
      <c r="L13" s="112" t="e">
        <f>HLOOKUP($F$6,[2]Members!$B$7:$I$37,10,FALSE)*10^-3</f>
        <v>#N/A</v>
      </c>
      <c r="M13" s="42" t="s">
        <v>79</v>
      </c>
      <c r="P13" s="137" t="s">
        <v>123</v>
      </c>
      <c r="AC13" s="39" t="s">
        <v>84</v>
      </c>
      <c r="AE13" s="59"/>
      <c r="AF13" s="59">
        <v>1</v>
      </c>
      <c r="AG13" s="59"/>
      <c r="AL13" t="s">
        <v>83</v>
      </c>
      <c r="AN13" s="59"/>
      <c r="AP13" s="59">
        <v>1.3</v>
      </c>
    </row>
    <row r="14" spans="1:89" s="39" customFormat="1" ht="14.25" customHeight="1" outlineLevel="1" x14ac:dyDescent="0.3">
      <c r="A14" s="42"/>
      <c r="B14" s="48" t="s">
        <v>82</v>
      </c>
      <c r="C14" s="105" t="e">
        <f>HLOOKUP($F$6,[1]Members!$B$7:$N$37,11,FALSE)</f>
        <v>#N/A</v>
      </c>
      <c r="D14" s="60" t="s">
        <v>76</v>
      </c>
      <c r="E14" s="42"/>
      <c r="F14" s="106" t="s">
        <v>81</v>
      </c>
      <c r="G14" s="105" t="e">
        <f>HLOOKUP($F$6,[1]Members!$B$7:$N$37,16,FALSE)</f>
        <v>#N/A</v>
      </c>
      <c r="H14" s="46" t="s">
        <v>23</v>
      </c>
      <c r="I14" s="48"/>
      <c r="K14" s="53" t="s">
        <v>80</v>
      </c>
      <c r="L14" s="103" t="e">
        <f>SUM(L10:L13)</f>
        <v>#N/A</v>
      </c>
      <c r="M14" s="60" t="s">
        <v>79</v>
      </c>
      <c r="T14" s="140" t="s">
        <v>140</v>
      </c>
      <c r="U14" s="137" t="s">
        <v>141</v>
      </c>
      <c r="AG14" s="59"/>
      <c r="AP14" s="59"/>
    </row>
    <row r="15" spans="1:89" s="39" customFormat="1" ht="14.25" customHeight="1" x14ac:dyDescent="0.35">
      <c r="A15" s="42"/>
      <c r="B15" s="48" t="s">
        <v>78</v>
      </c>
      <c r="C15" s="105" t="e">
        <f>HLOOKUP($F$6,[1]Members!$B$7:$N$37,12,FALSE)</f>
        <v>#N/A</v>
      </c>
      <c r="D15" s="60" t="s">
        <v>23</v>
      </c>
      <c r="E15" s="42"/>
      <c r="F15" s="106" t="s">
        <v>77</v>
      </c>
      <c r="G15" s="47" t="e">
        <f>G14*G13</f>
        <v>#N/A</v>
      </c>
      <c r="H15" s="46" t="s">
        <v>76</v>
      </c>
      <c r="I15" s="48"/>
      <c r="K15" s="1" t="s">
        <v>75</v>
      </c>
      <c r="L15" s="103" t="e">
        <f>1/8*L14*C10^2</f>
        <v>#N/A</v>
      </c>
      <c r="M15" s="60" t="s">
        <v>26</v>
      </c>
      <c r="U15" s="137"/>
      <c r="AC15" t="s">
        <v>74</v>
      </c>
      <c r="AL15" s="39" t="s">
        <v>73</v>
      </c>
    </row>
    <row r="16" spans="1:89" s="39" customFormat="1" ht="14.25" customHeight="1" x14ac:dyDescent="0.35">
      <c r="A16" s="42"/>
      <c r="B16" s="53"/>
      <c r="C16" s="105"/>
      <c r="D16" s="60"/>
      <c r="F16" s="106"/>
      <c r="G16" s="105"/>
      <c r="H16" s="46"/>
      <c r="I16" s="48"/>
      <c r="K16" s="1" t="s">
        <v>72</v>
      </c>
      <c r="L16" s="103" t="e">
        <f>1/2*C10*L14</f>
        <v>#N/A</v>
      </c>
      <c r="M16" s="60" t="s">
        <v>18</v>
      </c>
      <c r="AC16" s="60" t="s">
        <v>71</v>
      </c>
      <c r="AL16" s="39" t="s">
        <v>71</v>
      </c>
    </row>
    <row r="17" spans="1:42" s="39" customFormat="1" ht="14.25" customHeight="1" x14ac:dyDescent="0.35">
      <c r="A17" s="42"/>
      <c r="B17" s="53" t="s">
        <v>70</v>
      </c>
      <c r="C17" s="105" t="e">
        <f>HLOOKUP($F$6,[1]Members!$B$7:$N$37,2,FALSE)</f>
        <v>#N/A</v>
      </c>
      <c r="D17" s="60" t="s">
        <v>57</v>
      </c>
      <c r="F17" s="107"/>
      <c r="G17" s="50"/>
      <c r="H17" s="56"/>
      <c r="I17" s="53"/>
      <c r="T17" s="39" t="s">
        <v>142</v>
      </c>
      <c r="W17" s="39" t="s">
        <v>18</v>
      </c>
      <c r="Y17" s="39" t="s">
        <v>145</v>
      </c>
    </row>
    <row r="18" spans="1:42" s="39" customFormat="1" ht="14.25" customHeight="1" x14ac:dyDescent="0.35">
      <c r="A18" s="104"/>
      <c r="B18" s="48" t="s">
        <v>69</v>
      </c>
      <c r="C18" s="105" t="e">
        <f>0.55*C17</f>
        <v>#N/A</v>
      </c>
      <c r="D18" s="60" t="s">
        <v>57</v>
      </c>
      <c r="E18" s="42"/>
      <c r="F18" s="107" t="s">
        <v>68</v>
      </c>
      <c r="G18" s="50">
        <v>16.5</v>
      </c>
      <c r="H18" s="56" t="s">
        <v>57</v>
      </c>
      <c r="K18" s="1" t="s">
        <v>16</v>
      </c>
      <c r="L18" s="60" t="s">
        <v>15</v>
      </c>
      <c r="T18" s="39" t="s">
        <v>143</v>
      </c>
      <c r="W18" s="39" t="s">
        <v>26</v>
      </c>
      <c r="Y18" s="39" t="s">
        <v>145</v>
      </c>
      <c r="AB18" s="91" t="s">
        <v>67</v>
      </c>
      <c r="AC18" s="90" t="s">
        <v>66</v>
      </c>
      <c r="AD18" s="59"/>
      <c r="AK18" s="91" t="s">
        <v>65</v>
      </c>
      <c r="AL18" s="90" t="s">
        <v>64</v>
      </c>
      <c r="AM18" s="59"/>
    </row>
    <row r="19" spans="1:42" s="39" customFormat="1" ht="14.25" customHeight="1" x14ac:dyDescent="0.35">
      <c r="A19" s="104"/>
      <c r="B19" s="48" t="s">
        <v>63</v>
      </c>
      <c r="C19" s="105" t="e">
        <f>0.75*C17</f>
        <v>#N/A</v>
      </c>
      <c r="D19" s="60" t="s">
        <v>57</v>
      </c>
      <c r="E19" s="42"/>
      <c r="F19" s="106" t="s">
        <v>62</v>
      </c>
      <c r="G19" s="105">
        <v>22.5</v>
      </c>
      <c r="H19" s="46" t="s">
        <v>57</v>
      </c>
      <c r="I19" s="42"/>
      <c r="K19" s="151" t="s">
        <v>61</v>
      </c>
      <c r="L19" s="55" t="s">
        <v>60</v>
      </c>
      <c r="M19" s="147" t="s">
        <v>3</v>
      </c>
      <c r="N19" s="54" t="e">
        <f>L15</f>
        <v>#N/A</v>
      </c>
      <c r="O19" s="147" t="s">
        <v>3</v>
      </c>
      <c r="P19" s="150" t="e">
        <f>N19*12/N20</f>
        <v>#N/A</v>
      </c>
    </row>
    <row r="20" spans="1:42" s="39" customFormat="1" ht="14.25" customHeight="1" x14ac:dyDescent="0.3">
      <c r="A20" s="104"/>
      <c r="C20" s="50"/>
      <c r="E20" s="58"/>
      <c r="F20" s="42"/>
      <c r="G20" s="42"/>
      <c r="H20" s="42"/>
      <c r="I20" s="42"/>
      <c r="K20" s="152"/>
      <c r="L20" s="51" t="s">
        <v>9</v>
      </c>
      <c r="M20" s="147"/>
      <c r="N20" s="51" t="e">
        <f>C13</f>
        <v>#N/A</v>
      </c>
      <c r="O20" s="147"/>
      <c r="P20" s="150"/>
      <c r="S20" s="39" t="s">
        <v>120</v>
      </c>
      <c r="T20" s="53" t="s">
        <v>34</v>
      </c>
      <c r="U20" s="50">
        <f>V18</f>
        <v>0</v>
      </c>
      <c r="V20" s="39" t="s">
        <v>26</v>
      </c>
      <c r="Y20" s="67" t="s">
        <v>139</v>
      </c>
      <c r="Z20" s="30"/>
      <c r="AA20" s="3"/>
      <c r="AC20" s="107" t="s">
        <v>45</v>
      </c>
      <c r="AD20" s="96" t="e">
        <f>TEXT(C19,"0.0")&amp;"-"&amp;TEXT(P19,"0.00")</f>
        <v>#N/A</v>
      </c>
      <c r="AE20" s="111"/>
      <c r="AF20" s="50" t="s">
        <v>3</v>
      </c>
      <c r="AG20" s="93" t="e">
        <f>(C19-P19)/Y26</f>
        <v>#N/A</v>
      </c>
      <c r="AL20" s="152" t="s">
        <v>45</v>
      </c>
      <c r="AM20" s="146" t="e">
        <f>TEXT(C19,"0.0")&amp;"- 1.3*"&amp;TEXT(P19,"0.00")</f>
        <v>#N/A</v>
      </c>
      <c r="AN20" s="146"/>
      <c r="AO20" s="147" t="s">
        <v>3</v>
      </c>
      <c r="AP20" s="148" t="e">
        <f>(C19-1.3*P19)/(1.3*Y26)</f>
        <v>#N/A</v>
      </c>
    </row>
    <row r="21" spans="1:42" s="39" customFormat="1" ht="14.25" customHeight="1" outlineLevel="1" x14ac:dyDescent="0.35">
      <c r="A21" s="104"/>
      <c r="B21" s="102" t="s">
        <v>20</v>
      </c>
      <c r="C21" s="103"/>
      <c r="D21" s="42"/>
      <c r="H21" s="42"/>
      <c r="I21" s="42"/>
      <c r="J21" s="53"/>
      <c r="K21" s="41" t="s">
        <v>6</v>
      </c>
      <c r="P21" s="102"/>
      <c r="T21" s="1" t="s">
        <v>27</v>
      </c>
      <c r="U21" s="68">
        <f>U20*L37*L26</f>
        <v>0</v>
      </c>
      <c r="V21" s="39" t="s">
        <v>26</v>
      </c>
      <c r="Y21" s="67" t="s">
        <v>121</v>
      </c>
      <c r="Z21" s="30"/>
      <c r="AA21" s="3"/>
      <c r="AC21" s="107"/>
      <c r="AD21" s="95" t="e">
        <f>"1*"&amp; TEXT(Y26,"0.0")&amp;"*(1+0)"</f>
        <v>#N/A</v>
      </c>
      <c r="AE21" s="94"/>
      <c r="AF21" s="50"/>
      <c r="AG21" s="93"/>
      <c r="AL21" s="152"/>
      <c r="AM21" s="149" t="e">
        <f>"1.3*"&amp; TEXT(Y26,"0.0")&amp;"*(1+0)"</f>
        <v>#N/A</v>
      </c>
      <c r="AN21" s="149"/>
      <c r="AO21" s="147"/>
      <c r="AP21" s="148"/>
    </row>
    <row r="22" spans="1:42" s="39" customFormat="1" ht="14.25" customHeight="1" outlineLevel="1" x14ac:dyDescent="0.35">
      <c r="B22" s="53" t="s">
        <v>59</v>
      </c>
      <c r="C22" s="50">
        <f>HLOOKUP($B$21,[1]Members!$B$7:$N$37,12,FALSE)</f>
        <v>8</v>
      </c>
      <c r="D22" s="43" t="s">
        <v>23</v>
      </c>
      <c r="E22" s="45"/>
      <c r="F22" s="53" t="s">
        <v>58</v>
      </c>
      <c r="G22" s="50">
        <f>HLOOKUP($B$21,[1]Members!$B$7:$N$37,2,FALSE)</f>
        <v>5</v>
      </c>
      <c r="H22" s="39" t="s">
        <v>57</v>
      </c>
      <c r="I22" s="48"/>
      <c r="K22" s="1" t="s">
        <v>56</v>
      </c>
      <c r="L22" s="40" t="s">
        <v>55</v>
      </c>
      <c r="M22" s="40" t="s">
        <v>3</v>
      </c>
      <c r="N22" s="50" t="e">
        <f>TEXT(L16,"0.00")&amp;"/"&amp;TEXT(G15,"0.00")</f>
        <v>#N/A</v>
      </c>
      <c r="O22" s="40" t="s">
        <v>3</v>
      </c>
      <c r="P22" s="49" t="e">
        <f>L16/G15</f>
        <v>#N/A</v>
      </c>
      <c r="T22" s="53" t="s">
        <v>21</v>
      </c>
      <c r="U22" s="50">
        <f>V17</f>
        <v>0</v>
      </c>
      <c r="V22" t="s">
        <v>18</v>
      </c>
      <c r="Y22" s="67" t="s">
        <v>139</v>
      </c>
      <c r="Z22" s="30"/>
      <c r="AA22" s="3"/>
      <c r="AC22" s="83"/>
      <c r="AD22" s="78"/>
      <c r="AE22" s="84"/>
      <c r="AF22" s="83"/>
      <c r="AG22" s="82"/>
      <c r="AL22" s="83"/>
      <c r="AM22" s="78"/>
      <c r="AN22" s="84"/>
      <c r="AO22" s="83"/>
      <c r="AP22" s="82"/>
    </row>
    <row r="23" spans="1:42" s="39" customFormat="1" ht="14.25" customHeight="1" outlineLevel="1" x14ac:dyDescent="0.35">
      <c r="B23" s="53" t="s">
        <v>54</v>
      </c>
      <c r="C23" s="50">
        <f>HLOOKUP($B$21,[1]Members!$B$7:$N$37,13,FALSE)</f>
        <v>88</v>
      </c>
      <c r="D23" s="42" t="s">
        <v>23</v>
      </c>
      <c r="E23" s="45"/>
      <c r="F23" s="98" t="s">
        <v>127</v>
      </c>
      <c r="G23" s="39" t="s">
        <v>128</v>
      </c>
      <c r="H23" s="42"/>
      <c r="I23" s="42"/>
      <c r="K23" s="101"/>
      <c r="P23" s="100"/>
      <c r="T23" s="1" t="s">
        <v>19</v>
      </c>
      <c r="U23" s="68">
        <f>L37*U22*L26</f>
        <v>0</v>
      </c>
      <c r="V23" s="39" t="s">
        <v>18</v>
      </c>
      <c r="Y23" s="67" t="s">
        <v>122</v>
      </c>
    </row>
    <row r="24" spans="1:42" s="39" customFormat="1" ht="14.25" customHeight="1" outlineLevel="1" x14ac:dyDescent="0.3">
      <c r="E24" s="45"/>
      <c r="F24" s="98"/>
      <c r="G24" s="98"/>
      <c r="I24" s="48"/>
      <c r="J24" s="99" t="s">
        <v>53</v>
      </c>
      <c r="K24" s="99" t="s">
        <v>52</v>
      </c>
      <c r="AB24" s="91" t="s">
        <v>51</v>
      </c>
      <c r="AC24" s="90" t="s">
        <v>50</v>
      </c>
      <c r="AD24" s="59"/>
      <c r="AK24" s="91" t="s">
        <v>49</v>
      </c>
      <c r="AL24" s="90" t="s">
        <v>48</v>
      </c>
      <c r="AM24" s="59"/>
    </row>
    <row r="25" spans="1:42" s="39" customFormat="1" ht="14.25" customHeight="1" outlineLevel="1" x14ac:dyDescent="0.3">
      <c r="B25" s="76" t="s">
        <v>47</v>
      </c>
      <c r="C25" s="74"/>
      <c r="D25" s="74"/>
      <c r="F25" s="98"/>
      <c r="G25" s="98"/>
      <c r="K25" s="53"/>
      <c r="T25" s="1" t="s">
        <v>16</v>
      </c>
      <c r="U25" s="60" t="s">
        <v>15</v>
      </c>
    </row>
    <row r="26" spans="1:42" s="39" customFormat="1" ht="14.25" customHeight="1" outlineLevel="1" x14ac:dyDescent="0.35">
      <c r="G26" s="98"/>
      <c r="K26" s="50" t="s">
        <v>46</v>
      </c>
      <c r="L26" s="102">
        <v>1.33</v>
      </c>
      <c r="P26" s="39" t="s">
        <v>119</v>
      </c>
      <c r="Q26" s="39" t="s">
        <v>126</v>
      </c>
      <c r="T26" s="107" t="s">
        <v>12</v>
      </c>
      <c r="U26" s="55" t="s">
        <v>11</v>
      </c>
      <c r="V26" s="50" t="s">
        <v>3</v>
      </c>
      <c r="W26" s="54">
        <f>U21</f>
        <v>0</v>
      </c>
      <c r="X26" s="50" t="s">
        <v>3</v>
      </c>
      <c r="Y26" s="150" t="e">
        <f>W26*12/W27</f>
        <v>#N/A</v>
      </c>
      <c r="AC26" s="97" t="s">
        <v>45</v>
      </c>
      <c r="AD26" s="96" t="e">
        <f>TEXT(G19,"0.0")&amp;"-"&amp;TEXT(P22,"0.00")</f>
        <v>#N/A</v>
      </c>
      <c r="AE26" s="111"/>
      <c r="AF26" s="50" t="s">
        <v>3</v>
      </c>
      <c r="AG26" s="93" t="e">
        <f>(G19-P22)/Y29</f>
        <v>#N/A</v>
      </c>
      <c r="AL26" s="151" t="s">
        <v>45</v>
      </c>
      <c r="AM26" s="146" t="e">
        <f>TEXT(G19,"0.0")&amp;"- 1.3*"&amp;TEXT(P22,"0.00")</f>
        <v>#N/A</v>
      </c>
      <c r="AN26" s="153"/>
      <c r="AO26" s="147" t="s">
        <v>3</v>
      </c>
      <c r="AP26" s="148" t="e">
        <f>(G19-1.3*P22)/(1.3*Y29)</f>
        <v>#N/A</v>
      </c>
    </row>
    <row r="27" spans="1:42" s="39" customFormat="1" ht="14.25" customHeight="1" outlineLevel="1" x14ac:dyDescent="0.3">
      <c r="B27" s="76" t="s">
        <v>44</v>
      </c>
      <c r="C27" s="75"/>
      <c r="D27" s="74"/>
      <c r="K27" s="53"/>
      <c r="T27" s="107"/>
      <c r="U27" s="51" t="s">
        <v>9</v>
      </c>
      <c r="V27" s="50"/>
      <c r="W27" s="94" t="e">
        <f>C36</f>
        <v>#N/A</v>
      </c>
      <c r="X27" s="50"/>
      <c r="Y27" s="150"/>
      <c r="AC27" s="107"/>
      <c r="AD27" s="95" t="e">
        <f>"1*"&amp; TEXT(Y29,"0.0")&amp;"*(1+0)"</f>
        <v>#N/A</v>
      </c>
      <c r="AE27" s="94"/>
      <c r="AF27" s="50"/>
      <c r="AG27" s="93"/>
      <c r="AL27" s="152"/>
      <c r="AM27" s="149" t="e">
        <f>"1.3*"&amp; TEXT(Y29,"0.0")&amp;"*(1+0)"</f>
        <v>#N/A</v>
      </c>
      <c r="AN27" s="154"/>
      <c r="AO27" s="147"/>
      <c r="AP27" s="148"/>
    </row>
    <row r="28" spans="1:42" s="39" customFormat="1" ht="14.25" customHeight="1" outlineLevel="1" x14ac:dyDescent="0.3">
      <c r="A28" s="73"/>
      <c r="E28" s="53" t="s">
        <v>43</v>
      </c>
      <c r="F28" s="47">
        <v>6</v>
      </c>
      <c r="K28" s="92" t="s">
        <v>42</v>
      </c>
      <c r="L28" s="74"/>
      <c r="T28" s="41" t="s">
        <v>6</v>
      </c>
    </row>
    <row r="29" spans="1:42" s="39" customFormat="1" ht="18" customHeight="1" outlineLevel="1" x14ac:dyDescent="0.35">
      <c r="B29" s="142"/>
      <c r="C29" s="85" t="s">
        <v>33</v>
      </c>
      <c r="D29" s="85" t="s">
        <v>32</v>
      </c>
      <c r="E29" s="85" t="s">
        <v>31</v>
      </c>
      <c r="F29" s="85" t="s">
        <v>30</v>
      </c>
      <c r="G29" s="85" t="s">
        <v>29</v>
      </c>
      <c r="H29" s="85" t="s">
        <v>28</v>
      </c>
      <c r="J29" s="135" t="s">
        <v>120</v>
      </c>
      <c r="P29" s="39" t="s">
        <v>119</v>
      </c>
      <c r="Q29" s="39" t="s">
        <v>129</v>
      </c>
      <c r="T29" s="1" t="s">
        <v>5</v>
      </c>
      <c r="U29" s="40" t="s">
        <v>4</v>
      </c>
      <c r="V29" s="40" t="s">
        <v>3</v>
      </c>
      <c r="W29" s="50" t="e">
        <f>TEXT(U23,"0.00")&amp;"/"&amp;TEXT(G15,"0.00")</f>
        <v>#N/A</v>
      </c>
      <c r="X29" s="40" t="s">
        <v>3</v>
      </c>
      <c r="Y29" s="49" t="e">
        <f>U23/G15</f>
        <v>#N/A</v>
      </c>
    </row>
    <row r="30" spans="1:42" s="39" customFormat="1" ht="15" customHeight="1" outlineLevel="1" x14ac:dyDescent="0.3">
      <c r="B30" s="143"/>
      <c r="C30" s="72" t="s">
        <v>25</v>
      </c>
      <c r="D30" s="72" t="s">
        <v>23</v>
      </c>
      <c r="E30" s="72" t="s">
        <v>24</v>
      </c>
      <c r="F30" s="72" t="s">
        <v>23</v>
      </c>
      <c r="G30" s="72" t="s">
        <v>22</v>
      </c>
      <c r="H30" s="72" t="s">
        <v>22</v>
      </c>
      <c r="AB30" s="91">
        <v>3.3</v>
      </c>
      <c r="AC30" s="90" t="s">
        <v>41</v>
      </c>
      <c r="AD30" s="59"/>
      <c r="AG30" s="59"/>
      <c r="AK30" s="91">
        <v>4.3</v>
      </c>
      <c r="AL30" s="90" t="s">
        <v>41</v>
      </c>
      <c r="AM30" s="59"/>
    </row>
    <row r="31" spans="1:42" s="39" customFormat="1" ht="14.25" customHeight="1" outlineLevel="1" x14ac:dyDescent="0.3">
      <c r="B31" s="71" t="s">
        <v>20</v>
      </c>
      <c r="C31" s="87">
        <f>C22*C23/F28</f>
        <v>117.33333333333333</v>
      </c>
      <c r="D31" s="89" t="e">
        <f>C15+C22/2</f>
        <v>#N/A</v>
      </c>
      <c r="E31" s="85" t="e">
        <f>C31*D31</f>
        <v>#N/A</v>
      </c>
      <c r="F31" s="87" t="e">
        <f>ABS(D31-$E$34)</f>
        <v>#N/A</v>
      </c>
      <c r="G31" s="86" t="e">
        <f>C31*F31^2</f>
        <v>#N/A</v>
      </c>
      <c r="H31" s="86">
        <f>(1/12)*(C23*C22^3)/F28</f>
        <v>625.77777777777771</v>
      </c>
    </row>
    <row r="32" spans="1:42" s="39" customFormat="1" ht="14.25" customHeight="1" outlineLevel="1" x14ac:dyDescent="0.3">
      <c r="B32" s="66" t="e">
        <f>C11</f>
        <v>#N/A</v>
      </c>
      <c r="C32" s="88" t="e">
        <f>C14</f>
        <v>#N/A</v>
      </c>
      <c r="D32" s="87" t="e">
        <f>C15/2</f>
        <v>#N/A</v>
      </c>
      <c r="E32" s="85" t="e">
        <f>C32*D32</f>
        <v>#N/A</v>
      </c>
      <c r="F32" s="87" t="e">
        <f>ABS(D32-$E$34)</f>
        <v>#N/A</v>
      </c>
      <c r="G32" s="86" t="e">
        <f>C32*F32^2</f>
        <v>#N/A</v>
      </c>
      <c r="H32" s="85" t="e">
        <f>C12</f>
        <v>#N/A</v>
      </c>
      <c r="AC32" s="1" t="s">
        <v>40</v>
      </c>
      <c r="AD32" s="93" t="e">
        <f>MIN(AG20:AG27)</f>
        <v>#N/A</v>
      </c>
      <c r="AL32" s="1" t="s">
        <v>40</v>
      </c>
      <c r="AM32" s="93" t="e">
        <f>MIN(AP20:AP27)</f>
        <v>#N/A</v>
      </c>
    </row>
    <row r="33" spans="1:40" s="39" customFormat="1" ht="14.25" customHeight="1" x14ac:dyDescent="0.3">
      <c r="B33" s="53" t="s">
        <v>17</v>
      </c>
      <c r="C33" s="61" t="e">
        <f>SUM(C31:C32)</f>
        <v>#N/A</v>
      </c>
      <c r="D33" s="53" t="s">
        <v>17</v>
      </c>
      <c r="E33" s="61" t="e">
        <f>SUM(E31:E32)</f>
        <v>#N/A</v>
      </c>
      <c r="F33" s="58"/>
      <c r="G33" s="44"/>
      <c r="H33" s="43"/>
      <c r="AC33" s="80"/>
      <c r="AD33" s="79"/>
      <c r="AE33" s="84"/>
      <c r="AF33" s="83"/>
      <c r="AG33" s="82"/>
      <c r="AL33" s="80"/>
      <c r="AM33" s="79"/>
      <c r="AN33" s="84"/>
    </row>
    <row r="34" spans="1:40" s="39" customFormat="1" ht="14.25" customHeight="1" x14ac:dyDescent="0.3">
      <c r="C34" s="53"/>
      <c r="D34" s="57" t="s">
        <v>14</v>
      </c>
      <c r="E34" s="59" t="e">
        <f>E33/C33</f>
        <v>#N/A</v>
      </c>
      <c r="F34" s="58"/>
      <c r="G34" s="57" t="s">
        <v>2</v>
      </c>
      <c r="H34" s="47" t="e">
        <f>SUM(G31:H32)</f>
        <v>#N/A</v>
      </c>
      <c r="I34" s="39" t="s">
        <v>13</v>
      </c>
      <c r="AC34" s="80" t="s">
        <v>39</v>
      </c>
      <c r="AD34" s="79" t="e">
        <f>AD32*4</f>
        <v>#N/A</v>
      </c>
      <c r="AE34" s="78" t="s">
        <v>38</v>
      </c>
      <c r="AF34" s="83"/>
      <c r="AG34" s="82"/>
      <c r="AH34" s="81"/>
      <c r="AL34" s="80" t="s">
        <v>39</v>
      </c>
      <c r="AM34" s="79" t="e">
        <f>AM32*4</f>
        <v>#N/A</v>
      </c>
      <c r="AN34" s="78" t="s">
        <v>38</v>
      </c>
    </row>
    <row r="35" spans="1:40" s="39" customFormat="1" ht="14.25" customHeight="1" x14ac:dyDescent="0.35">
      <c r="B35" s="48" t="s">
        <v>10</v>
      </c>
      <c r="C35" s="47" t="e">
        <f>H34/(C15+C22-E34)</f>
        <v>#N/A</v>
      </c>
      <c r="D35" s="46" t="s">
        <v>7</v>
      </c>
      <c r="F35" s="53"/>
      <c r="G35" s="52"/>
      <c r="H35" s="43"/>
      <c r="AM35" s="50"/>
    </row>
    <row r="36" spans="1:40" s="39" customFormat="1" ht="14.25" customHeight="1" x14ac:dyDescent="0.35">
      <c r="B36" s="48" t="s">
        <v>8</v>
      </c>
      <c r="C36" s="47" t="e">
        <f>H34/E34</f>
        <v>#N/A</v>
      </c>
      <c r="D36" s="46" t="s">
        <v>7</v>
      </c>
      <c r="F36" s="45"/>
      <c r="G36" s="44"/>
      <c r="H36" s="43"/>
      <c r="I36" s="42"/>
    </row>
    <row r="37" spans="1:40" s="39" customFormat="1" ht="14.25" customHeight="1" outlineLevel="1" x14ac:dyDescent="0.3">
      <c r="K37" s="53" t="s">
        <v>37</v>
      </c>
      <c r="L37" s="77">
        <f>((7*12+4)-(3*12+6))/(7*12+4)</f>
        <v>0.52272727272727271</v>
      </c>
      <c r="P37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40" s="39" customFormat="1" ht="14.25" customHeight="1" outlineLevel="1" x14ac:dyDescent="0.3">
      <c r="B38" s="76" t="s">
        <v>36</v>
      </c>
      <c r="C38" s="75"/>
      <c r="D38" s="74"/>
      <c r="L38" s="50"/>
    </row>
    <row r="39" spans="1:40" s="39" customFormat="1" ht="14.25" customHeight="1" outlineLevel="1" x14ac:dyDescent="0.3">
      <c r="A39" s="73"/>
      <c r="E39" s="53" t="s">
        <v>35</v>
      </c>
      <c r="F39" s="45">
        <f>3*F28</f>
        <v>18</v>
      </c>
      <c r="L39" s="138" t="s">
        <v>130</v>
      </c>
    </row>
    <row r="40" spans="1:40" s="39" customFormat="1" ht="18" customHeight="1" x14ac:dyDescent="0.35">
      <c r="B40" s="142"/>
      <c r="C40" s="62" t="s">
        <v>33</v>
      </c>
      <c r="D40" s="62" t="s">
        <v>32</v>
      </c>
      <c r="E40" s="62" t="s">
        <v>31</v>
      </c>
      <c r="F40" s="62" t="s">
        <v>30</v>
      </c>
      <c r="G40" s="62" t="s">
        <v>29</v>
      </c>
      <c r="H40" s="62" t="s">
        <v>28</v>
      </c>
      <c r="L40" s="53" t="s">
        <v>131</v>
      </c>
    </row>
    <row r="41" spans="1:40" s="39" customFormat="1" ht="14.25" customHeight="1" x14ac:dyDescent="0.3">
      <c r="B41" s="143"/>
      <c r="C41" s="72" t="s">
        <v>25</v>
      </c>
      <c r="D41" s="72" t="s">
        <v>23</v>
      </c>
      <c r="E41" s="72" t="s">
        <v>24</v>
      </c>
      <c r="F41" s="72" t="s">
        <v>23</v>
      </c>
      <c r="G41" s="72" t="s">
        <v>22</v>
      </c>
      <c r="H41" s="72" t="s">
        <v>22</v>
      </c>
      <c r="L41" s="53" t="s">
        <v>132</v>
      </c>
    </row>
    <row r="42" spans="1:40" s="39" customFormat="1" ht="14.25" customHeight="1" outlineLevel="1" x14ac:dyDescent="0.3">
      <c r="B42" s="71" t="s">
        <v>20</v>
      </c>
      <c r="C42" s="64">
        <f>C22*C23/F39</f>
        <v>39.111111111111114</v>
      </c>
      <c r="D42" s="70" t="e">
        <f>C15+C22/2</f>
        <v>#N/A</v>
      </c>
      <c r="E42" s="69" t="e">
        <f>C42*D42</f>
        <v>#N/A</v>
      </c>
      <c r="F42" s="64" t="e">
        <f>ABS(D42-$E$34)</f>
        <v>#N/A</v>
      </c>
      <c r="G42" s="63" t="e">
        <f>C42*F42^2</f>
        <v>#N/A</v>
      </c>
      <c r="H42" s="63">
        <f>(1/12)*(C23*C22^3)/F39</f>
        <v>208.59259259259258</v>
      </c>
      <c r="L42" s="53" t="s">
        <v>134</v>
      </c>
    </row>
    <row r="43" spans="1:40" s="39" customFormat="1" ht="15.6" outlineLevel="1" x14ac:dyDescent="0.35">
      <c r="B43" s="66" t="e">
        <f>B32</f>
        <v>#N/A</v>
      </c>
      <c r="C43" s="65" t="e">
        <f>C14</f>
        <v>#N/A</v>
      </c>
      <c r="D43" s="64" t="e">
        <f>C15/2</f>
        <v>#N/A</v>
      </c>
      <c r="E43" s="62" t="e">
        <f>C43*D43</f>
        <v>#N/A</v>
      </c>
      <c r="F43" s="64" t="e">
        <f>ABS(D43-$E$34)</f>
        <v>#N/A</v>
      </c>
      <c r="G43" s="63" t="e">
        <f>C43*F43^2</f>
        <v>#N/A</v>
      </c>
      <c r="H43" s="62" t="e">
        <f>C12</f>
        <v>#N/A</v>
      </c>
      <c r="L43" s="53" t="s">
        <v>138</v>
      </c>
      <c r="P43" s="139" t="s">
        <v>135</v>
      </c>
    </row>
    <row r="44" spans="1:40" s="39" customFormat="1" x14ac:dyDescent="0.3">
      <c r="B44" s="53" t="s">
        <v>17</v>
      </c>
      <c r="C44" s="61" t="e">
        <f>SUM(C42:C43)</f>
        <v>#N/A</v>
      </c>
      <c r="D44" s="53" t="s">
        <v>17</v>
      </c>
      <c r="E44" s="61" t="e">
        <f>SUM(E42:E43)</f>
        <v>#N/A</v>
      </c>
      <c r="F44" s="58"/>
      <c r="G44" s="44"/>
      <c r="H44" s="43"/>
    </row>
    <row r="45" spans="1:40" s="39" customFormat="1" ht="15.75" customHeight="1" x14ac:dyDescent="0.3">
      <c r="C45" s="53"/>
      <c r="D45" s="57" t="s">
        <v>14</v>
      </c>
      <c r="E45" s="59" t="e">
        <f>E44/C44</f>
        <v>#N/A</v>
      </c>
      <c r="F45" s="58"/>
      <c r="G45" s="57" t="s">
        <v>2</v>
      </c>
      <c r="H45" s="47" t="e">
        <f>SUM(G42:H43)</f>
        <v>#N/A</v>
      </c>
      <c r="I45" s="56" t="s">
        <v>13</v>
      </c>
    </row>
    <row r="46" spans="1:40" s="39" customFormat="1" ht="14.25" customHeight="1" x14ac:dyDescent="0.35">
      <c r="B46" s="48" t="s">
        <v>10</v>
      </c>
      <c r="C46" s="47" t="e">
        <f>H45/(C23+D31-E45)</f>
        <v>#N/A</v>
      </c>
      <c r="D46" s="46" t="s">
        <v>7</v>
      </c>
      <c r="F46" s="53"/>
      <c r="G46" s="52"/>
      <c r="H46" s="43"/>
      <c r="L46" s="39" t="s">
        <v>133</v>
      </c>
      <c r="M46" s="102">
        <v>640</v>
      </c>
      <c r="N46" s="39" t="s">
        <v>136</v>
      </c>
      <c r="P46" s="39" t="s">
        <v>119</v>
      </c>
    </row>
    <row r="47" spans="1:40" s="39" customFormat="1" ht="14.25" customHeight="1" x14ac:dyDescent="0.35">
      <c r="B47" s="48" t="s">
        <v>8</v>
      </c>
      <c r="C47" s="47" t="e">
        <f>H45/E45</f>
        <v>#N/A</v>
      </c>
      <c r="D47" s="46" t="s">
        <v>7</v>
      </c>
      <c r="F47" s="45"/>
      <c r="G47" s="44"/>
      <c r="H47" s="43"/>
      <c r="I47" s="42"/>
      <c r="L47" s="53" t="s">
        <v>137</v>
      </c>
      <c r="P47" s="139" t="s">
        <v>135</v>
      </c>
    </row>
    <row r="48" spans="1:40" s="39" customFormat="1" x14ac:dyDescent="0.3"/>
    <row r="49" spans="1:89" s="30" customFormat="1" x14ac:dyDescent="0.3">
      <c r="J49" s="3"/>
      <c r="K49" s="3"/>
      <c r="L49" s="3"/>
      <c r="M49" s="3"/>
      <c r="N49" s="3"/>
      <c r="O49" s="3"/>
      <c r="P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1:89" s="30" customFormat="1" x14ac:dyDescent="0.3">
      <c r="J50" s="3"/>
      <c r="K50" s="29"/>
      <c r="L50" s="38"/>
      <c r="M50" s="22"/>
      <c r="N50" s="3"/>
      <c r="O50" s="3"/>
      <c r="P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1:89" s="30" customForma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27"/>
      <c r="L51" s="13"/>
      <c r="M51" s="22"/>
      <c r="N51" s="9"/>
      <c r="O51" s="9"/>
      <c r="P51" s="9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1:89" s="30" customFormat="1" ht="14.25" customHeight="1" x14ac:dyDescent="0.35">
      <c r="A52" s="37"/>
      <c r="B52" s="37"/>
      <c r="C52" s="37"/>
      <c r="D52" s="37"/>
      <c r="E52" s="37"/>
      <c r="F52" s="37"/>
      <c r="G52" s="37"/>
      <c r="H52" s="37"/>
      <c r="I52" s="37"/>
      <c r="J52" s="36"/>
      <c r="K52" s="27"/>
      <c r="L52" s="25"/>
      <c r="M52" s="3"/>
      <c r="N52" s="36"/>
      <c r="O52" s="36"/>
      <c r="P52" s="36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1:89" s="30" customFormat="1" ht="15.6" x14ac:dyDescent="0.3">
      <c r="A53" s="33"/>
      <c r="B53" s="19"/>
      <c r="C53" s="35"/>
      <c r="D53" s="35"/>
      <c r="E53" s="35"/>
      <c r="F53" s="35"/>
      <c r="G53" s="35"/>
      <c r="H53" s="35"/>
      <c r="I53" s="33"/>
      <c r="J53" s="33"/>
      <c r="K53" s="22"/>
      <c r="L53" s="3"/>
      <c r="M53" s="3"/>
      <c r="N53" s="16"/>
      <c r="O53" s="16"/>
      <c r="P53" s="16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1:89" s="30" customFormat="1" ht="15.6" x14ac:dyDescent="0.3">
      <c r="A54" s="33"/>
      <c r="B54" s="19"/>
      <c r="C54" s="34"/>
      <c r="D54" s="34"/>
      <c r="E54" s="34"/>
      <c r="F54" s="34"/>
      <c r="G54" s="34"/>
      <c r="H54" s="34"/>
      <c r="I54" s="33"/>
      <c r="J54" s="33"/>
      <c r="K54" s="26"/>
      <c r="L54" s="3"/>
      <c r="M54" s="3"/>
      <c r="N54" s="32"/>
      <c r="O54" s="32"/>
      <c r="P54" s="32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1:89" s="30" customFormat="1" ht="15.6" x14ac:dyDescent="0.3">
      <c r="A55" s="9"/>
      <c r="B55" s="19"/>
      <c r="C55" s="17"/>
      <c r="D55" s="31"/>
      <c r="E55" s="17"/>
      <c r="F55" s="17"/>
      <c r="G55" s="17"/>
      <c r="H55" s="17"/>
      <c r="I55" s="9"/>
      <c r="J55" s="9"/>
      <c r="K55" s="25"/>
      <c r="L55" s="3"/>
      <c r="M55" s="3"/>
      <c r="N55" s="21"/>
      <c r="O55" s="20"/>
      <c r="P55" s="20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1:89" s="30" customFormat="1" ht="15.6" x14ac:dyDescent="0.3">
      <c r="A56" s="9"/>
      <c r="B56" s="19"/>
      <c r="C56" s="17"/>
      <c r="D56" s="31"/>
      <c r="E56" s="17"/>
      <c r="F56" s="17"/>
      <c r="G56" s="17"/>
      <c r="H56" s="17"/>
      <c r="I56" s="9"/>
      <c r="J56" s="9"/>
      <c r="K56" s="23"/>
      <c r="L56" s="24"/>
      <c r="M56" s="3"/>
      <c r="N56" s="21"/>
      <c r="O56" s="20"/>
      <c r="P56" s="20"/>
      <c r="Q56" s="15"/>
      <c r="R56" s="9"/>
      <c r="S56" s="9"/>
      <c r="T56" s="9"/>
      <c r="U56" s="9"/>
      <c r="V56" s="9"/>
      <c r="W56" s="9"/>
      <c r="X56" s="9"/>
      <c r="Y56" s="9"/>
      <c r="Z56" s="9"/>
      <c r="AA56" s="9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1:89" s="30" customFormat="1" ht="15.6" x14ac:dyDescent="0.3">
      <c r="A57" s="9"/>
      <c r="B57" s="19"/>
      <c r="C57" s="17"/>
      <c r="D57" s="31"/>
      <c r="E57" s="17"/>
      <c r="F57" s="17"/>
      <c r="G57" s="17"/>
      <c r="H57" s="17"/>
      <c r="I57" s="9"/>
      <c r="J57" s="9"/>
      <c r="K57" s="25"/>
      <c r="L57" s="5"/>
      <c r="M57" s="22"/>
      <c r="N57" s="21"/>
      <c r="O57" s="20"/>
      <c r="P57" s="20"/>
      <c r="Q57" s="15"/>
      <c r="R57" s="9"/>
      <c r="S57" s="9"/>
      <c r="T57" s="9"/>
      <c r="U57" s="9"/>
      <c r="V57" s="9"/>
      <c r="W57" s="9"/>
      <c r="X57" s="9"/>
      <c r="Y57" s="9"/>
      <c r="Z57" s="9"/>
      <c r="AA57" s="9"/>
      <c r="AB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</row>
    <row r="58" spans="1:89" ht="15.6" x14ac:dyDescent="0.3">
      <c r="A58" s="9"/>
      <c r="B58" s="19"/>
      <c r="C58" s="17"/>
      <c r="D58" s="18"/>
      <c r="E58" s="17"/>
      <c r="F58" s="17"/>
      <c r="G58" s="17"/>
      <c r="H58" s="17"/>
      <c r="I58" s="9"/>
      <c r="J58" s="9"/>
      <c r="K58" s="29"/>
      <c r="L58" s="28"/>
      <c r="M58" s="3"/>
      <c r="N58" s="21"/>
      <c r="O58" s="20"/>
      <c r="P58" s="20"/>
      <c r="Q58" s="15"/>
      <c r="R58" s="9"/>
      <c r="S58" s="9"/>
      <c r="T58" s="9"/>
      <c r="U58" s="9"/>
      <c r="V58" s="9"/>
      <c r="W58" s="9"/>
      <c r="X58" s="9"/>
      <c r="Y58" s="9"/>
      <c r="Z58" s="9"/>
      <c r="AA58" s="9"/>
      <c r="AB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</row>
    <row r="59" spans="1:89" ht="15.6" x14ac:dyDescent="0.3">
      <c r="A59" s="9"/>
      <c r="B59" s="19"/>
      <c r="C59" s="17"/>
      <c r="D59" s="18"/>
      <c r="E59" s="17"/>
      <c r="F59" s="17"/>
      <c r="G59" s="17"/>
      <c r="H59" s="17"/>
      <c r="I59" s="9"/>
      <c r="J59" s="9"/>
      <c r="K59" s="27"/>
      <c r="L59" s="13"/>
      <c r="M59" s="3"/>
      <c r="N59" s="21"/>
      <c r="O59" s="20"/>
      <c r="P59" s="20"/>
      <c r="Q59" s="15"/>
      <c r="R59" s="9"/>
      <c r="S59" s="9"/>
      <c r="T59" s="9"/>
      <c r="U59" s="9"/>
      <c r="V59" s="9"/>
      <c r="W59" s="9"/>
      <c r="X59" s="9"/>
      <c r="Y59" s="9"/>
      <c r="Z59" s="9"/>
      <c r="AA59" s="9"/>
      <c r="AB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</row>
    <row r="60" spans="1:89" ht="15.6" x14ac:dyDescent="0.3">
      <c r="A60" s="9"/>
      <c r="B60" s="19"/>
      <c r="C60" s="17"/>
      <c r="D60" s="18"/>
      <c r="E60" s="17"/>
      <c r="F60" s="17"/>
      <c r="G60" s="17"/>
      <c r="H60" s="17"/>
      <c r="I60" s="9"/>
      <c r="J60" s="9"/>
      <c r="K60" s="27"/>
      <c r="L60" s="3"/>
      <c r="M60" s="3"/>
      <c r="N60" s="21"/>
      <c r="O60" s="20"/>
      <c r="P60" s="20"/>
      <c r="Q60" s="15"/>
      <c r="R60" s="9"/>
      <c r="S60" s="9"/>
      <c r="T60" s="9"/>
      <c r="U60" s="9"/>
      <c r="V60" s="9"/>
      <c r="W60" s="9"/>
      <c r="X60" s="9"/>
      <c r="Y60" s="9"/>
      <c r="Z60" s="9"/>
      <c r="AA60" s="9"/>
      <c r="AB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</row>
    <row r="61" spans="1:89" ht="15.6" x14ac:dyDescent="0.3">
      <c r="A61" s="9"/>
      <c r="B61" s="19"/>
      <c r="C61" s="17"/>
      <c r="D61" s="18"/>
      <c r="E61" s="17"/>
      <c r="F61" s="17"/>
      <c r="G61" s="17"/>
      <c r="H61" s="17"/>
      <c r="I61" s="9"/>
      <c r="J61" s="9"/>
      <c r="K61" s="22"/>
      <c r="L61" s="3"/>
      <c r="M61" s="3"/>
      <c r="N61" s="21"/>
      <c r="O61" s="20"/>
      <c r="P61" s="20"/>
      <c r="Q61" s="15"/>
      <c r="R61" s="9"/>
      <c r="S61" s="9"/>
      <c r="T61" s="9"/>
      <c r="U61" s="9"/>
      <c r="V61" s="9"/>
      <c r="W61" s="9"/>
      <c r="X61" s="9"/>
      <c r="Y61" s="9"/>
      <c r="Z61" s="9"/>
      <c r="AA61" s="9"/>
      <c r="AB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</row>
    <row r="62" spans="1:89" ht="15.6" x14ac:dyDescent="0.3">
      <c r="A62" s="9"/>
      <c r="B62" s="19"/>
      <c r="C62" s="17"/>
      <c r="D62" s="18"/>
      <c r="E62" s="17"/>
      <c r="F62" s="17"/>
      <c r="G62" s="17"/>
      <c r="H62" s="17"/>
      <c r="I62" s="9"/>
      <c r="J62" s="9"/>
      <c r="K62" s="26"/>
      <c r="L62" s="5"/>
      <c r="M62" s="3"/>
      <c r="N62" s="21"/>
      <c r="O62" s="20"/>
      <c r="P62" s="20"/>
      <c r="Q62" s="15"/>
      <c r="R62" s="9"/>
      <c r="S62" s="9"/>
      <c r="T62" s="9"/>
      <c r="U62" s="9"/>
      <c r="V62" s="9"/>
      <c r="W62" s="9"/>
      <c r="X62" s="9"/>
      <c r="Y62" s="9"/>
      <c r="Z62" s="9"/>
      <c r="AA62" s="9"/>
      <c r="AB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</row>
    <row r="63" spans="1:89" ht="15.6" x14ac:dyDescent="0.3">
      <c r="A63" s="9"/>
      <c r="B63" s="19"/>
      <c r="C63" s="17"/>
      <c r="D63" s="18"/>
      <c r="E63" s="17"/>
      <c r="F63" s="17"/>
      <c r="G63" s="17"/>
      <c r="H63" s="17"/>
      <c r="I63" s="9"/>
      <c r="J63" s="9"/>
      <c r="K63" s="25"/>
      <c r="L63" s="24"/>
      <c r="M63" s="3"/>
      <c r="N63" s="21"/>
      <c r="O63" s="20"/>
      <c r="P63" s="20"/>
      <c r="Q63" s="15"/>
      <c r="R63" s="9"/>
      <c r="S63" s="9"/>
      <c r="T63" s="9"/>
      <c r="U63" s="9"/>
      <c r="V63" s="9"/>
      <c r="W63" s="9"/>
      <c r="X63" s="9"/>
      <c r="Y63" s="9"/>
      <c r="Z63" s="9"/>
      <c r="AA63" s="9"/>
      <c r="AB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</row>
    <row r="64" spans="1:89" ht="15.6" x14ac:dyDescent="0.3">
      <c r="A64" s="9"/>
      <c r="B64" s="19"/>
      <c r="C64" s="17"/>
      <c r="D64" s="18"/>
      <c r="E64" s="17"/>
      <c r="F64" s="17"/>
      <c r="G64" s="17"/>
      <c r="H64" s="17"/>
      <c r="I64" s="9"/>
      <c r="J64" s="9"/>
      <c r="K64" s="23"/>
      <c r="L64" s="5"/>
      <c r="M64" s="22"/>
      <c r="N64" s="21"/>
      <c r="O64" s="20"/>
      <c r="P64" s="20"/>
      <c r="Q64" s="15"/>
      <c r="R64" s="9"/>
      <c r="S64" s="9"/>
      <c r="T64" s="9"/>
      <c r="U64" s="9"/>
      <c r="V64" s="9"/>
      <c r="W64" s="9"/>
      <c r="X64" s="9"/>
      <c r="Y64" s="9"/>
      <c r="Z64" s="9"/>
      <c r="AA64" s="9"/>
      <c r="AB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</row>
    <row r="65" spans="1:89" ht="15.6" x14ac:dyDescent="0.3">
      <c r="A65" s="9"/>
      <c r="B65" s="19"/>
      <c r="C65" s="17"/>
      <c r="D65" s="18"/>
      <c r="E65" s="17"/>
      <c r="F65" s="17"/>
      <c r="G65" s="17"/>
      <c r="H65" s="17"/>
      <c r="I65" s="9"/>
      <c r="J65" s="9"/>
      <c r="K65" s="9"/>
      <c r="L65" s="21"/>
      <c r="M65" s="21"/>
      <c r="N65" s="21"/>
      <c r="O65" s="20"/>
      <c r="P65" s="20"/>
      <c r="Q65" s="15"/>
      <c r="R65" s="9"/>
      <c r="S65" s="9"/>
      <c r="T65" s="9"/>
      <c r="U65" s="9"/>
      <c r="V65" s="9"/>
      <c r="W65" s="9"/>
      <c r="X65" s="9"/>
      <c r="Y65" s="9"/>
      <c r="Z65" s="9"/>
      <c r="AA65" s="9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</row>
    <row r="66" spans="1:89" ht="15.6" x14ac:dyDescent="0.3">
      <c r="A66" s="9"/>
      <c r="B66" s="19"/>
      <c r="C66" s="17"/>
      <c r="D66" s="18"/>
      <c r="E66" s="17"/>
      <c r="F66" s="17"/>
      <c r="G66" s="17"/>
      <c r="H66" s="17"/>
      <c r="I66" s="9"/>
      <c r="J66" s="9"/>
      <c r="K66" s="9"/>
      <c r="L66" s="21"/>
      <c r="M66" s="21"/>
      <c r="N66" s="21"/>
      <c r="O66" s="20"/>
      <c r="P66" s="20"/>
      <c r="Q66" s="15"/>
      <c r="R66" s="9"/>
      <c r="S66" s="9"/>
      <c r="T66" s="9"/>
      <c r="U66" s="9"/>
      <c r="V66" s="9"/>
      <c r="W66" s="9"/>
      <c r="X66" s="9"/>
      <c r="Y66" s="9"/>
      <c r="Z66" s="9"/>
      <c r="AA66" s="9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1:89" ht="15.6" x14ac:dyDescent="0.3">
      <c r="A67" s="9"/>
      <c r="B67" s="19"/>
      <c r="C67" s="17"/>
      <c r="D67" s="18"/>
      <c r="E67" s="17"/>
      <c r="F67" s="17"/>
      <c r="G67" s="17"/>
      <c r="H67" s="17"/>
      <c r="I67" s="9"/>
      <c r="J67" s="9"/>
      <c r="K67" s="9"/>
      <c r="L67" s="21"/>
      <c r="M67" s="21"/>
      <c r="N67" s="21"/>
      <c r="O67" s="20"/>
      <c r="P67" s="20"/>
      <c r="Q67" s="15"/>
      <c r="R67" s="8"/>
      <c r="S67" s="8"/>
      <c r="T67" s="8"/>
      <c r="U67" s="8"/>
      <c r="V67" s="8"/>
      <c r="W67" s="8"/>
      <c r="X67" s="8"/>
      <c r="Y67" s="8"/>
      <c r="Z67" s="8"/>
      <c r="AA67" s="8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</row>
    <row r="68" spans="1:89" ht="15.6" x14ac:dyDescent="0.3">
      <c r="A68" s="9"/>
      <c r="B68" s="19"/>
      <c r="C68" s="17"/>
      <c r="D68" s="18"/>
      <c r="E68" s="17"/>
      <c r="F68" s="17"/>
      <c r="G68" s="17"/>
      <c r="H68" s="17"/>
      <c r="I68" s="9"/>
      <c r="J68" s="9"/>
      <c r="K68" s="9"/>
      <c r="L68" s="21"/>
      <c r="M68" s="21"/>
      <c r="N68" s="21"/>
      <c r="O68" s="20"/>
      <c r="P68" s="20"/>
      <c r="Q68" s="15"/>
      <c r="R68" s="8"/>
      <c r="S68" s="8"/>
      <c r="T68" s="8"/>
      <c r="U68" s="8"/>
      <c r="V68" s="8"/>
      <c r="W68" s="8"/>
      <c r="X68" s="8"/>
      <c r="Y68" s="8"/>
      <c r="Z68" s="8"/>
      <c r="AA68" s="8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</row>
    <row r="69" spans="1:89" ht="15.6" x14ac:dyDescent="0.3">
      <c r="A69" s="9"/>
      <c r="B69" s="19"/>
      <c r="C69" s="17"/>
      <c r="D69" s="18"/>
      <c r="E69" s="17"/>
      <c r="F69" s="17"/>
      <c r="G69" s="17"/>
      <c r="H69" s="17"/>
      <c r="I69" s="9"/>
      <c r="J69" s="9"/>
      <c r="K69" s="9"/>
      <c r="L69" s="21"/>
      <c r="M69" s="21"/>
      <c r="N69" s="21"/>
      <c r="O69" s="20"/>
      <c r="P69" s="20"/>
      <c r="Q69" s="15"/>
      <c r="R69" s="8"/>
      <c r="S69" s="8"/>
      <c r="T69" s="8"/>
      <c r="U69" s="8"/>
      <c r="V69" s="8"/>
      <c r="W69" s="8"/>
      <c r="X69" s="8"/>
      <c r="Y69" s="8"/>
      <c r="Z69" s="8"/>
      <c r="AA69" s="8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</row>
    <row r="70" spans="1:89" ht="15.6" x14ac:dyDescent="0.3">
      <c r="A70" s="9"/>
      <c r="B70" s="19"/>
      <c r="C70" s="17"/>
      <c r="D70" s="18"/>
      <c r="E70" s="17"/>
      <c r="F70" s="17"/>
      <c r="G70" s="17"/>
      <c r="H70" s="17"/>
      <c r="I70" s="9"/>
      <c r="J70" s="9"/>
      <c r="K70" s="9"/>
      <c r="L70" s="21"/>
      <c r="M70" s="21"/>
      <c r="N70" s="21"/>
      <c r="O70" s="20"/>
      <c r="P70" s="20"/>
      <c r="Q70" s="15"/>
      <c r="R70" s="8"/>
      <c r="S70" s="8"/>
      <c r="T70" s="8"/>
      <c r="U70" s="8"/>
      <c r="V70" s="8"/>
      <c r="W70" s="8"/>
      <c r="X70" s="8"/>
      <c r="Y70" s="8"/>
      <c r="Z70" s="8"/>
      <c r="AA70" s="8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</row>
    <row r="71" spans="1:89" ht="15.6" x14ac:dyDescent="0.3">
      <c r="A71" s="9"/>
      <c r="B71" s="19"/>
      <c r="C71" s="17"/>
      <c r="D71" s="18"/>
      <c r="E71" s="17"/>
      <c r="F71" s="17"/>
      <c r="G71" s="17"/>
      <c r="H71" s="17"/>
      <c r="I71" s="9"/>
      <c r="J71" s="9"/>
      <c r="K71" s="9"/>
      <c r="L71" s="21"/>
      <c r="M71" s="21"/>
      <c r="N71" s="21"/>
      <c r="O71" s="20"/>
      <c r="P71" s="20"/>
      <c r="Q71" s="15"/>
      <c r="R71" s="8"/>
      <c r="S71" s="8"/>
      <c r="T71" s="8"/>
      <c r="U71" s="8"/>
      <c r="V71" s="8"/>
      <c r="W71" s="8"/>
      <c r="X71" s="8"/>
      <c r="Y71" s="8"/>
      <c r="Z71" s="8"/>
      <c r="AA71" s="8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1:89" ht="15.6" x14ac:dyDescent="0.3">
      <c r="A72" s="9"/>
      <c r="B72" s="19"/>
      <c r="C72" s="17"/>
      <c r="D72" s="18"/>
      <c r="E72" s="17"/>
      <c r="F72" s="17"/>
      <c r="G72" s="17"/>
      <c r="H72" s="17"/>
      <c r="I72" s="9"/>
      <c r="J72" s="9"/>
      <c r="K72" s="9"/>
      <c r="L72" s="21"/>
      <c r="M72" s="16"/>
      <c r="N72" s="15"/>
      <c r="O72" s="15"/>
      <c r="P72" s="15"/>
      <c r="Q72" s="15"/>
      <c r="R72" s="8"/>
      <c r="S72" s="8"/>
      <c r="T72" s="8"/>
      <c r="U72" s="8"/>
      <c r="V72" s="8"/>
      <c r="W72" s="8"/>
      <c r="X72" s="8"/>
      <c r="Y72" s="8"/>
      <c r="Z72" s="8"/>
      <c r="AA72" s="8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</row>
    <row r="73" spans="1:89" ht="15.6" x14ac:dyDescent="0.3">
      <c r="A73" s="9"/>
      <c r="B73" s="19"/>
      <c r="C73" s="17"/>
      <c r="D73" s="18"/>
      <c r="E73" s="17"/>
      <c r="F73" s="17"/>
      <c r="G73" s="17"/>
      <c r="H73" s="17"/>
      <c r="I73" s="9"/>
      <c r="J73" s="9"/>
      <c r="K73" s="9"/>
      <c r="L73" s="21"/>
      <c r="M73" s="21"/>
      <c r="N73" s="15"/>
      <c r="O73" s="15"/>
      <c r="P73" s="20"/>
      <c r="Q73" s="15"/>
      <c r="R73" s="8"/>
      <c r="S73" s="8"/>
      <c r="T73" s="8"/>
      <c r="U73" s="8"/>
      <c r="V73" s="8"/>
      <c r="W73" s="8"/>
      <c r="X73" s="8"/>
      <c r="Y73" s="8"/>
      <c r="Z73" s="8"/>
      <c r="AA73" s="8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  <row r="74" spans="1:89" ht="15.6" x14ac:dyDescent="0.3">
      <c r="A74" s="9"/>
      <c r="B74" s="19"/>
      <c r="C74" s="17"/>
      <c r="D74" s="18"/>
      <c r="E74" s="17"/>
      <c r="F74" s="17"/>
      <c r="G74" s="17"/>
      <c r="H74" s="17"/>
      <c r="I74" s="9"/>
      <c r="J74" s="9"/>
      <c r="K74" s="9"/>
      <c r="L74" s="21"/>
      <c r="M74" s="16"/>
      <c r="N74" s="15"/>
      <c r="O74" s="15"/>
      <c r="P74" s="15"/>
      <c r="Q74" s="15"/>
      <c r="R74" s="8"/>
      <c r="S74" s="8"/>
      <c r="T74" s="8"/>
      <c r="U74" s="8"/>
      <c r="V74" s="8"/>
      <c r="W74" s="8"/>
      <c r="X74" s="8"/>
      <c r="Y74" s="8"/>
      <c r="Z74" s="8"/>
      <c r="AA74" s="8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</row>
    <row r="75" spans="1:89" ht="15.6" x14ac:dyDescent="0.3">
      <c r="A75" s="9"/>
      <c r="B75" s="19"/>
      <c r="C75" s="17"/>
      <c r="D75" s="18"/>
      <c r="E75" s="17"/>
      <c r="F75" s="17"/>
      <c r="G75" s="17"/>
      <c r="H75" s="17"/>
      <c r="I75" s="9"/>
      <c r="J75" s="9"/>
      <c r="K75" s="9"/>
      <c r="L75" s="21"/>
      <c r="M75" s="21"/>
      <c r="N75" s="15"/>
      <c r="O75" s="15"/>
      <c r="P75" s="20"/>
      <c r="Q75" s="15"/>
      <c r="R75" s="9"/>
      <c r="S75" s="9"/>
      <c r="T75" s="9"/>
      <c r="U75" s="9"/>
      <c r="V75" s="9"/>
      <c r="W75" s="9"/>
      <c r="X75" s="9"/>
      <c r="Y75" s="9"/>
      <c r="Z75" s="9"/>
      <c r="AA75" s="9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</row>
    <row r="76" spans="1:89" ht="15.6" x14ac:dyDescent="0.3">
      <c r="A76" s="9"/>
      <c r="B76" s="19"/>
      <c r="C76" s="17"/>
      <c r="D76" s="18"/>
      <c r="E76" s="17"/>
      <c r="F76" s="17"/>
      <c r="G76" s="17"/>
      <c r="H76" s="17"/>
      <c r="I76" s="9"/>
      <c r="J76" s="9"/>
      <c r="K76" s="9"/>
      <c r="L76" s="21"/>
      <c r="M76" s="16"/>
      <c r="N76" s="15"/>
      <c r="O76" s="15"/>
      <c r="P76" s="15"/>
      <c r="Q76" s="15"/>
      <c r="R76" s="9"/>
      <c r="S76" s="9"/>
      <c r="T76" s="9"/>
      <c r="U76" s="9"/>
      <c r="V76" s="9"/>
      <c r="W76" s="9"/>
      <c r="X76" s="9"/>
      <c r="Y76" s="9"/>
      <c r="Z76" s="9"/>
      <c r="AA76" s="9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1:89" ht="15.6" x14ac:dyDescent="0.3">
      <c r="A77" s="9"/>
      <c r="B77" s="19"/>
      <c r="C77" s="17"/>
      <c r="D77" s="18"/>
      <c r="E77" s="17"/>
      <c r="F77" s="17"/>
      <c r="G77" s="17"/>
      <c r="H77" s="17"/>
      <c r="I77" s="9"/>
      <c r="J77" s="9"/>
      <c r="K77" s="9"/>
      <c r="L77" s="21"/>
      <c r="M77" s="21"/>
      <c r="N77" s="15"/>
      <c r="O77" s="15"/>
      <c r="P77" s="20"/>
      <c r="Q77" s="15"/>
      <c r="R77" s="9"/>
      <c r="S77" s="9"/>
      <c r="T77" s="9"/>
      <c r="U77" s="9"/>
      <c r="V77" s="9"/>
      <c r="W77" s="9"/>
      <c r="X77" s="9"/>
      <c r="Y77" s="9"/>
      <c r="Z77" s="9"/>
      <c r="AA77" s="9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</row>
    <row r="78" spans="1:89" ht="15.6" x14ac:dyDescent="0.3">
      <c r="A78" s="9"/>
      <c r="B78" s="19"/>
      <c r="C78" s="17"/>
      <c r="D78" s="18"/>
      <c r="E78" s="17"/>
      <c r="F78" s="17"/>
      <c r="G78" s="17"/>
      <c r="H78" s="17"/>
      <c r="I78" s="9"/>
      <c r="J78" s="9"/>
      <c r="K78" s="9"/>
      <c r="L78" s="15"/>
      <c r="M78" s="16"/>
      <c r="N78" s="15"/>
      <c r="O78" s="15"/>
      <c r="P78" s="15"/>
      <c r="Q78" s="15"/>
      <c r="R78" s="9"/>
      <c r="S78" s="9"/>
      <c r="T78" s="9"/>
      <c r="U78" s="9"/>
      <c r="V78" s="9"/>
      <c r="W78" s="9"/>
      <c r="X78" s="9"/>
      <c r="Y78" s="9"/>
      <c r="Z78" s="9"/>
      <c r="AA78" s="9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</row>
    <row r="79" spans="1:89" x14ac:dyDescent="0.3">
      <c r="A79" s="9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8"/>
      <c r="S79" s="8"/>
      <c r="T79" s="8"/>
      <c r="U79" s="8"/>
      <c r="V79" s="8"/>
      <c r="W79" s="8"/>
      <c r="X79" s="8"/>
      <c r="Y79" s="8"/>
      <c r="Z79" s="8"/>
      <c r="AA79" s="8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</row>
    <row r="80" spans="1:89" x14ac:dyDescent="0.3">
      <c r="A80" s="9"/>
      <c r="B80" s="12"/>
      <c r="C80" s="9"/>
      <c r="D80" s="9"/>
      <c r="E80" s="9"/>
      <c r="F80" s="9"/>
      <c r="G80" s="9"/>
      <c r="H80" s="9"/>
      <c r="I80" s="9"/>
      <c r="J80" s="9"/>
      <c r="K80" s="9"/>
      <c r="L80" s="9"/>
      <c r="M80" s="8"/>
      <c r="N80" s="14"/>
      <c r="O80" s="9"/>
      <c r="P80" s="9"/>
      <c r="Q80" s="9"/>
      <c r="R80" s="8"/>
      <c r="S80" s="8"/>
      <c r="T80" s="8"/>
      <c r="U80" s="8"/>
      <c r="V80" s="8"/>
      <c r="W80" s="8"/>
      <c r="X80" s="8"/>
      <c r="Y80" s="8"/>
      <c r="Z80" s="8"/>
      <c r="AA80" s="8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</row>
    <row r="81" spans="1:89" x14ac:dyDescent="0.3">
      <c r="A81" s="9"/>
      <c r="B81" s="12"/>
      <c r="C81" s="9"/>
      <c r="D81" s="9"/>
      <c r="E81" s="9"/>
      <c r="F81" s="9"/>
      <c r="G81" s="9"/>
      <c r="H81" s="9"/>
      <c r="I81" s="9"/>
      <c r="J81" s="9"/>
      <c r="K81" s="9"/>
      <c r="L81" s="9"/>
      <c r="M81" s="10"/>
      <c r="N81" s="13"/>
      <c r="O81" s="10"/>
      <c r="P81" s="10"/>
      <c r="Q81" s="9"/>
      <c r="R81" s="8"/>
      <c r="S81" s="8"/>
      <c r="T81" s="8"/>
      <c r="U81" s="8"/>
      <c r="V81" s="8"/>
      <c r="W81" s="8"/>
      <c r="X81" s="8"/>
      <c r="Y81" s="8"/>
      <c r="Z81" s="8"/>
      <c r="AA81" s="8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</row>
    <row r="82" spans="1:89" x14ac:dyDescent="0.3">
      <c r="A82" s="9"/>
      <c r="B82" s="12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11"/>
      <c r="O82" s="10"/>
      <c r="P82" s="10"/>
      <c r="Q82" s="9"/>
      <c r="R82" s="8"/>
      <c r="S82" s="8"/>
      <c r="T82" s="8"/>
      <c r="U82" s="8"/>
      <c r="V82" s="8"/>
      <c r="W82" s="8"/>
      <c r="X82" s="8"/>
      <c r="Y82" s="8"/>
      <c r="Z82" s="8"/>
      <c r="AA82" s="8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</row>
    <row r="83" spans="1:89" x14ac:dyDescent="0.3">
      <c r="A83" s="3"/>
      <c r="B83" s="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4"/>
      <c r="S83" s="4"/>
      <c r="T83" s="4"/>
      <c r="U83" s="4"/>
      <c r="V83" s="4"/>
      <c r="W83" s="4"/>
      <c r="X83" s="4"/>
      <c r="Y83" s="4"/>
      <c r="Z83" s="4"/>
      <c r="AA83" s="4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</row>
    <row r="84" spans="1:89" x14ac:dyDescent="0.3">
      <c r="A84" s="3"/>
      <c r="B84" s="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4"/>
      <c r="S84" s="4"/>
      <c r="T84" s="4"/>
      <c r="U84" s="4"/>
      <c r="V84" s="4"/>
      <c r="W84" s="4"/>
      <c r="X84" s="4"/>
      <c r="Y84" s="4"/>
      <c r="Z84" s="4"/>
      <c r="AA84" s="4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</row>
    <row r="85" spans="1:89" x14ac:dyDescent="0.3">
      <c r="A85" s="3"/>
      <c r="B85" s="5"/>
      <c r="C85" s="3"/>
      <c r="D85" s="3"/>
      <c r="E85" s="3"/>
      <c r="F85" s="3"/>
      <c r="G85" s="3"/>
      <c r="H85" s="3"/>
      <c r="I85" s="3"/>
      <c r="J85" s="3"/>
      <c r="K85" s="3"/>
      <c r="L85" s="3"/>
      <c r="M85" s="144" t="s">
        <v>2</v>
      </c>
      <c r="N85" s="7">
        <v>50</v>
      </c>
      <c r="O85" s="145" t="s">
        <v>1</v>
      </c>
      <c r="P85" s="145">
        <f>N85/(184+125)</f>
        <v>0.16181229773462782</v>
      </c>
      <c r="Q85" s="3"/>
      <c r="R85" s="4"/>
      <c r="S85" s="4"/>
      <c r="T85" s="4"/>
      <c r="U85" s="4"/>
      <c r="V85" s="4"/>
      <c r="W85" s="4"/>
      <c r="X85" s="4"/>
      <c r="Y85" s="4"/>
      <c r="Z85" s="4"/>
      <c r="AA85" s="4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</row>
    <row r="86" spans="1:89" x14ac:dyDescent="0.3">
      <c r="A86" s="3"/>
      <c r="B86" s="5"/>
      <c r="C86" s="3"/>
      <c r="D86" s="3"/>
      <c r="E86" s="3"/>
      <c r="F86" s="3"/>
      <c r="G86" s="3"/>
      <c r="H86" s="3"/>
      <c r="I86" s="3"/>
      <c r="J86" s="3"/>
      <c r="K86" s="3"/>
      <c r="L86" s="3"/>
      <c r="M86" s="144"/>
      <c r="N86" s="6" t="s">
        <v>0</v>
      </c>
      <c r="O86" s="145"/>
      <c r="P86" s="145"/>
      <c r="Q86" s="3"/>
      <c r="R86" s="4"/>
      <c r="S86" s="4"/>
      <c r="T86" s="4"/>
      <c r="U86" s="4"/>
      <c r="V86" s="4"/>
      <c r="W86" s="4"/>
      <c r="X86" s="4"/>
      <c r="Y86" s="4"/>
      <c r="Z86" s="4"/>
      <c r="AA86" s="4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</row>
    <row r="87" spans="1:89" x14ac:dyDescent="0.3">
      <c r="A87" s="3"/>
      <c r="B87" s="5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4"/>
      <c r="S87" s="4"/>
      <c r="T87" s="4"/>
      <c r="U87" s="4"/>
      <c r="V87" s="4"/>
      <c r="W87" s="4"/>
      <c r="X87" s="4"/>
      <c r="Y87" s="4"/>
      <c r="Z87" s="4"/>
      <c r="AA87" s="4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</row>
    <row r="88" spans="1:89" x14ac:dyDescent="0.3">
      <c r="A88" s="3"/>
      <c r="B88" s="5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4"/>
      <c r="S88" s="4"/>
      <c r="T88" s="4"/>
      <c r="U88" s="4"/>
      <c r="V88" s="4"/>
      <c r="W88" s="4"/>
      <c r="X88" s="4"/>
      <c r="Y88" s="4"/>
      <c r="Z88" s="4"/>
      <c r="AA88" s="4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</row>
    <row r="89" spans="1:89" x14ac:dyDescent="0.3">
      <c r="A89" s="3"/>
      <c r="B89" s="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4"/>
      <c r="S89" s="4"/>
      <c r="T89" s="4"/>
      <c r="U89" s="4"/>
      <c r="V89" s="4"/>
      <c r="W89" s="4"/>
      <c r="X89" s="4"/>
      <c r="Y89" s="4"/>
      <c r="Z89" s="4"/>
      <c r="AA89" s="4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</row>
    <row r="90" spans="1:89" x14ac:dyDescent="0.3">
      <c r="A90" s="3"/>
      <c r="B90" s="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4"/>
      <c r="S90" s="4"/>
      <c r="T90" s="4"/>
      <c r="U90" s="4"/>
      <c r="V90" s="4"/>
      <c r="W90" s="4"/>
      <c r="X90" s="4"/>
      <c r="Y90" s="4"/>
      <c r="Z90" s="4"/>
      <c r="AA90" s="4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</row>
    <row r="91" spans="1:89" x14ac:dyDescent="0.3">
      <c r="A91" s="3"/>
      <c r="B91" s="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4"/>
      <c r="S91" s="4"/>
      <c r="T91" s="4"/>
      <c r="U91" s="4"/>
      <c r="V91" s="4"/>
      <c r="W91" s="4"/>
      <c r="X91" s="4"/>
      <c r="Y91" s="4"/>
      <c r="Z91" s="4"/>
      <c r="AA91" s="4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</sheetData>
  <mergeCells count="41">
    <mergeCell ref="B2:E2"/>
    <mergeCell ref="K2:N2"/>
    <mergeCell ref="T2:W2"/>
    <mergeCell ref="AC2:AF2"/>
    <mergeCell ref="AL2:AO2"/>
    <mergeCell ref="B1:E1"/>
    <mergeCell ref="K1:N1"/>
    <mergeCell ref="T1:W1"/>
    <mergeCell ref="AC1:AF1"/>
    <mergeCell ref="AL1:AO1"/>
    <mergeCell ref="B4:E4"/>
    <mergeCell ref="K4:N4"/>
    <mergeCell ref="T4:W4"/>
    <mergeCell ref="AC4:AF4"/>
    <mergeCell ref="AL4:AO4"/>
    <mergeCell ref="B3:E3"/>
    <mergeCell ref="K3:N3"/>
    <mergeCell ref="T3:W3"/>
    <mergeCell ref="AC3:AF3"/>
    <mergeCell ref="AL3:AO3"/>
    <mergeCell ref="AL10:AL11"/>
    <mergeCell ref="K19:K20"/>
    <mergeCell ref="M19:M20"/>
    <mergeCell ref="O19:O20"/>
    <mergeCell ref="P19:P20"/>
    <mergeCell ref="AL20:AL21"/>
    <mergeCell ref="AM20:AN20"/>
    <mergeCell ref="AO20:AO21"/>
    <mergeCell ref="AP20:AP21"/>
    <mergeCell ref="AM21:AN21"/>
    <mergeCell ref="Y26:Y27"/>
    <mergeCell ref="AL26:AL27"/>
    <mergeCell ref="AM26:AN26"/>
    <mergeCell ref="AO26:AO27"/>
    <mergeCell ref="AP26:AP27"/>
    <mergeCell ref="AM27:AN27"/>
    <mergeCell ref="B29:B30"/>
    <mergeCell ref="B40:B41"/>
    <mergeCell ref="M85:M86"/>
    <mergeCell ref="O85:O86"/>
    <mergeCell ref="P85:P86"/>
  </mergeCells>
  <pageMargins left="0.7" right="0.7" top="0.75" bottom="0.75" header="0.3" footer="0.3"/>
  <pageSetup scale="84" orientation="portrait" r:id="rId1"/>
  <colBreaks count="4" manualBreakCount="4">
    <brk id="9" max="47" man="1"/>
    <brk id="18" max="47" man="1"/>
    <brk id="27" max="47" man="1"/>
    <brk id="36" max="47" man="1"/>
  </colBreaks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7</xdr:col>
                <xdr:colOff>129540</xdr:colOff>
                <xdr:row>49</xdr:row>
                <xdr:rowOff>60960</xdr:rowOff>
              </from>
              <to>
                <xdr:col>8</xdr:col>
                <xdr:colOff>312420</xdr:colOff>
                <xdr:row>51</xdr:row>
                <xdr:rowOff>45720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CK91"/>
  <sheetViews>
    <sheetView view="pageBreakPreview" zoomScale="85" zoomScaleNormal="110" zoomScaleSheetLayoutView="85" workbookViewId="0">
      <selection activeCell="F11" sqref="F11:H11"/>
    </sheetView>
  </sheetViews>
  <sheetFormatPr defaultRowHeight="14.4" outlineLevelRow="1" outlineLevelCol="3" x14ac:dyDescent="0.3"/>
  <cols>
    <col min="1" max="1" width="10" customWidth="1"/>
    <col min="2" max="2" width="10" style="2" customWidth="1" outlineLevel="3"/>
    <col min="3" max="3" width="10.5546875" customWidth="1" outlineLevel="3"/>
    <col min="4" max="4" width="9.88671875" customWidth="1" outlineLevel="2"/>
    <col min="5" max="5" width="10" customWidth="1" outlineLevel="2"/>
    <col min="6" max="9" width="10" customWidth="1" outlineLevel="1"/>
    <col min="10" max="10" width="9.5546875" customWidth="1" outlineLevel="1"/>
    <col min="11" max="11" width="10.88671875" customWidth="1" outlineLevel="1"/>
    <col min="12" max="12" width="9.5546875" customWidth="1" outlineLevel="1"/>
    <col min="13" max="13" width="9" customWidth="1" outlineLevel="1"/>
    <col min="14" max="14" width="12.88671875" customWidth="1" outlineLevel="1"/>
    <col min="15" max="15" width="10.6640625" customWidth="1" outlineLevel="1"/>
    <col min="16" max="16" width="13.44140625" customWidth="1" outlineLevel="1"/>
    <col min="17" max="17" width="7.6640625" customWidth="1" outlineLevel="1"/>
    <col min="18" max="18" width="11.88671875" style="1" customWidth="1" outlineLevel="1"/>
    <col min="19" max="19" width="10.5546875" style="1" customWidth="1" outlineLevel="1"/>
    <col min="20" max="22" width="11.88671875" style="1" customWidth="1" outlineLevel="1"/>
    <col min="23" max="23" width="10.109375" style="1" customWidth="1" outlineLevel="1"/>
    <col min="24" max="24" width="10.88671875" style="1" customWidth="1" outlineLevel="1"/>
    <col min="25" max="25" width="9.44140625" style="1" customWidth="1" outlineLevel="1"/>
    <col min="26" max="26" width="10.21875" style="1" customWidth="1" outlineLevel="1"/>
    <col min="27" max="27" width="10.88671875" style="1" customWidth="1" outlineLevel="1"/>
    <col min="28" max="28" width="9.5546875" customWidth="1" outlineLevel="1"/>
    <col min="29" max="29" width="10.88671875" customWidth="1" outlineLevel="1"/>
    <col min="30" max="30" width="9.5546875" customWidth="1" outlineLevel="1"/>
    <col min="31" max="31" width="9" customWidth="1" outlineLevel="1"/>
    <col min="32" max="32" width="9.5546875" customWidth="1" outlineLevel="1"/>
    <col min="33" max="33" width="10.6640625" customWidth="1" outlineLevel="1"/>
    <col min="34" max="34" width="9.5546875" customWidth="1" outlineLevel="1"/>
    <col min="35" max="35" width="7.6640625" customWidth="1" outlineLevel="1"/>
    <col min="36" max="36" width="11.88671875" customWidth="1" outlineLevel="1"/>
    <col min="37" max="37" width="10.33203125" customWidth="1" outlineLevel="1"/>
    <col min="42" max="42" width="10.33203125" customWidth="1"/>
    <col min="45" max="45" width="10.5546875" customWidth="1"/>
  </cols>
  <sheetData>
    <row r="1" spans="1:89" ht="20.399999999999999" x14ac:dyDescent="0.35">
      <c r="A1" s="127" t="s">
        <v>117</v>
      </c>
      <c r="B1" s="161" t="s">
        <v>118</v>
      </c>
      <c r="C1" s="162"/>
      <c r="D1" s="162"/>
      <c r="E1" s="163"/>
      <c r="F1" s="133" t="s">
        <v>116</v>
      </c>
      <c r="G1" s="132"/>
      <c r="H1" s="132"/>
      <c r="I1" s="134"/>
      <c r="J1" s="127" t="s">
        <v>117</v>
      </c>
      <c r="K1" s="161" t="str">
        <f>B1</f>
        <v>City of Lowell</v>
      </c>
      <c r="L1" s="162"/>
      <c r="M1" s="162"/>
      <c r="N1" s="163"/>
      <c r="O1" s="133" t="s">
        <v>116</v>
      </c>
      <c r="P1" s="132"/>
      <c r="Q1" s="132"/>
      <c r="R1" s="131"/>
      <c r="S1" s="127" t="s">
        <v>117</v>
      </c>
      <c r="T1" s="161" t="str">
        <f>B1</f>
        <v>City of Lowell</v>
      </c>
      <c r="U1" s="162"/>
      <c r="V1" s="162"/>
      <c r="W1" s="163"/>
      <c r="X1" s="133" t="s">
        <v>116</v>
      </c>
      <c r="Y1" s="132"/>
      <c r="Z1" s="132"/>
      <c r="AA1" s="131"/>
      <c r="AB1" s="127" t="s">
        <v>117</v>
      </c>
      <c r="AC1" s="161" t="str">
        <f>K1</f>
        <v>City of Lowell</v>
      </c>
      <c r="AD1" s="162"/>
      <c r="AE1" s="162"/>
      <c r="AF1" s="163"/>
      <c r="AG1" s="133" t="s">
        <v>116</v>
      </c>
      <c r="AH1" s="132"/>
      <c r="AI1" s="132"/>
      <c r="AJ1" s="131"/>
      <c r="AK1" s="127" t="s">
        <v>117</v>
      </c>
      <c r="AL1" s="161" t="str">
        <f>AC1</f>
        <v>City of Lowell</v>
      </c>
      <c r="AM1" s="162"/>
      <c r="AN1" s="162"/>
      <c r="AO1" s="163"/>
      <c r="AP1" s="133" t="s">
        <v>116</v>
      </c>
      <c r="AQ1" s="132"/>
      <c r="AR1" s="132"/>
      <c r="AS1" s="131"/>
    </row>
    <row r="2" spans="1:89" x14ac:dyDescent="0.3">
      <c r="A2" s="127" t="s">
        <v>114</v>
      </c>
      <c r="B2" s="161" t="s">
        <v>115</v>
      </c>
      <c r="C2" s="162"/>
      <c r="D2" s="162"/>
      <c r="E2" s="163"/>
      <c r="F2" s="128" t="s">
        <v>113</v>
      </c>
      <c r="G2" s="128" t="s">
        <v>112</v>
      </c>
      <c r="H2" s="128" t="s">
        <v>111</v>
      </c>
      <c r="I2" s="128">
        <v>4014312</v>
      </c>
      <c r="J2" s="127" t="s">
        <v>114</v>
      </c>
      <c r="K2" s="161" t="str">
        <f>B2</f>
        <v>University Ave, Lowell, Bridge</v>
      </c>
      <c r="L2" s="162"/>
      <c r="M2" s="162"/>
      <c r="N2" s="163"/>
      <c r="O2" s="128" t="s">
        <v>113</v>
      </c>
      <c r="P2" s="128" t="s">
        <v>112</v>
      </c>
      <c r="Q2" s="128" t="s">
        <v>111</v>
      </c>
      <c r="R2" s="128">
        <f>I2</f>
        <v>4014312</v>
      </c>
      <c r="S2" s="127" t="s">
        <v>114</v>
      </c>
      <c r="T2" s="161" t="str">
        <f>B2</f>
        <v>University Ave, Lowell, Bridge</v>
      </c>
      <c r="U2" s="162"/>
      <c r="V2" s="162"/>
      <c r="W2" s="163"/>
      <c r="X2" s="125" t="s">
        <v>113</v>
      </c>
      <c r="Y2" s="125" t="s">
        <v>112</v>
      </c>
      <c r="Z2" s="125" t="s">
        <v>111</v>
      </c>
      <c r="AA2" s="125">
        <f>I2</f>
        <v>4014312</v>
      </c>
      <c r="AB2" s="127" t="s">
        <v>114</v>
      </c>
      <c r="AC2" s="161" t="str">
        <f>K2</f>
        <v>University Ave, Lowell, Bridge</v>
      </c>
      <c r="AD2" s="162"/>
      <c r="AE2" s="162"/>
      <c r="AF2" s="163"/>
      <c r="AG2" s="125" t="s">
        <v>113</v>
      </c>
      <c r="AH2" s="125" t="s">
        <v>112</v>
      </c>
      <c r="AI2" s="125" t="s">
        <v>111</v>
      </c>
      <c r="AJ2" s="125">
        <f>R2</f>
        <v>4014312</v>
      </c>
      <c r="AK2" s="127" t="s">
        <v>114</v>
      </c>
      <c r="AL2" s="161" t="str">
        <f>AC2</f>
        <v>University Ave, Lowell, Bridge</v>
      </c>
      <c r="AM2" s="162"/>
      <c r="AN2" s="162"/>
      <c r="AO2" s="163"/>
      <c r="AP2" s="125" t="s">
        <v>113</v>
      </c>
      <c r="AQ2" s="125" t="s">
        <v>112</v>
      </c>
      <c r="AR2" s="125" t="s">
        <v>111</v>
      </c>
      <c r="AS2" s="125">
        <f>AJ2</f>
        <v>4014312</v>
      </c>
    </row>
    <row r="3" spans="1:89" ht="15" customHeight="1" x14ac:dyDescent="0.3">
      <c r="A3" s="127" t="s">
        <v>109</v>
      </c>
      <c r="B3" s="155" t="s">
        <v>149</v>
      </c>
      <c r="C3" s="156"/>
      <c r="D3" s="156"/>
      <c r="E3" s="157"/>
      <c r="F3" s="128" t="s">
        <v>110</v>
      </c>
      <c r="G3" s="128"/>
      <c r="H3" s="128"/>
      <c r="I3" s="130">
        <v>1</v>
      </c>
      <c r="J3" s="127" t="s">
        <v>109</v>
      </c>
      <c r="K3" s="155" t="str">
        <f>B3</f>
        <v>Interior Top Chord Floor beam rating</v>
      </c>
      <c r="L3" s="156"/>
      <c r="M3" s="156"/>
      <c r="N3" s="157"/>
      <c r="O3" s="128" t="str">
        <f>F3</f>
        <v>ARG</v>
      </c>
      <c r="P3" s="128"/>
      <c r="Q3" s="128"/>
      <c r="R3" s="130">
        <f>I3+1</f>
        <v>2</v>
      </c>
      <c r="S3" s="127" t="s">
        <v>109</v>
      </c>
      <c r="T3" s="155" t="str">
        <f>B3</f>
        <v>Interior Top Chord Floor beam rating</v>
      </c>
      <c r="U3" s="156"/>
      <c r="V3" s="156"/>
      <c r="W3" s="157"/>
      <c r="X3" s="125" t="str">
        <f>F3</f>
        <v>ARG</v>
      </c>
      <c r="Y3" s="125"/>
      <c r="Z3" s="125"/>
      <c r="AA3" s="130">
        <f>I3+1</f>
        <v>2</v>
      </c>
      <c r="AB3" s="127" t="s">
        <v>109</v>
      </c>
      <c r="AC3" s="155" t="str">
        <f>K3</f>
        <v>Interior Top Chord Floor beam rating</v>
      </c>
      <c r="AD3" s="156"/>
      <c r="AE3" s="156"/>
      <c r="AF3" s="157"/>
      <c r="AG3" s="125" t="str">
        <f>O3</f>
        <v>ARG</v>
      </c>
      <c r="AH3" s="125"/>
      <c r="AI3" s="125"/>
      <c r="AJ3" s="130">
        <f>R3+1</f>
        <v>3</v>
      </c>
      <c r="AK3" s="127" t="s">
        <v>109</v>
      </c>
      <c r="AL3" s="155" t="str">
        <f>AC3</f>
        <v>Interior Top Chord Floor beam rating</v>
      </c>
      <c r="AM3" s="156"/>
      <c r="AN3" s="156"/>
      <c r="AO3" s="157"/>
      <c r="AP3" s="125" t="str">
        <f>AG3</f>
        <v>ARG</v>
      </c>
      <c r="AQ3" s="125"/>
      <c r="AR3" s="125"/>
      <c r="AS3" s="130">
        <f>AJ3+1</f>
        <v>4</v>
      </c>
    </row>
    <row r="4" spans="1:89" ht="15" customHeight="1" x14ac:dyDescent="0.3">
      <c r="A4" s="127"/>
      <c r="B4" s="158" t="s">
        <v>147</v>
      </c>
      <c r="C4" s="159"/>
      <c r="D4" s="159"/>
      <c r="E4" s="160"/>
      <c r="F4" s="129">
        <f ca="1">TODAY()</f>
        <v>42295</v>
      </c>
      <c r="G4" s="128"/>
      <c r="H4" s="128"/>
      <c r="I4" s="128"/>
      <c r="J4" s="127"/>
      <c r="K4" s="158" t="str">
        <f>B4</f>
        <v>FB1</v>
      </c>
      <c r="L4" s="159"/>
      <c r="M4" s="159"/>
      <c r="N4" s="160"/>
      <c r="O4" s="129">
        <f ca="1">F4</f>
        <v>42295</v>
      </c>
      <c r="P4" s="128"/>
      <c r="Q4" s="128"/>
      <c r="R4" s="128"/>
      <c r="S4" s="127"/>
      <c r="T4" s="158" t="str">
        <f>IF(B4="","",B4)</f>
        <v>FB1</v>
      </c>
      <c r="U4" s="159"/>
      <c r="V4" s="159"/>
      <c r="W4" s="160"/>
      <c r="X4" s="126">
        <f ca="1">F4</f>
        <v>42295</v>
      </c>
      <c r="Y4" s="125"/>
      <c r="Z4" s="125"/>
      <c r="AA4" s="125"/>
      <c r="AB4" s="127"/>
      <c r="AC4" s="158" t="str">
        <f>IF(K4="","",K4)</f>
        <v>FB1</v>
      </c>
      <c r="AD4" s="159"/>
      <c r="AE4" s="159"/>
      <c r="AF4" s="160"/>
      <c r="AG4" s="126">
        <f ca="1">O4</f>
        <v>42295</v>
      </c>
      <c r="AH4" s="125"/>
      <c r="AI4" s="125"/>
      <c r="AJ4" s="125"/>
      <c r="AK4" s="127"/>
      <c r="AL4" s="158" t="str">
        <f>IF(AC4="","",AC4)</f>
        <v>FB1</v>
      </c>
      <c r="AM4" s="159"/>
      <c r="AN4" s="159"/>
      <c r="AO4" s="160"/>
      <c r="AP4" s="126">
        <f ca="1">AG4</f>
        <v>42295</v>
      </c>
      <c r="AQ4" s="125"/>
      <c r="AR4" s="125"/>
      <c r="AS4" s="125"/>
    </row>
    <row r="5" spans="1:89" s="30" customFormat="1" ht="14.25" customHeight="1" x14ac:dyDescent="0.3">
      <c r="A5" s="124"/>
      <c r="B5" s="124"/>
      <c r="C5" s="124"/>
      <c r="D5" s="124"/>
      <c r="E5" s="124"/>
      <c r="F5" s="124"/>
      <c r="G5" s="124"/>
      <c r="H5" s="124"/>
      <c r="I5" s="124"/>
      <c r="J5" s="3"/>
      <c r="K5" s="3"/>
      <c r="L5" s="3"/>
      <c r="M5" s="3"/>
      <c r="N5" s="3"/>
      <c r="O5" s="124"/>
      <c r="P5" s="124"/>
      <c r="Q5" s="124"/>
      <c r="R5" s="123"/>
      <c r="S5" s="8"/>
      <c r="T5" s="8"/>
      <c r="U5" s="8"/>
      <c r="V5" s="8"/>
      <c r="W5" s="8"/>
      <c r="X5" s="8"/>
      <c r="Y5" s="8"/>
      <c r="Z5" s="8"/>
      <c r="AA5" s="8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</row>
    <row r="6" spans="1:89" s="30" customFormat="1" ht="15" customHeight="1" x14ac:dyDescent="0.35">
      <c r="B6" s="120"/>
      <c r="C6" s="120"/>
      <c r="D6" s="120"/>
      <c r="E6" s="122" t="s">
        <v>125</v>
      </c>
      <c r="F6" s="121" t="s">
        <v>147</v>
      </c>
      <c r="G6" s="120"/>
      <c r="H6" s="120"/>
      <c r="I6" s="120"/>
      <c r="J6" s="118" t="s">
        <v>108</v>
      </c>
      <c r="K6" s="117" t="s">
        <v>107</v>
      </c>
      <c r="L6" s="25"/>
      <c r="M6" s="29"/>
      <c r="N6" s="22"/>
      <c r="O6" s="22"/>
      <c r="P6" s="25"/>
      <c r="Q6" s="29"/>
      <c r="R6" s="25"/>
      <c r="S6" s="25"/>
      <c r="T6" s="118" t="s">
        <v>108</v>
      </c>
      <c r="U6" s="117" t="s">
        <v>146</v>
      </c>
      <c r="V6" s="25"/>
      <c r="W6" s="25"/>
      <c r="X6" s="25"/>
      <c r="Y6" s="25"/>
      <c r="Z6" s="25"/>
      <c r="AA6" s="25"/>
      <c r="AB6" s="118" t="s">
        <v>106</v>
      </c>
      <c r="AC6" s="119" t="s">
        <v>105</v>
      </c>
      <c r="AD6" s="3"/>
      <c r="AE6" s="3"/>
      <c r="AF6" s="3"/>
      <c r="AG6" s="3"/>
      <c r="AH6" s="3"/>
      <c r="AI6" s="3"/>
      <c r="AJ6" s="39"/>
      <c r="AK6" s="118" t="s">
        <v>104</v>
      </c>
      <c r="AL6" s="119" t="s">
        <v>103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</row>
    <row r="7" spans="1:89" s="30" customFormat="1" ht="14.25" customHeight="1" x14ac:dyDescent="0.3">
      <c r="A7" s="116"/>
      <c r="B7" s="116"/>
      <c r="C7" s="116"/>
      <c r="D7" s="116"/>
      <c r="E7" s="116"/>
      <c r="F7" s="116"/>
      <c r="G7" s="116"/>
      <c r="H7" s="116"/>
      <c r="I7" s="116"/>
      <c r="J7" s="3"/>
      <c r="K7" s="27"/>
      <c r="L7" s="13"/>
      <c r="M7" s="27"/>
      <c r="N7" s="27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</row>
    <row r="8" spans="1:89" s="30" customFormat="1" ht="14.25" customHeight="1" x14ac:dyDescent="0.3">
      <c r="A8" s="118" t="s">
        <v>102</v>
      </c>
      <c r="B8" s="117" t="s">
        <v>101</v>
      </c>
      <c r="C8" s="22"/>
      <c r="D8" s="22"/>
      <c r="E8" s="22"/>
      <c r="F8" s="22"/>
      <c r="G8" s="22"/>
      <c r="H8" s="22"/>
      <c r="I8" s="22"/>
      <c r="J8" s="99" t="s">
        <v>100</v>
      </c>
      <c r="K8" s="99" t="s">
        <v>99</v>
      </c>
      <c r="L8" s="11"/>
      <c r="M8" s="27"/>
      <c r="N8" s="27"/>
      <c r="O8" s="3"/>
      <c r="P8" s="3"/>
      <c r="Q8" s="3"/>
      <c r="R8" s="3"/>
      <c r="S8" s="3"/>
      <c r="T8" s="3"/>
      <c r="U8" s="3"/>
      <c r="V8" s="141">
        <f>M47*2</f>
        <v>0</v>
      </c>
      <c r="W8" s="3"/>
      <c r="X8" s="141">
        <f>O47*2</f>
        <v>0</v>
      </c>
      <c r="Y8" s="3"/>
      <c r="Z8" s="3"/>
      <c r="AA8" s="3"/>
      <c r="AB8" s="3"/>
      <c r="AC8" s="3" t="s">
        <v>98</v>
      </c>
      <c r="AD8" s="116"/>
      <c r="AE8" s="116"/>
      <c r="AF8" s="3"/>
      <c r="AG8" s="3"/>
      <c r="AH8" s="3"/>
      <c r="AI8" s="3"/>
      <c r="AJ8" s="39"/>
      <c r="AK8" s="3"/>
      <c r="AL8" s="3" t="s">
        <v>98</v>
      </c>
      <c r="AM8" s="116"/>
      <c r="AN8" s="116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</row>
    <row r="9" spans="1:89" s="39" customFormat="1" ht="14.25" customHeight="1" x14ac:dyDescent="0.3">
      <c r="A9" s="42"/>
      <c r="B9" s="42"/>
      <c r="C9" s="42"/>
      <c r="D9" s="104"/>
      <c r="E9" s="104"/>
      <c r="F9" s="104"/>
      <c r="G9" s="105"/>
      <c r="H9" s="104"/>
      <c r="I9" s="104"/>
      <c r="K9" s="98"/>
      <c r="L9" s="115"/>
      <c r="M9" s="42"/>
      <c r="N9" s="42"/>
      <c r="AD9" s="59"/>
      <c r="AE9" s="59"/>
      <c r="AM9" s="59"/>
      <c r="AN9" s="59"/>
    </row>
    <row r="10" spans="1:89" s="39" customFormat="1" ht="14.25" customHeight="1" x14ac:dyDescent="0.35">
      <c r="A10" s="48"/>
      <c r="B10" s="48" t="s">
        <v>97</v>
      </c>
      <c r="C10" s="47" t="e">
        <f>HLOOKUP($F$6,[1]Members!$B$7:$N$37,8,FALSE)</f>
        <v>#N/A</v>
      </c>
      <c r="D10" s="42" t="s">
        <v>95</v>
      </c>
      <c r="E10" s="42"/>
      <c r="F10" s="114" t="s">
        <v>96</v>
      </c>
      <c r="G10" s="47" t="e">
        <f>HLOOKUP($F$6,[1]Members!$B$7:$N$37,9,FALSE)</f>
        <v>#N/A</v>
      </c>
      <c r="H10" s="46" t="s">
        <v>95</v>
      </c>
      <c r="I10" s="42"/>
      <c r="J10" s="39" t="s">
        <v>120</v>
      </c>
      <c r="K10" s="113" t="s">
        <v>124</v>
      </c>
      <c r="L10" s="112" t="e">
        <f>HLOOKUP($F$6,[2]Members!$B$7:$I$37,10,FALSE)*10^-3</f>
        <v>#N/A</v>
      </c>
      <c r="M10" s="42" t="s">
        <v>79</v>
      </c>
      <c r="N10" s="42"/>
      <c r="P10" s="137"/>
      <c r="AC10" s="107" t="s">
        <v>45</v>
      </c>
      <c r="AD10" s="111" t="s">
        <v>93</v>
      </c>
      <c r="AE10" s="59"/>
      <c r="AL10" s="152" t="s">
        <v>45</v>
      </c>
      <c r="AM10" s="111" t="s">
        <v>93</v>
      </c>
      <c r="AN10" s="59"/>
    </row>
    <row r="11" spans="1:89" s="39" customFormat="1" ht="14.25" customHeight="1" x14ac:dyDescent="0.35">
      <c r="B11" s="48" t="s">
        <v>92</v>
      </c>
      <c r="C11" s="110" t="e">
        <f>HLOOKUP($F$6,[1]Members!$B$7:$N$37,7,FALSE)</f>
        <v>#N/A</v>
      </c>
      <c r="D11" s="42"/>
      <c r="E11" s="42"/>
      <c r="F11" s="106" t="s">
        <v>150</v>
      </c>
      <c r="G11" s="105" t="e">
        <f>HLOOKUP($F$6,[1]Members!$B$7:$N$37,13,FALSE)</f>
        <v>#N/A</v>
      </c>
      <c r="H11" s="46" t="s">
        <v>23</v>
      </c>
      <c r="I11" s="42"/>
      <c r="K11" s="136" t="s">
        <v>91</v>
      </c>
      <c r="L11" s="109">
        <v>2.0699999999999998</v>
      </c>
      <c r="M11" s="42" t="s">
        <v>79</v>
      </c>
      <c r="N11" s="108"/>
      <c r="O11"/>
      <c r="P11" s="137" t="s">
        <v>123</v>
      </c>
      <c r="AC11" s="107"/>
      <c r="AD11" s="94" t="s">
        <v>90</v>
      </c>
      <c r="AE11" s="59"/>
      <c r="AL11" s="152"/>
      <c r="AM11" s="94" t="s">
        <v>90</v>
      </c>
      <c r="AN11" s="59"/>
    </row>
    <row r="12" spans="1:89" s="39" customFormat="1" ht="14.25" customHeight="1" x14ac:dyDescent="0.3">
      <c r="A12" s="42"/>
      <c r="B12" s="53" t="s">
        <v>89</v>
      </c>
      <c r="C12" s="105" t="e">
        <f>HLOOKUP($F$6,[1]Members!$B$7:$N$37,17,FALSE)</f>
        <v>#N/A</v>
      </c>
      <c r="D12" s="60" t="s">
        <v>13</v>
      </c>
      <c r="F12" s="106" t="s">
        <v>88</v>
      </c>
      <c r="G12" s="105" t="e">
        <f>HLOOKUP($F$6,[1]Members!$B$7:$N$37,14,FALSE)</f>
        <v>#N/A</v>
      </c>
      <c r="H12" s="46" t="s">
        <v>23</v>
      </c>
      <c r="I12" s="48"/>
      <c r="K12" s="53" t="s">
        <v>87</v>
      </c>
      <c r="L12" s="93">
        <f>C23/12*0.005</f>
        <v>3.6666666666666667E-2</v>
      </c>
      <c r="M12" s="42" t="s">
        <v>79</v>
      </c>
      <c r="P12" s="137" t="s">
        <v>123</v>
      </c>
    </row>
    <row r="13" spans="1:89" s="39" customFormat="1" ht="14.25" customHeight="1" outlineLevel="1" x14ac:dyDescent="0.3">
      <c r="A13" s="42"/>
      <c r="B13" s="53" t="s">
        <v>86</v>
      </c>
      <c r="C13" s="47" t="e">
        <f>HLOOKUP($F$6,[1]Members!$B$7:$N$37,18,FALSE)</f>
        <v>#N/A</v>
      </c>
      <c r="D13" s="60" t="s">
        <v>7</v>
      </c>
      <c r="E13" s="42"/>
      <c r="F13" s="107" t="s">
        <v>85</v>
      </c>
      <c r="G13" s="105" t="e">
        <f>HLOOKUP($F$6,[1]Members!$B$7:$N$37,15,FALSE)</f>
        <v>#N/A</v>
      </c>
      <c r="H13" s="56" t="s">
        <v>23</v>
      </c>
      <c r="I13" s="53"/>
      <c r="K13" s="113" t="s">
        <v>94</v>
      </c>
      <c r="L13" s="112" t="e">
        <f>HLOOKUP($F$6,[2]Members!$B$7:$I$37,10,FALSE)*10^-3</f>
        <v>#N/A</v>
      </c>
      <c r="M13" s="42" t="s">
        <v>79</v>
      </c>
      <c r="P13" s="137" t="s">
        <v>123</v>
      </c>
      <c r="AC13" s="39" t="s">
        <v>84</v>
      </c>
      <c r="AE13" s="59"/>
      <c r="AF13" s="59">
        <v>1</v>
      </c>
      <c r="AG13" s="59"/>
      <c r="AL13" t="s">
        <v>83</v>
      </c>
      <c r="AN13" s="59"/>
      <c r="AP13" s="59">
        <v>1.3</v>
      </c>
    </row>
    <row r="14" spans="1:89" s="39" customFormat="1" ht="14.25" customHeight="1" outlineLevel="1" x14ac:dyDescent="0.3">
      <c r="A14" s="42"/>
      <c r="B14" s="48" t="s">
        <v>82</v>
      </c>
      <c r="C14" s="105" t="e">
        <f>HLOOKUP($F$6,[1]Members!$B$7:$N$37,11,FALSE)</f>
        <v>#N/A</v>
      </c>
      <c r="D14" s="60" t="s">
        <v>76</v>
      </c>
      <c r="E14" s="42"/>
      <c r="F14" s="106" t="s">
        <v>81</v>
      </c>
      <c r="G14" s="105" t="e">
        <f>HLOOKUP($F$6,[1]Members!$B$7:$N$37,16,FALSE)</f>
        <v>#N/A</v>
      </c>
      <c r="H14" s="46" t="s">
        <v>23</v>
      </c>
      <c r="I14" s="48"/>
      <c r="K14" s="53" t="s">
        <v>80</v>
      </c>
      <c r="L14" s="103" t="e">
        <f>SUM(L10:L13)</f>
        <v>#N/A</v>
      </c>
      <c r="M14" s="60" t="s">
        <v>79</v>
      </c>
      <c r="T14" s="140" t="s">
        <v>140</v>
      </c>
      <c r="U14" s="137" t="s">
        <v>141</v>
      </c>
      <c r="AG14" s="59"/>
      <c r="AP14" s="59"/>
    </row>
    <row r="15" spans="1:89" s="39" customFormat="1" ht="14.25" customHeight="1" x14ac:dyDescent="0.35">
      <c r="A15" s="42"/>
      <c r="B15" s="48" t="s">
        <v>78</v>
      </c>
      <c r="C15" s="105" t="e">
        <f>HLOOKUP($F$6,[1]Members!$B$7:$N$37,12,FALSE)</f>
        <v>#N/A</v>
      </c>
      <c r="D15" s="60" t="s">
        <v>23</v>
      </c>
      <c r="E15" s="42"/>
      <c r="F15" s="106" t="s">
        <v>77</v>
      </c>
      <c r="G15" s="47" t="e">
        <f>G14*G13</f>
        <v>#N/A</v>
      </c>
      <c r="H15" s="46" t="s">
        <v>76</v>
      </c>
      <c r="I15" s="48"/>
      <c r="K15" s="1" t="s">
        <v>75</v>
      </c>
      <c r="L15" s="103" t="e">
        <f>1/8*L14*C10^2</f>
        <v>#N/A</v>
      </c>
      <c r="M15" s="60" t="s">
        <v>26</v>
      </c>
      <c r="U15" s="137" t="s">
        <v>144</v>
      </c>
      <c r="AC15" t="s">
        <v>74</v>
      </c>
      <c r="AL15" s="39" t="s">
        <v>73</v>
      </c>
    </row>
    <row r="16" spans="1:89" s="39" customFormat="1" ht="14.25" customHeight="1" x14ac:dyDescent="0.35">
      <c r="A16" s="42"/>
      <c r="B16" s="53"/>
      <c r="C16" s="105"/>
      <c r="D16" s="60"/>
      <c r="F16" s="106"/>
      <c r="G16" s="105"/>
      <c r="H16" s="46"/>
      <c r="I16" s="48"/>
      <c r="K16" s="1" t="s">
        <v>72</v>
      </c>
      <c r="L16" s="103" t="e">
        <f>1/2*C10*L14</f>
        <v>#N/A</v>
      </c>
      <c r="M16" s="60" t="s">
        <v>18</v>
      </c>
      <c r="AC16" s="60" t="s">
        <v>71</v>
      </c>
      <c r="AL16" s="39" t="s">
        <v>71</v>
      </c>
    </row>
    <row r="17" spans="1:42" s="39" customFormat="1" ht="14.25" customHeight="1" x14ac:dyDescent="0.35">
      <c r="A17" s="42"/>
      <c r="B17" s="53" t="s">
        <v>70</v>
      </c>
      <c r="C17" s="105" t="e">
        <f>HLOOKUP($F$6,[1]Members!$B$7:$N$37,2,FALSE)</f>
        <v>#N/A</v>
      </c>
      <c r="D17" s="60" t="s">
        <v>57</v>
      </c>
      <c r="F17" s="107"/>
      <c r="G17" s="50"/>
      <c r="H17" s="56"/>
      <c r="I17" s="53"/>
      <c r="T17" s="39" t="s">
        <v>142</v>
      </c>
      <c r="W17" s="39" t="s">
        <v>18</v>
      </c>
      <c r="Y17" s="39" t="s">
        <v>145</v>
      </c>
    </row>
    <row r="18" spans="1:42" s="39" customFormat="1" ht="14.25" customHeight="1" x14ac:dyDescent="0.35">
      <c r="A18" s="104"/>
      <c r="B18" s="48" t="s">
        <v>69</v>
      </c>
      <c r="C18" s="105" t="e">
        <f>0.55*C17</f>
        <v>#N/A</v>
      </c>
      <c r="D18" s="60" t="s">
        <v>57</v>
      </c>
      <c r="E18" s="42"/>
      <c r="F18" s="107" t="s">
        <v>68</v>
      </c>
      <c r="G18" s="50">
        <v>16.5</v>
      </c>
      <c r="H18" s="56" t="s">
        <v>57</v>
      </c>
      <c r="K18" s="1" t="s">
        <v>16</v>
      </c>
      <c r="L18" s="60" t="s">
        <v>15</v>
      </c>
      <c r="T18" s="39" t="s">
        <v>143</v>
      </c>
      <c r="W18" s="39" t="s">
        <v>26</v>
      </c>
      <c r="Y18" s="39" t="s">
        <v>145</v>
      </c>
      <c r="AB18" s="91" t="s">
        <v>67</v>
      </c>
      <c r="AC18" s="90" t="s">
        <v>66</v>
      </c>
      <c r="AD18" s="59"/>
      <c r="AK18" s="91" t="s">
        <v>65</v>
      </c>
      <c r="AL18" s="90" t="s">
        <v>64</v>
      </c>
      <c r="AM18" s="59"/>
    </row>
    <row r="19" spans="1:42" s="39" customFormat="1" ht="14.25" customHeight="1" x14ac:dyDescent="0.35">
      <c r="A19" s="104"/>
      <c r="B19" s="48" t="s">
        <v>63</v>
      </c>
      <c r="C19" s="105" t="e">
        <f>0.75*C17</f>
        <v>#N/A</v>
      </c>
      <c r="D19" s="60" t="s">
        <v>57</v>
      </c>
      <c r="E19" s="42"/>
      <c r="F19" s="106" t="s">
        <v>62</v>
      </c>
      <c r="G19" s="105">
        <v>22.5</v>
      </c>
      <c r="H19" s="46" t="s">
        <v>57</v>
      </c>
      <c r="I19" s="42"/>
      <c r="K19" s="151" t="s">
        <v>61</v>
      </c>
      <c r="L19" s="55" t="s">
        <v>60</v>
      </c>
      <c r="M19" s="147" t="s">
        <v>3</v>
      </c>
      <c r="N19" s="54" t="e">
        <f>L15</f>
        <v>#N/A</v>
      </c>
      <c r="O19" s="147" t="s">
        <v>3</v>
      </c>
      <c r="P19" s="150" t="e">
        <f>N19*12/N20</f>
        <v>#N/A</v>
      </c>
    </row>
    <row r="20" spans="1:42" s="39" customFormat="1" ht="14.25" customHeight="1" x14ac:dyDescent="0.3">
      <c r="A20" s="104"/>
      <c r="C20" s="50"/>
      <c r="E20" s="58"/>
      <c r="F20" s="42"/>
      <c r="G20" s="42"/>
      <c r="H20" s="42"/>
      <c r="I20" s="42"/>
      <c r="K20" s="152"/>
      <c r="L20" s="51" t="s">
        <v>9</v>
      </c>
      <c r="M20" s="147"/>
      <c r="N20" s="51" t="e">
        <f>C13</f>
        <v>#N/A</v>
      </c>
      <c r="O20" s="147"/>
      <c r="P20" s="150"/>
      <c r="S20" s="39" t="s">
        <v>120</v>
      </c>
      <c r="T20" s="53" t="s">
        <v>34</v>
      </c>
      <c r="U20" s="50">
        <f>V18</f>
        <v>0</v>
      </c>
      <c r="V20" s="39" t="s">
        <v>26</v>
      </c>
      <c r="Y20" s="67" t="s">
        <v>139</v>
      </c>
      <c r="Z20" s="30"/>
      <c r="AA20" s="3"/>
      <c r="AC20" s="107" t="s">
        <v>45</v>
      </c>
      <c r="AD20" s="96" t="e">
        <f>TEXT(C19,"0.0")&amp;"-"&amp;TEXT(P19,"0.00")</f>
        <v>#N/A</v>
      </c>
      <c r="AE20" s="111"/>
      <c r="AF20" s="50" t="s">
        <v>3</v>
      </c>
      <c r="AG20" s="93" t="e">
        <f>(C19-P19)/Y26</f>
        <v>#N/A</v>
      </c>
      <c r="AL20" s="152" t="s">
        <v>45</v>
      </c>
      <c r="AM20" s="146" t="e">
        <f>TEXT(C19,"0.0")&amp;"- 1.3*"&amp;TEXT(P19,"0.00")</f>
        <v>#N/A</v>
      </c>
      <c r="AN20" s="146"/>
      <c r="AO20" s="147" t="s">
        <v>3</v>
      </c>
      <c r="AP20" s="148" t="e">
        <f>(C19-1.3*P19)/(1.3*Y26)</f>
        <v>#N/A</v>
      </c>
    </row>
    <row r="21" spans="1:42" s="39" customFormat="1" ht="14.25" customHeight="1" outlineLevel="1" x14ac:dyDescent="0.35">
      <c r="A21" s="104"/>
      <c r="B21" s="102" t="s">
        <v>20</v>
      </c>
      <c r="C21" s="103"/>
      <c r="D21" s="42"/>
      <c r="H21" s="42"/>
      <c r="I21" s="42"/>
      <c r="J21" s="53"/>
      <c r="K21" s="41" t="s">
        <v>6</v>
      </c>
      <c r="P21" s="102"/>
      <c r="T21" s="1" t="s">
        <v>27</v>
      </c>
      <c r="U21" s="68">
        <f>U20*L37*L26</f>
        <v>0</v>
      </c>
      <c r="V21" s="39" t="s">
        <v>26</v>
      </c>
      <c r="Y21" s="67" t="s">
        <v>121</v>
      </c>
      <c r="Z21" s="30"/>
      <c r="AA21" s="3"/>
      <c r="AC21" s="107"/>
      <c r="AD21" s="95" t="e">
        <f>"1*"&amp; TEXT(Y26,"0.0")&amp;"*(1+0)"</f>
        <v>#N/A</v>
      </c>
      <c r="AE21" s="94"/>
      <c r="AF21" s="50"/>
      <c r="AG21" s="93"/>
      <c r="AL21" s="152"/>
      <c r="AM21" s="149" t="e">
        <f>"1.3*"&amp; TEXT(Y26,"0.0")&amp;"*(1+0)"</f>
        <v>#N/A</v>
      </c>
      <c r="AN21" s="149"/>
      <c r="AO21" s="147"/>
      <c r="AP21" s="148"/>
    </row>
    <row r="22" spans="1:42" s="39" customFormat="1" ht="14.25" customHeight="1" outlineLevel="1" x14ac:dyDescent="0.35">
      <c r="B22" s="53" t="s">
        <v>59</v>
      </c>
      <c r="C22" s="50">
        <f>HLOOKUP($B$21,[1]Members!$B$7:$N$37,12,FALSE)</f>
        <v>8</v>
      </c>
      <c r="D22" s="43" t="s">
        <v>23</v>
      </c>
      <c r="E22" s="45"/>
      <c r="F22" s="53" t="s">
        <v>58</v>
      </c>
      <c r="G22" s="50">
        <f>HLOOKUP($B$21,[1]Members!$B$7:$N$37,2,FALSE)</f>
        <v>5</v>
      </c>
      <c r="H22" s="39" t="s">
        <v>57</v>
      </c>
      <c r="I22" s="48"/>
      <c r="K22" s="1" t="s">
        <v>56</v>
      </c>
      <c r="L22" s="40" t="s">
        <v>55</v>
      </c>
      <c r="M22" s="40" t="s">
        <v>3</v>
      </c>
      <c r="N22" s="50" t="e">
        <f>TEXT(L16,"0.00")&amp;"/"&amp;TEXT(G15,"0.00")</f>
        <v>#N/A</v>
      </c>
      <c r="O22" s="40" t="s">
        <v>3</v>
      </c>
      <c r="P22" s="49" t="e">
        <f>L16/G15</f>
        <v>#N/A</v>
      </c>
      <c r="T22" s="53" t="s">
        <v>21</v>
      </c>
      <c r="U22" s="50">
        <f>V17</f>
        <v>0</v>
      </c>
      <c r="V22" t="s">
        <v>18</v>
      </c>
      <c r="Y22" s="67" t="s">
        <v>139</v>
      </c>
      <c r="Z22" s="30"/>
      <c r="AA22" s="3"/>
      <c r="AC22" s="83"/>
      <c r="AD22" s="78"/>
      <c r="AE22" s="84"/>
      <c r="AF22" s="83"/>
      <c r="AG22" s="82"/>
      <c r="AL22" s="83"/>
      <c r="AM22" s="78"/>
      <c r="AN22" s="84"/>
      <c r="AO22" s="83"/>
      <c r="AP22" s="82"/>
    </row>
    <row r="23" spans="1:42" s="39" customFormat="1" ht="14.25" customHeight="1" outlineLevel="1" x14ac:dyDescent="0.35">
      <c r="B23" s="53" t="s">
        <v>54</v>
      </c>
      <c r="C23" s="50">
        <f>HLOOKUP($B$21,[1]Members!$B$7:$N$37,13,FALSE)</f>
        <v>88</v>
      </c>
      <c r="D23" s="42" t="s">
        <v>23</v>
      </c>
      <c r="E23" s="45"/>
      <c r="F23" s="98" t="s">
        <v>127</v>
      </c>
      <c r="G23" s="39" t="s">
        <v>128</v>
      </c>
      <c r="H23" s="42"/>
      <c r="I23" s="42"/>
      <c r="K23" s="101"/>
      <c r="P23" s="100"/>
      <c r="T23" s="1" t="s">
        <v>19</v>
      </c>
      <c r="U23" s="68">
        <f>L37*U22*L26</f>
        <v>0</v>
      </c>
      <c r="V23" s="39" t="s">
        <v>18</v>
      </c>
      <c r="Y23" s="67" t="s">
        <v>122</v>
      </c>
    </row>
    <row r="24" spans="1:42" s="39" customFormat="1" ht="14.25" customHeight="1" outlineLevel="1" x14ac:dyDescent="0.3">
      <c r="E24" s="45"/>
      <c r="F24" s="98"/>
      <c r="G24" s="98"/>
      <c r="I24" s="48"/>
      <c r="J24" s="99" t="s">
        <v>53</v>
      </c>
      <c r="K24" s="99" t="s">
        <v>52</v>
      </c>
      <c r="AB24" s="91" t="s">
        <v>51</v>
      </c>
      <c r="AC24" s="90" t="s">
        <v>50</v>
      </c>
      <c r="AD24" s="59"/>
      <c r="AK24" s="91" t="s">
        <v>49</v>
      </c>
      <c r="AL24" s="90" t="s">
        <v>48</v>
      </c>
      <c r="AM24" s="59"/>
    </row>
    <row r="25" spans="1:42" s="39" customFormat="1" ht="14.25" customHeight="1" outlineLevel="1" x14ac:dyDescent="0.3">
      <c r="B25" s="76" t="s">
        <v>47</v>
      </c>
      <c r="C25" s="74"/>
      <c r="D25" s="74"/>
      <c r="F25" s="98"/>
      <c r="G25" s="98"/>
      <c r="K25" s="53"/>
      <c r="T25" s="1" t="s">
        <v>16</v>
      </c>
      <c r="U25" s="60" t="s">
        <v>15</v>
      </c>
    </row>
    <row r="26" spans="1:42" s="39" customFormat="1" ht="14.25" customHeight="1" outlineLevel="1" x14ac:dyDescent="0.35">
      <c r="G26" s="98"/>
      <c r="K26" s="50" t="s">
        <v>46</v>
      </c>
      <c r="L26" s="102">
        <v>1.33</v>
      </c>
      <c r="P26" s="39" t="s">
        <v>119</v>
      </c>
      <c r="Q26" s="39" t="s">
        <v>126</v>
      </c>
      <c r="T26" s="107" t="s">
        <v>12</v>
      </c>
      <c r="U26" s="55" t="s">
        <v>11</v>
      </c>
      <c r="V26" s="50" t="s">
        <v>3</v>
      </c>
      <c r="W26" s="54">
        <f>U21</f>
        <v>0</v>
      </c>
      <c r="X26" s="50" t="s">
        <v>3</v>
      </c>
      <c r="Y26" s="150" t="e">
        <f>W26*12/W27</f>
        <v>#N/A</v>
      </c>
      <c r="AC26" s="97" t="s">
        <v>45</v>
      </c>
      <c r="AD26" s="96" t="e">
        <f>TEXT(G19,"0.0")&amp;"-"&amp;TEXT(P22,"0.00")</f>
        <v>#N/A</v>
      </c>
      <c r="AE26" s="111"/>
      <c r="AF26" s="50" t="s">
        <v>3</v>
      </c>
      <c r="AG26" s="93" t="e">
        <f>(G19-P22)/Y29</f>
        <v>#N/A</v>
      </c>
      <c r="AL26" s="151" t="s">
        <v>45</v>
      </c>
      <c r="AM26" s="146" t="e">
        <f>TEXT(G19,"0.0")&amp;"- 1.3*"&amp;TEXT(P22,"0.00")</f>
        <v>#N/A</v>
      </c>
      <c r="AN26" s="153"/>
      <c r="AO26" s="147" t="s">
        <v>3</v>
      </c>
      <c r="AP26" s="148" t="e">
        <f>(G19-1.3*P22)/(1.3*Y29)</f>
        <v>#N/A</v>
      </c>
    </row>
    <row r="27" spans="1:42" s="39" customFormat="1" ht="14.25" customHeight="1" outlineLevel="1" x14ac:dyDescent="0.3">
      <c r="B27" s="76" t="s">
        <v>44</v>
      </c>
      <c r="C27" s="75"/>
      <c r="D27" s="74"/>
      <c r="K27" s="53"/>
      <c r="T27" s="107"/>
      <c r="U27" s="51" t="s">
        <v>9</v>
      </c>
      <c r="V27" s="50"/>
      <c r="W27" s="94" t="e">
        <f>C36</f>
        <v>#N/A</v>
      </c>
      <c r="X27" s="50"/>
      <c r="Y27" s="150"/>
      <c r="AC27" s="107"/>
      <c r="AD27" s="95" t="e">
        <f>"1*"&amp; TEXT(Y29,"0.0")&amp;"*(1+0)"</f>
        <v>#N/A</v>
      </c>
      <c r="AE27" s="94"/>
      <c r="AF27" s="50"/>
      <c r="AG27" s="93"/>
      <c r="AL27" s="152"/>
      <c r="AM27" s="149" t="e">
        <f>"1.3*"&amp; TEXT(Y29,"0.0")&amp;"*(1+0)"</f>
        <v>#N/A</v>
      </c>
      <c r="AN27" s="154"/>
      <c r="AO27" s="147"/>
      <c r="AP27" s="148"/>
    </row>
    <row r="28" spans="1:42" s="39" customFormat="1" ht="14.25" customHeight="1" outlineLevel="1" x14ac:dyDescent="0.3">
      <c r="A28" s="73"/>
      <c r="E28" s="53" t="s">
        <v>43</v>
      </c>
      <c r="F28" s="47">
        <v>6</v>
      </c>
      <c r="K28" s="92" t="s">
        <v>42</v>
      </c>
      <c r="L28" s="74"/>
      <c r="T28" s="41" t="s">
        <v>6</v>
      </c>
    </row>
    <row r="29" spans="1:42" s="39" customFormat="1" ht="18" customHeight="1" outlineLevel="1" x14ac:dyDescent="0.35">
      <c r="B29" s="142"/>
      <c r="C29" s="85" t="s">
        <v>33</v>
      </c>
      <c r="D29" s="85" t="s">
        <v>32</v>
      </c>
      <c r="E29" s="85" t="s">
        <v>31</v>
      </c>
      <c r="F29" s="85" t="s">
        <v>30</v>
      </c>
      <c r="G29" s="85" t="s">
        <v>29</v>
      </c>
      <c r="H29" s="85" t="s">
        <v>28</v>
      </c>
      <c r="J29" s="135" t="s">
        <v>120</v>
      </c>
      <c r="P29" s="39" t="s">
        <v>119</v>
      </c>
      <c r="Q29" s="39" t="s">
        <v>129</v>
      </c>
      <c r="T29" s="1" t="s">
        <v>5</v>
      </c>
      <c r="U29" s="40" t="s">
        <v>4</v>
      </c>
      <c r="V29" s="40" t="s">
        <v>3</v>
      </c>
      <c r="W29" s="50" t="e">
        <f>TEXT(U23,"0.00")&amp;"/"&amp;TEXT(G15,"0.00")</f>
        <v>#N/A</v>
      </c>
      <c r="X29" s="40" t="s">
        <v>3</v>
      </c>
      <c r="Y29" s="49" t="e">
        <f>U23/G15</f>
        <v>#N/A</v>
      </c>
    </row>
    <row r="30" spans="1:42" s="39" customFormat="1" ht="15" customHeight="1" outlineLevel="1" x14ac:dyDescent="0.3">
      <c r="B30" s="143"/>
      <c r="C30" s="72" t="s">
        <v>25</v>
      </c>
      <c r="D30" s="72" t="s">
        <v>23</v>
      </c>
      <c r="E30" s="72" t="s">
        <v>24</v>
      </c>
      <c r="F30" s="72" t="s">
        <v>23</v>
      </c>
      <c r="G30" s="72" t="s">
        <v>22</v>
      </c>
      <c r="H30" s="72" t="s">
        <v>22</v>
      </c>
      <c r="AB30" s="91">
        <v>3.3</v>
      </c>
      <c r="AC30" s="90" t="s">
        <v>41</v>
      </c>
      <c r="AD30" s="59"/>
      <c r="AG30" s="59"/>
      <c r="AK30" s="91">
        <v>4.3</v>
      </c>
      <c r="AL30" s="90" t="s">
        <v>41</v>
      </c>
      <c r="AM30" s="59"/>
    </row>
    <row r="31" spans="1:42" s="39" customFormat="1" ht="14.25" customHeight="1" outlineLevel="1" x14ac:dyDescent="0.3">
      <c r="B31" s="71" t="s">
        <v>20</v>
      </c>
      <c r="C31" s="87">
        <f>C22*C23/F28</f>
        <v>117.33333333333333</v>
      </c>
      <c r="D31" s="89" t="e">
        <f>C15+C22/2</f>
        <v>#N/A</v>
      </c>
      <c r="E31" s="85" t="e">
        <f>C31*D31</f>
        <v>#N/A</v>
      </c>
      <c r="F31" s="87" t="e">
        <f>ABS(D31-$E$34)</f>
        <v>#N/A</v>
      </c>
      <c r="G31" s="86" t="e">
        <f>C31*F31^2</f>
        <v>#N/A</v>
      </c>
      <c r="H31" s="86">
        <f>(1/12)*(C23*C22^3)/F28</f>
        <v>625.77777777777771</v>
      </c>
    </row>
    <row r="32" spans="1:42" s="39" customFormat="1" ht="14.25" customHeight="1" outlineLevel="1" x14ac:dyDescent="0.3">
      <c r="B32" s="66" t="e">
        <f>C11</f>
        <v>#N/A</v>
      </c>
      <c r="C32" s="88" t="e">
        <f>C14</f>
        <v>#N/A</v>
      </c>
      <c r="D32" s="87" t="e">
        <f>C15/2</f>
        <v>#N/A</v>
      </c>
      <c r="E32" s="85" t="e">
        <f>C32*D32</f>
        <v>#N/A</v>
      </c>
      <c r="F32" s="87" t="e">
        <f>ABS(D32-$E$34)</f>
        <v>#N/A</v>
      </c>
      <c r="G32" s="86" t="e">
        <f>C32*F32^2</f>
        <v>#N/A</v>
      </c>
      <c r="H32" s="85" t="e">
        <f>C12</f>
        <v>#N/A</v>
      </c>
      <c r="AC32" s="1" t="s">
        <v>40</v>
      </c>
      <c r="AD32" s="93" t="e">
        <f>MIN(AG20:AG27)</f>
        <v>#N/A</v>
      </c>
      <c r="AL32" s="1" t="s">
        <v>40</v>
      </c>
      <c r="AM32" s="93" t="e">
        <f>MIN(AP20:AP27)</f>
        <v>#N/A</v>
      </c>
    </row>
    <row r="33" spans="1:40" s="39" customFormat="1" ht="14.25" customHeight="1" x14ac:dyDescent="0.3">
      <c r="B33" s="53" t="s">
        <v>17</v>
      </c>
      <c r="C33" s="61" t="e">
        <f>SUM(C31:C32)</f>
        <v>#N/A</v>
      </c>
      <c r="D33" s="53" t="s">
        <v>17</v>
      </c>
      <c r="E33" s="61" t="e">
        <f>SUM(E31:E32)</f>
        <v>#N/A</v>
      </c>
      <c r="F33" s="58"/>
      <c r="G33" s="44"/>
      <c r="H33" s="43"/>
      <c r="AC33" s="80"/>
      <c r="AD33" s="79"/>
      <c r="AE33" s="84"/>
      <c r="AF33" s="83"/>
      <c r="AG33" s="82"/>
      <c r="AL33" s="80"/>
      <c r="AM33" s="79"/>
      <c r="AN33" s="84"/>
    </row>
    <row r="34" spans="1:40" s="39" customFormat="1" ht="14.25" customHeight="1" x14ac:dyDescent="0.3">
      <c r="C34" s="53"/>
      <c r="D34" s="57" t="s">
        <v>14</v>
      </c>
      <c r="E34" s="59" t="e">
        <f>E33/C33</f>
        <v>#N/A</v>
      </c>
      <c r="F34" s="58"/>
      <c r="G34" s="57" t="s">
        <v>2</v>
      </c>
      <c r="H34" s="47" t="e">
        <f>SUM(G31:H32)</f>
        <v>#N/A</v>
      </c>
      <c r="I34" s="39" t="s">
        <v>13</v>
      </c>
      <c r="AC34" s="80" t="s">
        <v>39</v>
      </c>
      <c r="AD34" s="79" t="e">
        <f>AD32*4</f>
        <v>#N/A</v>
      </c>
      <c r="AE34" s="78" t="s">
        <v>38</v>
      </c>
      <c r="AF34" s="83"/>
      <c r="AG34" s="82"/>
      <c r="AH34" s="81"/>
      <c r="AL34" s="80" t="s">
        <v>39</v>
      </c>
      <c r="AM34" s="79" t="e">
        <f>AM32*4</f>
        <v>#N/A</v>
      </c>
      <c r="AN34" s="78" t="s">
        <v>38</v>
      </c>
    </row>
    <row r="35" spans="1:40" s="39" customFormat="1" ht="14.25" customHeight="1" x14ac:dyDescent="0.35">
      <c r="B35" s="48" t="s">
        <v>10</v>
      </c>
      <c r="C35" s="47" t="e">
        <f>H34/(C15+C22-E34)</f>
        <v>#N/A</v>
      </c>
      <c r="D35" s="46" t="s">
        <v>7</v>
      </c>
      <c r="F35" s="53"/>
      <c r="G35" s="52"/>
      <c r="H35" s="43"/>
      <c r="AM35" s="50"/>
    </row>
    <row r="36" spans="1:40" s="39" customFormat="1" ht="14.25" customHeight="1" x14ac:dyDescent="0.35">
      <c r="B36" s="48" t="s">
        <v>8</v>
      </c>
      <c r="C36" s="47" t="e">
        <f>H34/E34</f>
        <v>#N/A</v>
      </c>
      <c r="D36" s="46" t="s">
        <v>7</v>
      </c>
      <c r="F36" s="45"/>
      <c r="G36" s="44"/>
      <c r="H36" s="43"/>
      <c r="I36" s="42"/>
    </row>
    <row r="37" spans="1:40" s="39" customFormat="1" ht="14.25" customHeight="1" outlineLevel="1" x14ac:dyDescent="0.3">
      <c r="K37" s="53" t="s">
        <v>37</v>
      </c>
      <c r="L37" s="77">
        <f>((7*12+4)-(3*12+6))/(7*12+4)</f>
        <v>0.52272727272727271</v>
      </c>
      <c r="P37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40" s="39" customFormat="1" ht="14.25" customHeight="1" outlineLevel="1" x14ac:dyDescent="0.3">
      <c r="B38" s="76" t="s">
        <v>36</v>
      </c>
      <c r="C38" s="75"/>
      <c r="D38" s="74"/>
      <c r="L38" s="50"/>
    </row>
    <row r="39" spans="1:40" s="39" customFormat="1" ht="14.25" customHeight="1" outlineLevel="1" x14ac:dyDescent="0.3">
      <c r="A39" s="73"/>
      <c r="E39" s="53" t="s">
        <v>35</v>
      </c>
      <c r="F39" s="45">
        <f>3*F28</f>
        <v>18</v>
      </c>
      <c r="L39" s="138" t="s">
        <v>130</v>
      </c>
    </row>
    <row r="40" spans="1:40" s="39" customFormat="1" ht="18" customHeight="1" x14ac:dyDescent="0.35">
      <c r="B40" s="142"/>
      <c r="C40" s="62" t="s">
        <v>33</v>
      </c>
      <c r="D40" s="62" t="s">
        <v>32</v>
      </c>
      <c r="E40" s="62" t="s">
        <v>31</v>
      </c>
      <c r="F40" s="62" t="s">
        <v>30</v>
      </c>
      <c r="G40" s="62" t="s">
        <v>29</v>
      </c>
      <c r="H40" s="62" t="s">
        <v>28</v>
      </c>
      <c r="L40" s="53" t="s">
        <v>131</v>
      </c>
    </row>
    <row r="41" spans="1:40" s="39" customFormat="1" ht="14.25" customHeight="1" x14ac:dyDescent="0.3">
      <c r="B41" s="143"/>
      <c r="C41" s="72" t="s">
        <v>25</v>
      </c>
      <c r="D41" s="72" t="s">
        <v>23</v>
      </c>
      <c r="E41" s="72" t="s">
        <v>24</v>
      </c>
      <c r="F41" s="72" t="s">
        <v>23</v>
      </c>
      <c r="G41" s="72" t="s">
        <v>22</v>
      </c>
      <c r="H41" s="72" t="s">
        <v>22</v>
      </c>
      <c r="L41" s="53" t="s">
        <v>132</v>
      </c>
    </row>
    <row r="42" spans="1:40" s="39" customFormat="1" ht="14.25" customHeight="1" outlineLevel="1" x14ac:dyDescent="0.3">
      <c r="B42" s="71" t="s">
        <v>20</v>
      </c>
      <c r="C42" s="64">
        <f>C22*C23/F39</f>
        <v>39.111111111111114</v>
      </c>
      <c r="D42" s="70" t="e">
        <f>C15+C22/2</f>
        <v>#N/A</v>
      </c>
      <c r="E42" s="69" t="e">
        <f>C42*D42</f>
        <v>#N/A</v>
      </c>
      <c r="F42" s="64" t="e">
        <f>ABS(D42-$E$34)</f>
        <v>#N/A</v>
      </c>
      <c r="G42" s="63" t="e">
        <f>C42*F42^2</f>
        <v>#N/A</v>
      </c>
      <c r="H42" s="63">
        <f>(1/12)*(C23*C22^3)/F39</f>
        <v>208.59259259259258</v>
      </c>
      <c r="L42" s="53" t="s">
        <v>134</v>
      </c>
    </row>
    <row r="43" spans="1:40" s="39" customFormat="1" ht="15.6" outlineLevel="1" x14ac:dyDescent="0.35">
      <c r="B43" s="66" t="e">
        <f>B32</f>
        <v>#N/A</v>
      </c>
      <c r="C43" s="65" t="e">
        <f>C14</f>
        <v>#N/A</v>
      </c>
      <c r="D43" s="64" t="e">
        <f>C15/2</f>
        <v>#N/A</v>
      </c>
      <c r="E43" s="62" t="e">
        <f>C43*D43</f>
        <v>#N/A</v>
      </c>
      <c r="F43" s="64" t="e">
        <f>ABS(D43-$E$34)</f>
        <v>#N/A</v>
      </c>
      <c r="G43" s="63" t="e">
        <f>C43*F43^2</f>
        <v>#N/A</v>
      </c>
      <c r="H43" s="62" t="e">
        <f>C12</f>
        <v>#N/A</v>
      </c>
      <c r="L43" s="53" t="s">
        <v>138</v>
      </c>
      <c r="P43" s="139" t="s">
        <v>135</v>
      </c>
    </row>
    <row r="44" spans="1:40" s="39" customFormat="1" x14ac:dyDescent="0.3">
      <c r="B44" s="53" t="s">
        <v>17</v>
      </c>
      <c r="C44" s="61" t="e">
        <f>SUM(C42:C43)</f>
        <v>#N/A</v>
      </c>
      <c r="D44" s="53" t="s">
        <v>17</v>
      </c>
      <c r="E44" s="61" t="e">
        <f>SUM(E42:E43)</f>
        <v>#N/A</v>
      </c>
      <c r="F44" s="58"/>
      <c r="G44" s="44"/>
      <c r="H44" s="43"/>
    </row>
    <row r="45" spans="1:40" s="39" customFormat="1" ht="15.75" customHeight="1" x14ac:dyDescent="0.3">
      <c r="C45" s="53"/>
      <c r="D45" s="57" t="s">
        <v>14</v>
      </c>
      <c r="E45" s="59" t="e">
        <f>E44/C44</f>
        <v>#N/A</v>
      </c>
      <c r="F45" s="58"/>
      <c r="G45" s="57" t="s">
        <v>2</v>
      </c>
      <c r="H45" s="47" t="e">
        <f>SUM(G42:H43)</f>
        <v>#N/A</v>
      </c>
      <c r="I45" s="56" t="s">
        <v>13</v>
      </c>
    </row>
    <row r="46" spans="1:40" s="39" customFormat="1" ht="14.25" customHeight="1" x14ac:dyDescent="0.35">
      <c r="B46" s="48" t="s">
        <v>10</v>
      </c>
      <c r="C46" s="47" t="e">
        <f>H45/(C23+D31-E45)</f>
        <v>#N/A</v>
      </c>
      <c r="D46" s="46" t="s">
        <v>7</v>
      </c>
      <c r="F46" s="53"/>
      <c r="G46" s="52"/>
      <c r="H46" s="43"/>
      <c r="L46" s="39" t="s">
        <v>133</v>
      </c>
      <c r="M46" s="102">
        <v>640</v>
      </c>
      <c r="N46" s="39" t="s">
        <v>136</v>
      </c>
      <c r="P46" s="39" t="s">
        <v>119</v>
      </c>
    </row>
    <row r="47" spans="1:40" s="39" customFormat="1" ht="14.25" customHeight="1" x14ac:dyDescent="0.35">
      <c r="B47" s="48" t="s">
        <v>8</v>
      </c>
      <c r="C47" s="47" t="e">
        <f>H45/E45</f>
        <v>#N/A</v>
      </c>
      <c r="D47" s="46" t="s">
        <v>7</v>
      </c>
      <c r="F47" s="45"/>
      <c r="G47" s="44"/>
      <c r="H47" s="43"/>
      <c r="I47" s="42"/>
      <c r="L47" s="53" t="s">
        <v>137</v>
      </c>
      <c r="P47" s="139" t="s">
        <v>135</v>
      </c>
    </row>
    <row r="48" spans="1:40" s="39" customFormat="1" x14ac:dyDescent="0.3"/>
    <row r="49" spans="1:89" s="30" customFormat="1" x14ac:dyDescent="0.3">
      <c r="J49" s="3"/>
      <c r="K49" s="3"/>
      <c r="L49" s="3"/>
      <c r="M49" s="3"/>
      <c r="N49" s="3"/>
      <c r="O49" s="3"/>
      <c r="P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1:89" s="30" customFormat="1" x14ac:dyDescent="0.3">
      <c r="J50" s="3"/>
      <c r="K50" s="29"/>
      <c r="L50" s="38"/>
      <c r="M50" s="22"/>
      <c r="N50" s="3"/>
      <c r="O50" s="3"/>
      <c r="P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1:89" s="30" customForma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27"/>
      <c r="L51" s="13"/>
      <c r="M51" s="22"/>
      <c r="N51" s="9"/>
      <c r="O51" s="9"/>
      <c r="P51" s="9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1:89" s="30" customFormat="1" ht="14.25" customHeight="1" x14ac:dyDescent="0.35">
      <c r="A52" s="37"/>
      <c r="B52" s="37"/>
      <c r="C52" s="37"/>
      <c r="D52" s="37"/>
      <c r="E52" s="37"/>
      <c r="F52" s="37"/>
      <c r="G52" s="37"/>
      <c r="H52" s="37"/>
      <c r="I52" s="37"/>
      <c r="J52" s="36"/>
      <c r="K52" s="27"/>
      <c r="L52" s="25"/>
      <c r="M52" s="3"/>
      <c r="N52" s="36"/>
      <c r="O52" s="36"/>
      <c r="P52" s="36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1:89" s="30" customFormat="1" ht="15.6" x14ac:dyDescent="0.3">
      <c r="A53" s="33"/>
      <c r="B53" s="19"/>
      <c r="C53" s="35"/>
      <c r="D53" s="35"/>
      <c r="E53" s="35"/>
      <c r="F53" s="35"/>
      <c r="G53" s="35"/>
      <c r="H53" s="35"/>
      <c r="I53" s="33"/>
      <c r="J53" s="33"/>
      <c r="K53" s="22"/>
      <c r="L53" s="3"/>
      <c r="M53" s="3"/>
      <c r="N53" s="16"/>
      <c r="O53" s="16"/>
      <c r="P53" s="16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1:89" s="30" customFormat="1" ht="15.6" x14ac:dyDescent="0.3">
      <c r="A54" s="33"/>
      <c r="B54" s="19"/>
      <c r="C54" s="34"/>
      <c r="D54" s="34"/>
      <c r="E54" s="34"/>
      <c r="F54" s="34"/>
      <c r="G54" s="34"/>
      <c r="H54" s="34"/>
      <c r="I54" s="33"/>
      <c r="J54" s="33"/>
      <c r="K54" s="26"/>
      <c r="L54" s="3"/>
      <c r="M54" s="3"/>
      <c r="N54" s="32"/>
      <c r="O54" s="32"/>
      <c r="P54" s="32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1:89" s="30" customFormat="1" ht="15.6" x14ac:dyDescent="0.3">
      <c r="A55" s="9"/>
      <c r="B55" s="19"/>
      <c r="C55" s="17"/>
      <c r="D55" s="31"/>
      <c r="E55" s="17"/>
      <c r="F55" s="17"/>
      <c r="G55" s="17"/>
      <c r="H55" s="17"/>
      <c r="I55" s="9"/>
      <c r="J55" s="9"/>
      <c r="K55" s="25"/>
      <c r="L55" s="3"/>
      <c r="M55" s="3"/>
      <c r="N55" s="21"/>
      <c r="O55" s="20"/>
      <c r="P55" s="20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1:89" s="30" customFormat="1" ht="15.6" x14ac:dyDescent="0.3">
      <c r="A56" s="9"/>
      <c r="B56" s="19"/>
      <c r="C56" s="17"/>
      <c r="D56" s="31"/>
      <c r="E56" s="17"/>
      <c r="F56" s="17"/>
      <c r="G56" s="17"/>
      <c r="H56" s="17"/>
      <c r="I56" s="9"/>
      <c r="J56" s="9"/>
      <c r="K56" s="23"/>
      <c r="L56" s="24"/>
      <c r="M56" s="3"/>
      <c r="N56" s="21"/>
      <c r="O56" s="20"/>
      <c r="P56" s="20"/>
      <c r="Q56" s="15"/>
      <c r="R56" s="9"/>
      <c r="S56" s="9"/>
      <c r="T56" s="9"/>
      <c r="U56" s="9"/>
      <c r="V56" s="9"/>
      <c r="W56" s="9"/>
      <c r="X56" s="9"/>
      <c r="Y56" s="9"/>
      <c r="Z56" s="9"/>
      <c r="AA56" s="9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1:89" s="30" customFormat="1" ht="15.6" x14ac:dyDescent="0.3">
      <c r="A57" s="9"/>
      <c r="B57" s="19"/>
      <c r="C57" s="17"/>
      <c r="D57" s="31"/>
      <c r="E57" s="17"/>
      <c r="F57" s="17"/>
      <c r="G57" s="17"/>
      <c r="H57" s="17"/>
      <c r="I57" s="9"/>
      <c r="J57" s="9"/>
      <c r="K57" s="25"/>
      <c r="L57" s="5"/>
      <c r="M57" s="22"/>
      <c r="N57" s="21"/>
      <c r="O57" s="20"/>
      <c r="P57" s="20"/>
      <c r="Q57" s="15"/>
      <c r="R57" s="9"/>
      <c r="S57" s="9"/>
      <c r="T57" s="9"/>
      <c r="U57" s="9"/>
      <c r="V57" s="9"/>
      <c r="W57" s="9"/>
      <c r="X57" s="9"/>
      <c r="Y57" s="9"/>
      <c r="Z57" s="9"/>
      <c r="AA57" s="9"/>
      <c r="AB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</row>
    <row r="58" spans="1:89" ht="15.6" x14ac:dyDescent="0.3">
      <c r="A58" s="9"/>
      <c r="B58" s="19"/>
      <c r="C58" s="17"/>
      <c r="D58" s="18"/>
      <c r="E58" s="17"/>
      <c r="F58" s="17"/>
      <c r="G58" s="17"/>
      <c r="H58" s="17"/>
      <c r="I58" s="9"/>
      <c r="J58" s="9"/>
      <c r="K58" s="29"/>
      <c r="L58" s="28"/>
      <c r="M58" s="3"/>
      <c r="N58" s="21"/>
      <c r="O58" s="20"/>
      <c r="P58" s="20"/>
      <c r="Q58" s="15"/>
      <c r="R58" s="9"/>
      <c r="S58" s="9"/>
      <c r="T58" s="9"/>
      <c r="U58" s="9"/>
      <c r="V58" s="9"/>
      <c r="W58" s="9"/>
      <c r="X58" s="9"/>
      <c r="Y58" s="9"/>
      <c r="Z58" s="9"/>
      <c r="AA58" s="9"/>
      <c r="AB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</row>
    <row r="59" spans="1:89" ht="15.6" x14ac:dyDescent="0.3">
      <c r="A59" s="9"/>
      <c r="B59" s="19"/>
      <c r="C59" s="17"/>
      <c r="D59" s="18"/>
      <c r="E59" s="17"/>
      <c r="F59" s="17"/>
      <c r="G59" s="17"/>
      <c r="H59" s="17"/>
      <c r="I59" s="9"/>
      <c r="J59" s="9"/>
      <c r="K59" s="27"/>
      <c r="L59" s="13"/>
      <c r="M59" s="3"/>
      <c r="N59" s="21"/>
      <c r="O59" s="20"/>
      <c r="P59" s="20"/>
      <c r="Q59" s="15"/>
      <c r="R59" s="9"/>
      <c r="S59" s="9"/>
      <c r="T59" s="9"/>
      <c r="U59" s="9"/>
      <c r="V59" s="9"/>
      <c r="W59" s="9"/>
      <c r="X59" s="9"/>
      <c r="Y59" s="9"/>
      <c r="Z59" s="9"/>
      <c r="AA59" s="9"/>
      <c r="AB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</row>
    <row r="60" spans="1:89" ht="15.6" x14ac:dyDescent="0.3">
      <c r="A60" s="9"/>
      <c r="B60" s="19"/>
      <c r="C60" s="17"/>
      <c r="D60" s="18"/>
      <c r="E60" s="17"/>
      <c r="F60" s="17"/>
      <c r="G60" s="17"/>
      <c r="H60" s="17"/>
      <c r="I60" s="9"/>
      <c r="J60" s="9"/>
      <c r="K60" s="27"/>
      <c r="L60" s="3"/>
      <c r="M60" s="3"/>
      <c r="N60" s="21"/>
      <c r="O60" s="20"/>
      <c r="P60" s="20"/>
      <c r="Q60" s="15"/>
      <c r="R60" s="9"/>
      <c r="S60" s="9"/>
      <c r="T60" s="9"/>
      <c r="U60" s="9"/>
      <c r="V60" s="9"/>
      <c r="W60" s="9"/>
      <c r="X60" s="9"/>
      <c r="Y60" s="9"/>
      <c r="Z60" s="9"/>
      <c r="AA60" s="9"/>
      <c r="AB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</row>
    <row r="61" spans="1:89" ht="15.6" x14ac:dyDescent="0.3">
      <c r="A61" s="9"/>
      <c r="B61" s="19"/>
      <c r="C61" s="17"/>
      <c r="D61" s="18"/>
      <c r="E61" s="17"/>
      <c r="F61" s="17"/>
      <c r="G61" s="17"/>
      <c r="H61" s="17"/>
      <c r="I61" s="9"/>
      <c r="J61" s="9"/>
      <c r="K61" s="22"/>
      <c r="L61" s="3"/>
      <c r="M61" s="3"/>
      <c r="N61" s="21"/>
      <c r="O61" s="20"/>
      <c r="P61" s="20"/>
      <c r="Q61" s="15"/>
      <c r="R61" s="9"/>
      <c r="S61" s="9"/>
      <c r="T61" s="9"/>
      <c r="U61" s="9"/>
      <c r="V61" s="9"/>
      <c r="W61" s="9"/>
      <c r="X61" s="9"/>
      <c r="Y61" s="9"/>
      <c r="Z61" s="9"/>
      <c r="AA61" s="9"/>
      <c r="AB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</row>
    <row r="62" spans="1:89" ht="15.6" x14ac:dyDescent="0.3">
      <c r="A62" s="9"/>
      <c r="B62" s="19"/>
      <c r="C62" s="17"/>
      <c r="D62" s="18"/>
      <c r="E62" s="17"/>
      <c r="F62" s="17"/>
      <c r="G62" s="17"/>
      <c r="H62" s="17"/>
      <c r="I62" s="9"/>
      <c r="J62" s="9"/>
      <c r="K62" s="26"/>
      <c r="L62" s="5"/>
      <c r="M62" s="3"/>
      <c r="N62" s="21"/>
      <c r="O62" s="20"/>
      <c r="P62" s="20"/>
      <c r="Q62" s="15"/>
      <c r="R62" s="9"/>
      <c r="S62" s="9"/>
      <c r="T62" s="9"/>
      <c r="U62" s="9"/>
      <c r="V62" s="9"/>
      <c r="W62" s="9"/>
      <c r="X62" s="9"/>
      <c r="Y62" s="9"/>
      <c r="Z62" s="9"/>
      <c r="AA62" s="9"/>
      <c r="AB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</row>
    <row r="63" spans="1:89" ht="15.6" x14ac:dyDescent="0.3">
      <c r="A63" s="9"/>
      <c r="B63" s="19"/>
      <c r="C63" s="17"/>
      <c r="D63" s="18"/>
      <c r="E63" s="17"/>
      <c r="F63" s="17"/>
      <c r="G63" s="17"/>
      <c r="H63" s="17"/>
      <c r="I63" s="9"/>
      <c r="J63" s="9"/>
      <c r="K63" s="25"/>
      <c r="L63" s="24"/>
      <c r="M63" s="3"/>
      <c r="N63" s="21"/>
      <c r="O63" s="20"/>
      <c r="P63" s="20"/>
      <c r="Q63" s="15"/>
      <c r="R63" s="9"/>
      <c r="S63" s="9"/>
      <c r="T63" s="9"/>
      <c r="U63" s="9"/>
      <c r="V63" s="9"/>
      <c r="W63" s="9"/>
      <c r="X63" s="9"/>
      <c r="Y63" s="9"/>
      <c r="Z63" s="9"/>
      <c r="AA63" s="9"/>
      <c r="AB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</row>
    <row r="64" spans="1:89" ht="15.6" x14ac:dyDescent="0.3">
      <c r="A64" s="9"/>
      <c r="B64" s="19"/>
      <c r="C64" s="17"/>
      <c r="D64" s="18"/>
      <c r="E64" s="17"/>
      <c r="F64" s="17"/>
      <c r="G64" s="17"/>
      <c r="H64" s="17"/>
      <c r="I64" s="9"/>
      <c r="J64" s="9"/>
      <c r="K64" s="23"/>
      <c r="L64" s="5"/>
      <c r="M64" s="22"/>
      <c r="N64" s="21"/>
      <c r="O64" s="20"/>
      <c r="P64" s="20"/>
      <c r="Q64" s="15"/>
      <c r="R64" s="9"/>
      <c r="S64" s="9"/>
      <c r="T64" s="9"/>
      <c r="U64" s="9"/>
      <c r="V64" s="9"/>
      <c r="W64" s="9"/>
      <c r="X64" s="9"/>
      <c r="Y64" s="9"/>
      <c r="Z64" s="9"/>
      <c r="AA64" s="9"/>
      <c r="AB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</row>
    <row r="65" spans="1:89" ht="15.6" x14ac:dyDescent="0.3">
      <c r="A65" s="9"/>
      <c r="B65" s="19"/>
      <c r="C65" s="17"/>
      <c r="D65" s="18"/>
      <c r="E65" s="17"/>
      <c r="F65" s="17"/>
      <c r="G65" s="17"/>
      <c r="H65" s="17"/>
      <c r="I65" s="9"/>
      <c r="J65" s="9"/>
      <c r="K65" s="9"/>
      <c r="L65" s="21"/>
      <c r="M65" s="21"/>
      <c r="N65" s="21"/>
      <c r="O65" s="20"/>
      <c r="P65" s="20"/>
      <c r="Q65" s="15"/>
      <c r="R65" s="9"/>
      <c r="S65" s="9"/>
      <c r="T65" s="9"/>
      <c r="U65" s="9"/>
      <c r="V65" s="9"/>
      <c r="W65" s="9"/>
      <c r="X65" s="9"/>
      <c r="Y65" s="9"/>
      <c r="Z65" s="9"/>
      <c r="AA65" s="9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</row>
    <row r="66" spans="1:89" ht="15.6" x14ac:dyDescent="0.3">
      <c r="A66" s="9"/>
      <c r="B66" s="19"/>
      <c r="C66" s="17"/>
      <c r="D66" s="18"/>
      <c r="E66" s="17"/>
      <c r="F66" s="17"/>
      <c r="G66" s="17"/>
      <c r="H66" s="17"/>
      <c r="I66" s="9"/>
      <c r="J66" s="9"/>
      <c r="K66" s="9"/>
      <c r="L66" s="21"/>
      <c r="M66" s="21"/>
      <c r="N66" s="21"/>
      <c r="O66" s="20"/>
      <c r="P66" s="20"/>
      <c r="Q66" s="15"/>
      <c r="R66" s="9"/>
      <c r="S66" s="9"/>
      <c r="T66" s="9"/>
      <c r="U66" s="9"/>
      <c r="V66" s="9"/>
      <c r="W66" s="9"/>
      <c r="X66" s="9"/>
      <c r="Y66" s="9"/>
      <c r="Z66" s="9"/>
      <c r="AA66" s="9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1:89" ht="15.6" x14ac:dyDescent="0.3">
      <c r="A67" s="9"/>
      <c r="B67" s="19"/>
      <c r="C67" s="17"/>
      <c r="D67" s="18"/>
      <c r="E67" s="17"/>
      <c r="F67" s="17"/>
      <c r="G67" s="17"/>
      <c r="H67" s="17"/>
      <c r="I67" s="9"/>
      <c r="J67" s="9"/>
      <c r="K67" s="9"/>
      <c r="L67" s="21"/>
      <c r="M67" s="21"/>
      <c r="N67" s="21"/>
      <c r="O67" s="20"/>
      <c r="P67" s="20"/>
      <c r="Q67" s="15"/>
      <c r="R67" s="8"/>
      <c r="S67" s="8"/>
      <c r="T67" s="8"/>
      <c r="U67" s="8"/>
      <c r="V67" s="8"/>
      <c r="W67" s="8"/>
      <c r="X67" s="8"/>
      <c r="Y67" s="8"/>
      <c r="Z67" s="8"/>
      <c r="AA67" s="8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</row>
    <row r="68" spans="1:89" ht="15.6" x14ac:dyDescent="0.3">
      <c r="A68" s="9"/>
      <c r="B68" s="19"/>
      <c r="C68" s="17"/>
      <c r="D68" s="18"/>
      <c r="E68" s="17"/>
      <c r="F68" s="17"/>
      <c r="G68" s="17"/>
      <c r="H68" s="17"/>
      <c r="I68" s="9"/>
      <c r="J68" s="9"/>
      <c r="K68" s="9"/>
      <c r="L68" s="21"/>
      <c r="M68" s="21"/>
      <c r="N68" s="21"/>
      <c r="O68" s="20"/>
      <c r="P68" s="20"/>
      <c r="Q68" s="15"/>
      <c r="R68" s="8"/>
      <c r="S68" s="8"/>
      <c r="T68" s="8"/>
      <c r="U68" s="8"/>
      <c r="V68" s="8"/>
      <c r="W68" s="8"/>
      <c r="X68" s="8"/>
      <c r="Y68" s="8"/>
      <c r="Z68" s="8"/>
      <c r="AA68" s="8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</row>
    <row r="69" spans="1:89" ht="15.6" x14ac:dyDescent="0.3">
      <c r="A69" s="9"/>
      <c r="B69" s="19"/>
      <c r="C69" s="17"/>
      <c r="D69" s="18"/>
      <c r="E69" s="17"/>
      <c r="F69" s="17"/>
      <c r="G69" s="17"/>
      <c r="H69" s="17"/>
      <c r="I69" s="9"/>
      <c r="J69" s="9"/>
      <c r="K69" s="9"/>
      <c r="L69" s="21"/>
      <c r="M69" s="21"/>
      <c r="N69" s="21"/>
      <c r="O69" s="20"/>
      <c r="P69" s="20"/>
      <c r="Q69" s="15"/>
      <c r="R69" s="8"/>
      <c r="S69" s="8"/>
      <c r="T69" s="8"/>
      <c r="U69" s="8"/>
      <c r="V69" s="8"/>
      <c r="W69" s="8"/>
      <c r="X69" s="8"/>
      <c r="Y69" s="8"/>
      <c r="Z69" s="8"/>
      <c r="AA69" s="8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</row>
    <row r="70" spans="1:89" ht="15.6" x14ac:dyDescent="0.3">
      <c r="A70" s="9"/>
      <c r="B70" s="19"/>
      <c r="C70" s="17"/>
      <c r="D70" s="18"/>
      <c r="E70" s="17"/>
      <c r="F70" s="17"/>
      <c r="G70" s="17"/>
      <c r="H70" s="17"/>
      <c r="I70" s="9"/>
      <c r="J70" s="9"/>
      <c r="K70" s="9"/>
      <c r="L70" s="21"/>
      <c r="M70" s="21"/>
      <c r="N70" s="21"/>
      <c r="O70" s="20"/>
      <c r="P70" s="20"/>
      <c r="Q70" s="15"/>
      <c r="R70" s="8"/>
      <c r="S70" s="8"/>
      <c r="T70" s="8"/>
      <c r="U70" s="8"/>
      <c r="V70" s="8"/>
      <c r="W70" s="8"/>
      <c r="X70" s="8"/>
      <c r="Y70" s="8"/>
      <c r="Z70" s="8"/>
      <c r="AA70" s="8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</row>
    <row r="71" spans="1:89" ht="15.6" x14ac:dyDescent="0.3">
      <c r="A71" s="9"/>
      <c r="B71" s="19"/>
      <c r="C71" s="17"/>
      <c r="D71" s="18"/>
      <c r="E71" s="17"/>
      <c r="F71" s="17"/>
      <c r="G71" s="17"/>
      <c r="H71" s="17"/>
      <c r="I71" s="9"/>
      <c r="J71" s="9"/>
      <c r="K71" s="9"/>
      <c r="L71" s="21"/>
      <c r="M71" s="21"/>
      <c r="N71" s="21"/>
      <c r="O71" s="20"/>
      <c r="P71" s="20"/>
      <c r="Q71" s="15"/>
      <c r="R71" s="8"/>
      <c r="S71" s="8"/>
      <c r="T71" s="8"/>
      <c r="U71" s="8"/>
      <c r="V71" s="8"/>
      <c r="W71" s="8"/>
      <c r="X71" s="8"/>
      <c r="Y71" s="8"/>
      <c r="Z71" s="8"/>
      <c r="AA71" s="8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1:89" ht="15.6" x14ac:dyDescent="0.3">
      <c r="A72" s="9"/>
      <c r="B72" s="19"/>
      <c r="C72" s="17"/>
      <c r="D72" s="18"/>
      <c r="E72" s="17"/>
      <c r="F72" s="17"/>
      <c r="G72" s="17"/>
      <c r="H72" s="17"/>
      <c r="I72" s="9"/>
      <c r="J72" s="9"/>
      <c r="K72" s="9"/>
      <c r="L72" s="21"/>
      <c r="M72" s="16"/>
      <c r="N72" s="15"/>
      <c r="O72" s="15"/>
      <c r="P72" s="15"/>
      <c r="Q72" s="15"/>
      <c r="R72" s="8"/>
      <c r="S72" s="8"/>
      <c r="T72" s="8"/>
      <c r="U72" s="8"/>
      <c r="V72" s="8"/>
      <c r="W72" s="8"/>
      <c r="X72" s="8"/>
      <c r="Y72" s="8"/>
      <c r="Z72" s="8"/>
      <c r="AA72" s="8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</row>
    <row r="73" spans="1:89" ht="15.6" x14ac:dyDescent="0.3">
      <c r="A73" s="9"/>
      <c r="B73" s="19"/>
      <c r="C73" s="17"/>
      <c r="D73" s="18"/>
      <c r="E73" s="17"/>
      <c r="F73" s="17"/>
      <c r="G73" s="17"/>
      <c r="H73" s="17"/>
      <c r="I73" s="9"/>
      <c r="J73" s="9"/>
      <c r="K73" s="9"/>
      <c r="L73" s="21"/>
      <c r="M73" s="21"/>
      <c r="N73" s="15"/>
      <c r="O73" s="15"/>
      <c r="P73" s="20"/>
      <c r="Q73" s="15"/>
      <c r="R73" s="8"/>
      <c r="S73" s="8"/>
      <c r="T73" s="8"/>
      <c r="U73" s="8"/>
      <c r="V73" s="8"/>
      <c r="W73" s="8"/>
      <c r="X73" s="8"/>
      <c r="Y73" s="8"/>
      <c r="Z73" s="8"/>
      <c r="AA73" s="8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  <row r="74" spans="1:89" ht="15.6" x14ac:dyDescent="0.3">
      <c r="A74" s="9"/>
      <c r="B74" s="19"/>
      <c r="C74" s="17"/>
      <c r="D74" s="18"/>
      <c r="E74" s="17"/>
      <c r="F74" s="17"/>
      <c r="G74" s="17"/>
      <c r="H74" s="17"/>
      <c r="I74" s="9"/>
      <c r="J74" s="9"/>
      <c r="K74" s="9"/>
      <c r="L74" s="21"/>
      <c r="M74" s="16"/>
      <c r="N74" s="15"/>
      <c r="O74" s="15"/>
      <c r="P74" s="15"/>
      <c r="Q74" s="15"/>
      <c r="R74" s="8"/>
      <c r="S74" s="8"/>
      <c r="T74" s="8"/>
      <c r="U74" s="8"/>
      <c r="V74" s="8"/>
      <c r="W74" s="8"/>
      <c r="X74" s="8"/>
      <c r="Y74" s="8"/>
      <c r="Z74" s="8"/>
      <c r="AA74" s="8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</row>
    <row r="75" spans="1:89" ht="15.6" x14ac:dyDescent="0.3">
      <c r="A75" s="9"/>
      <c r="B75" s="19"/>
      <c r="C75" s="17"/>
      <c r="D75" s="18"/>
      <c r="E75" s="17"/>
      <c r="F75" s="17"/>
      <c r="G75" s="17"/>
      <c r="H75" s="17"/>
      <c r="I75" s="9"/>
      <c r="J75" s="9"/>
      <c r="K75" s="9"/>
      <c r="L75" s="21"/>
      <c r="M75" s="21"/>
      <c r="N75" s="15"/>
      <c r="O75" s="15"/>
      <c r="P75" s="20"/>
      <c r="Q75" s="15"/>
      <c r="R75" s="9"/>
      <c r="S75" s="9"/>
      <c r="T75" s="9"/>
      <c r="U75" s="9"/>
      <c r="V75" s="9"/>
      <c r="W75" s="9"/>
      <c r="X75" s="9"/>
      <c r="Y75" s="9"/>
      <c r="Z75" s="9"/>
      <c r="AA75" s="9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</row>
    <row r="76" spans="1:89" ht="15.6" x14ac:dyDescent="0.3">
      <c r="A76" s="9"/>
      <c r="B76" s="19"/>
      <c r="C76" s="17"/>
      <c r="D76" s="18"/>
      <c r="E76" s="17"/>
      <c r="F76" s="17"/>
      <c r="G76" s="17"/>
      <c r="H76" s="17"/>
      <c r="I76" s="9"/>
      <c r="J76" s="9"/>
      <c r="K76" s="9"/>
      <c r="L76" s="21"/>
      <c r="M76" s="16"/>
      <c r="N76" s="15"/>
      <c r="O76" s="15"/>
      <c r="P76" s="15"/>
      <c r="Q76" s="15"/>
      <c r="R76" s="9"/>
      <c r="S76" s="9"/>
      <c r="T76" s="9"/>
      <c r="U76" s="9"/>
      <c r="V76" s="9"/>
      <c r="W76" s="9"/>
      <c r="X76" s="9"/>
      <c r="Y76" s="9"/>
      <c r="Z76" s="9"/>
      <c r="AA76" s="9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1:89" ht="15.6" x14ac:dyDescent="0.3">
      <c r="A77" s="9"/>
      <c r="B77" s="19"/>
      <c r="C77" s="17"/>
      <c r="D77" s="18"/>
      <c r="E77" s="17"/>
      <c r="F77" s="17"/>
      <c r="G77" s="17"/>
      <c r="H77" s="17"/>
      <c r="I77" s="9"/>
      <c r="J77" s="9"/>
      <c r="K77" s="9"/>
      <c r="L77" s="21"/>
      <c r="M77" s="21"/>
      <c r="N77" s="15"/>
      <c r="O77" s="15"/>
      <c r="P77" s="20"/>
      <c r="Q77" s="15"/>
      <c r="R77" s="9"/>
      <c r="S77" s="9"/>
      <c r="T77" s="9"/>
      <c r="U77" s="9"/>
      <c r="V77" s="9"/>
      <c r="W77" s="9"/>
      <c r="X77" s="9"/>
      <c r="Y77" s="9"/>
      <c r="Z77" s="9"/>
      <c r="AA77" s="9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</row>
    <row r="78" spans="1:89" ht="15.6" x14ac:dyDescent="0.3">
      <c r="A78" s="9"/>
      <c r="B78" s="19"/>
      <c r="C78" s="17"/>
      <c r="D78" s="18"/>
      <c r="E78" s="17"/>
      <c r="F78" s="17"/>
      <c r="G78" s="17"/>
      <c r="H78" s="17"/>
      <c r="I78" s="9"/>
      <c r="J78" s="9"/>
      <c r="K78" s="9"/>
      <c r="L78" s="15"/>
      <c r="M78" s="16"/>
      <c r="N78" s="15"/>
      <c r="O78" s="15"/>
      <c r="P78" s="15"/>
      <c r="Q78" s="15"/>
      <c r="R78" s="9"/>
      <c r="S78" s="9"/>
      <c r="T78" s="9"/>
      <c r="U78" s="9"/>
      <c r="V78" s="9"/>
      <c r="W78" s="9"/>
      <c r="X78" s="9"/>
      <c r="Y78" s="9"/>
      <c r="Z78" s="9"/>
      <c r="AA78" s="9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</row>
    <row r="79" spans="1:89" x14ac:dyDescent="0.3">
      <c r="A79" s="9"/>
      <c r="B79" s="1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8"/>
      <c r="S79" s="8"/>
      <c r="T79" s="8"/>
      <c r="U79" s="8"/>
      <c r="V79" s="8"/>
      <c r="W79" s="8"/>
      <c r="X79" s="8"/>
      <c r="Y79" s="8"/>
      <c r="Z79" s="8"/>
      <c r="AA79" s="8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</row>
    <row r="80" spans="1:89" x14ac:dyDescent="0.3">
      <c r="A80" s="9"/>
      <c r="B80" s="12"/>
      <c r="C80" s="9"/>
      <c r="D80" s="9"/>
      <c r="E80" s="9"/>
      <c r="F80" s="9"/>
      <c r="G80" s="9"/>
      <c r="H80" s="9"/>
      <c r="I80" s="9"/>
      <c r="J80" s="9"/>
      <c r="K80" s="9"/>
      <c r="L80" s="9"/>
      <c r="M80" s="8"/>
      <c r="N80" s="14"/>
      <c r="O80" s="9"/>
      <c r="P80" s="9"/>
      <c r="Q80" s="9"/>
      <c r="R80" s="8"/>
      <c r="S80" s="8"/>
      <c r="T80" s="8"/>
      <c r="U80" s="8"/>
      <c r="V80" s="8"/>
      <c r="W80" s="8"/>
      <c r="X80" s="8"/>
      <c r="Y80" s="8"/>
      <c r="Z80" s="8"/>
      <c r="AA80" s="8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</row>
    <row r="81" spans="1:89" x14ac:dyDescent="0.3">
      <c r="A81" s="9"/>
      <c r="B81" s="12"/>
      <c r="C81" s="9"/>
      <c r="D81" s="9"/>
      <c r="E81" s="9"/>
      <c r="F81" s="9"/>
      <c r="G81" s="9"/>
      <c r="H81" s="9"/>
      <c r="I81" s="9"/>
      <c r="J81" s="9"/>
      <c r="K81" s="9"/>
      <c r="L81" s="9"/>
      <c r="M81" s="10"/>
      <c r="N81" s="13"/>
      <c r="O81" s="10"/>
      <c r="P81" s="10"/>
      <c r="Q81" s="9"/>
      <c r="R81" s="8"/>
      <c r="S81" s="8"/>
      <c r="T81" s="8"/>
      <c r="U81" s="8"/>
      <c r="V81" s="8"/>
      <c r="W81" s="8"/>
      <c r="X81" s="8"/>
      <c r="Y81" s="8"/>
      <c r="Z81" s="8"/>
      <c r="AA81" s="8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</row>
    <row r="82" spans="1:89" x14ac:dyDescent="0.3">
      <c r="A82" s="9"/>
      <c r="B82" s="12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  <c r="N82" s="11"/>
      <c r="O82" s="10"/>
      <c r="P82" s="10"/>
      <c r="Q82" s="9"/>
      <c r="R82" s="8"/>
      <c r="S82" s="8"/>
      <c r="T82" s="8"/>
      <c r="U82" s="8"/>
      <c r="V82" s="8"/>
      <c r="W82" s="8"/>
      <c r="X82" s="8"/>
      <c r="Y82" s="8"/>
      <c r="Z82" s="8"/>
      <c r="AA82" s="8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</row>
    <row r="83" spans="1:89" x14ac:dyDescent="0.3">
      <c r="A83" s="3"/>
      <c r="B83" s="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4"/>
      <c r="S83" s="4"/>
      <c r="T83" s="4"/>
      <c r="U83" s="4"/>
      <c r="V83" s="4"/>
      <c r="W83" s="4"/>
      <c r="X83" s="4"/>
      <c r="Y83" s="4"/>
      <c r="Z83" s="4"/>
      <c r="AA83" s="4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</row>
    <row r="84" spans="1:89" x14ac:dyDescent="0.3">
      <c r="A84" s="3"/>
      <c r="B84" s="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4"/>
      <c r="S84" s="4"/>
      <c r="T84" s="4"/>
      <c r="U84" s="4"/>
      <c r="V84" s="4"/>
      <c r="W84" s="4"/>
      <c r="X84" s="4"/>
      <c r="Y84" s="4"/>
      <c r="Z84" s="4"/>
      <c r="AA84" s="4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</row>
    <row r="85" spans="1:89" x14ac:dyDescent="0.3">
      <c r="A85" s="3"/>
      <c r="B85" s="5"/>
      <c r="C85" s="3"/>
      <c r="D85" s="3"/>
      <c r="E85" s="3"/>
      <c r="F85" s="3"/>
      <c r="G85" s="3"/>
      <c r="H85" s="3"/>
      <c r="I85" s="3"/>
      <c r="J85" s="3"/>
      <c r="K85" s="3"/>
      <c r="L85" s="3"/>
      <c r="M85" s="144" t="s">
        <v>2</v>
      </c>
      <c r="N85" s="7">
        <v>50</v>
      </c>
      <c r="O85" s="145" t="s">
        <v>1</v>
      </c>
      <c r="P85" s="145">
        <f>N85/(184+125)</f>
        <v>0.16181229773462782</v>
      </c>
      <c r="Q85" s="3"/>
      <c r="R85" s="4"/>
      <c r="S85" s="4"/>
      <c r="T85" s="4"/>
      <c r="U85" s="4"/>
      <c r="V85" s="4"/>
      <c r="W85" s="4"/>
      <c r="X85" s="4"/>
      <c r="Y85" s="4"/>
      <c r="Z85" s="4"/>
      <c r="AA85" s="4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</row>
    <row r="86" spans="1:89" x14ac:dyDescent="0.3">
      <c r="A86" s="3"/>
      <c r="B86" s="5"/>
      <c r="C86" s="3"/>
      <c r="D86" s="3"/>
      <c r="E86" s="3"/>
      <c r="F86" s="3"/>
      <c r="G86" s="3"/>
      <c r="H86" s="3"/>
      <c r="I86" s="3"/>
      <c r="J86" s="3"/>
      <c r="K86" s="3"/>
      <c r="L86" s="3"/>
      <c r="M86" s="144"/>
      <c r="N86" s="6" t="s">
        <v>0</v>
      </c>
      <c r="O86" s="145"/>
      <c r="P86" s="145"/>
      <c r="Q86" s="3"/>
      <c r="R86" s="4"/>
      <c r="S86" s="4"/>
      <c r="T86" s="4"/>
      <c r="U86" s="4"/>
      <c r="V86" s="4"/>
      <c r="W86" s="4"/>
      <c r="X86" s="4"/>
      <c r="Y86" s="4"/>
      <c r="Z86" s="4"/>
      <c r="AA86" s="4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</row>
    <row r="87" spans="1:89" x14ac:dyDescent="0.3">
      <c r="A87" s="3"/>
      <c r="B87" s="5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4"/>
      <c r="S87" s="4"/>
      <c r="T87" s="4"/>
      <c r="U87" s="4"/>
      <c r="V87" s="4"/>
      <c r="W87" s="4"/>
      <c r="X87" s="4"/>
      <c r="Y87" s="4"/>
      <c r="Z87" s="4"/>
      <c r="AA87" s="4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</row>
    <row r="88" spans="1:89" x14ac:dyDescent="0.3">
      <c r="A88" s="3"/>
      <c r="B88" s="5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4"/>
      <c r="S88" s="4"/>
      <c r="T88" s="4"/>
      <c r="U88" s="4"/>
      <c r="V88" s="4"/>
      <c r="W88" s="4"/>
      <c r="X88" s="4"/>
      <c r="Y88" s="4"/>
      <c r="Z88" s="4"/>
      <c r="AA88" s="4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</row>
    <row r="89" spans="1:89" x14ac:dyDescent="0.3">
      <c r="A89" s="3"/>
      <c r="B89" s="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4"/>
      <c r="S89" s="4"/>
      <c r="T89" s="4"/>
      <c r="U89" s="4"/>
      <c r="V89" s="4"/>
      <c r="W89" s="4"/>
      <c r="X89" s="4"/>
      <c r="Y89" s="4"/>
      <c r="Z89" s="4"/>
      <c r="AA89" s="4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</row>
    <row r="90" spans="1:89" x14ac:dyDescent="0.3">
      <c r="A90" s="3"/>
      <c r="B90" s="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4"/>
      <c r="S90" s="4"/>
      <c r="T90" s="4"/>
      <c r="U90" s="4"/>
      <c r="V90" s="4"/>
      <c r="W90" s="4"/>
      <c r="X90" s="4"/>
      <c r="Y90" s="4"/>
      <c r="Z90" s="4"/>
      <c r="AA90" s="4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</row>
    <row r="91" spans="1:89" x14ac:dyDescent="0.3">
      <c r="A91" s="3"/>
      <c r="B91" s="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4"/>
      <c r="S91" s="4"/>
      <c r="T91" s="4"/>
      <c r="U91" s="4"/>
      <c r="V91" s="4"/>
      <c r="W91" s="4"/>
      <c r="X91" s="4"/>
      <c r="Y91" s="4"/>
      <c r="Z91" s="4"/>
      <c r="AA91" s="4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</sheetData>
  <mergeCells count="41">
    <mergeCell ref="B1:E1"/>
    <mergeCell ref="K1:N1"/>
    <mergeCell ref="AC1:AF1"/>
    <mergeCell ref="AL1:AO1"/>
    <mergeCell ref="B2:E2"/>
    <mergeCell ref="K2:N2"/>
    <mergeCell ref="AC2:AF2"/>
    <mergeCell ref="AL2:AO2"/>
    <mergeCell ref="T1:W1"/>
    <mergeCell ref="T2:W2"/>
    <mergeCell ref="B3:E3"/>
    <mergeCell ref="K3:N3"/>
    <mergeCell ref="AC3:AF3"/>
    <mergeCell ref="AL3:AO3"/>
    <mergeCell ref="B4:E4"/>
    <mergeCell ref="K4:N4"/>
    <mergeCell ref="AC4:AF4"/>
    <mergeCell ref="AL4:AO4"/>
    <mergeCell ref="T3:W3"/>
    <mergeCell ref="T4:W4"/>
    <mergeCell ref="AL10:AL11"/>
    <mergeCell ref="K19:K20"/>
    <mergeCell ref="M19:M20"/>
    <mergeCell ref="O19:O20"/>
    <mergeCell ref="P19:P20"/>
    <mergeCell ref="AL20:AL21"/>
    <mergeCell ref="AM20:AN20"/>
    <mergeCell ref="AO20:AO21"/>
    <mergeCell ref="AP20:AP21"/>
    <mergeCell ref="AM21:AN21"/>
    <mergeCell ref="AP26:AP27"/>
    <mergeCell ref="AM27:AN27"/>
    <mergeCell ref="B29:B30"/>
    <mergeCell ref="B40:B41"/>
    <mergeCell ref="AL26:AL27"/>
    <mergeCell ref="AM26:AN26"/>
    <mergeCell ref="Y26:Y27"/>
    <mergeCell ref="M85:M86"/>
    <mergeCell ref="O85:O86"/>
    <mergeCell ref="P85:P86"/>
    <mergeCell ref="AO26:AO27"/>
  </mergeCells>
  <pageMargins left="0.7" right="0.7" top="0.75" bottom="0.75" header="0.3" footer="0.3"/>
  <pageSetup scale="84" orientation="portrait" r:id="rId1"/>
  <colBreaks count="4" manualBreakCount="4">
    <brk id="9" max="47" man="1"/>
    <brk id="18" max="47" man="1"/>
    <brk id="27" max="47" man="1"/>
    <brk id="36" max="47" man="1"/>
  </colBreaks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7</xdr:col>
                <xdr:colOff>129540</xdr:colOff>
                <xdr:row>49</xdr:row>
                <xdr:rowOff>60960</xdr:rowOff>
              </from>
              <to>
                <xdr:col>8</xdr:col>
                <xdr:colOff>312420</xdr:colOff>
                <xdr:row>51</xdr:row>
                <xdr:rowOff>45720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End Stringer</vt:lpstr>
      <vt:lpstr>Interior Stringer</vt:lpstr>
      <vt:lpstr>'End Stringer'!Print_Area</vt:lpstr>
      <vt:lpstr>'Interior Stringer'!Print_Area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dcterms:created xsi:type="dcterms:W3CDTF">2015-10-17T20:45:23Z</dcterms:created>
  <dcterms:modified xsi:type="dcterms:W3CDTF">2015-10-18T18:08:50Z</dcterms:modified>
</cp:coreProperties>
</file>