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380" yWindow="45" windowWidth="24870" windowHeight="12510" tabRatio="588"/>
  </bookViews>
  <sheets>
    <sheet name="Truss Info" sheetId="1" r:id="rId1"/>
    <sheet name="Truss Members" sheetId="10" r:id="rId2"/>
    <sheet name="Truss Members (E)" sheetId="11" r:id="rId3"/>
    <sheet name="Summary Sheet" sheetId="9" r:id="rId4"/>
  </sheets>
  <externalReferences>
    <externalReference r:id="rId5"/>
  </externalReferences>
  <definedNames>
    <definedName name="bfc_end" localSheetId="2">#REF!</definedName>
    <definedName name="bfc_end">#REF!</definedName>
    <definedName name="bft_end" localSheetId="2">#REF!</definedName>
    <definedName name="bft_end">#REF!</definedName>
    <definedName name="D" localSheetId="2">#REF!</definedName>
    <definedName name="D">#REF!</definedName>
    <definedName name="D0" localSheetId="2">#REF!</definedName>
    <definedName name="D0">#REF!</definedName>
    <definedName name="d0_end" localSheetId="2">#REF!</definedName>
    <definedName name="d0_end">#REF!</definedName>
    <definedName name="Ec" localSheetId="2">'Truss Info'!#REF!</definedName>
    <definedName name="Ec">'Truss Info'!#REF!</definedName>
    <definedName name="Es" localSheetId="2">'Truss Info'!#REF!</definedName>
    <definedName name="Es">'Truss Info'!#REF!</definedName>
    <definedName name="fc" localSheetId="2">'Truss Info'!#REF!</definedName>
    <definedName name="fc">'Truss Info'!#REF!</definedName>
    <definedName name="fy" localSheetId="2">'Truss Info'!#REF!</definedName>
    <definedName name="fy">'Truss Info'!#REF!</definedName>
    <definedName name="fyb" localSheetId="2">'Truss Info'!#REF!</definedName>
    <definedName name="fyb">'Truss Info'!#REF!</definedName>
    <definedName name="L" localSheetId="2">'Truss Info'!#REF!</definedName>
    <definedName name="L">'Truss Info'!#REF!</definedName>
    <definedName name="LL" localSheetId="2">'Truss Info'!#REF!</definedName>
    <definedName name="LL">'Truss Info'!#REF!</definedName>
    <definedName name="n" localSheetId="2">'Truss Info'!#REF!</definedName>
    <definedName name="n">'Truss Info'!#REF!</definedName>
    <definedName name="S" localSheetId="2">'Truss Info'!#REF!</definedName>
    <definedName name="S">'Truss Info'!#REF!</definedName>
    <definedName name="SSS" localSheetId="2">'Truss Info'!#REF!</definedName>
    <definedName name="SSS">'Truss Info'!#REF!</definedName>
    <definedName name="temp" localSheetId="2">#REF!</definedName>
    <definedName name="temp">#REF!</definedName>
    <definedName name="tfc" localSheetId="2">#REF!</definedName>
    <definedName name="tfc">#REF!</definedName>
    <definedName name="tfc_end" localSheetId="2">#REF!</definedName>
    <definedName name="tfc_end">#REF!</definedName>
    <definedName name="tft" localSheetId="2">#REF!</definedName>
    <definedName name="tft">#REF!</definedName>
    <definedName name="tft_end" localSheetId="2">#REF!</definedName>
    <definedName name="tft_end">#REF!</definedName>
    <definedName name="ts" localSheetId="2">'Truss Info'!#REF!</definedName>
    <definedName name="ts">'Truss Info'!#REF!</definedName>
    <definedName name="tw" localSheetId="2">#REF!</definedName>
    <definedName name="tw">#REF!</definedName>
  </definedNames>
  <calcPr calcId="125725"/>
</workbook>
</file>

<file path=xl/calcChain.xml><?xml version="1.0" encoding="utf-8"?>
<calcChain xmlns="http://schemas.openxmlformats.org/spreadsheetml/2006/main">
  <c r="AD14" i="1"/>
  <c r="G14"/>
  <c r="G15"/>
  <c r="G16"/>
  <c r="G17"/>
  <c r="G18"/>
  <c r="G19"/>
  <c r="G20"/>
  <c r="G21"/>
  <c r="G22"/>
  <c r="G23"/>
  <c r="G24"/>
  <c r="G25"/>
  <c r="G13"/>
  <c r="C30" l="1"/>
  <c r="C31" s="1"/>
  <c r="C32" s="1"/>
  <c r="C33" s="1"/>
  <c r="C34" s="1"/>
  <c r="C35" s="1"/>
  <c r="C36" s="1"/>
  <c r="C37" s="1"/>
  <c r="C38" s="1"/>
  <c r="C29"/>
  <c r="C17"/>
  <c r="C18" s="1"/>
  <c r="C19" s="1"/>
  <c r="C20" s="1"/>
  <c r="C21" s="1"/>
  <c r="C22" s="1"/>
  <c r="C23" s="1"/>
  <c r="C24" s="1"/>
  <c r="C25" s="1"/>
  <c r="C16"/>
  <c r="AF19" i="10"/>
  <c r="AF20" s="1"/>
  <c r="AF21" s="1"/>
  <c r="AF22" s="1"/>
  <c r="AF23" s="1"/>
  <c r="AF24" s="1"/>
  <c r="AF25" s="1"/>
  <c r="AF26" s="1"/>
  <c r="AF27" s="1"/>
  <c r="AF18"/>
  <c r="X28" s="1"/>
  <c r="AF6"/>
  <c r="X43" s="1"/>
  <c r="AF5"/>
  <c r="AA7" s="1"/>
  <c r="AA3"/>
  <c r="B2" i="1"/>
  <c r="K2" s="1"/>
  <c r="T2" s="1"/>
  <c r="AC2" s="1"/>
  <c r="AL2" s="1"/>
  <c r="AU2" s="1"/>
  <c r="BD2" s="1"/>
  <c r="BM2" s="1"/>
  <c r="BV2" s="1"/>
  <c r="CE2" s="1"/>
  <c r="CN2" s="1"/>
  <c r="CW2" s="1"/>
  <c r="DF2" s="1"/>
  <c r="DO2" s="1"/>
  <c r="DX2" s="1"/>
  <c r="F3"/>
  <c r="O3" s="1"/>
  <c r="X3" s="1"/>
  <c r="AG3" s="1"/>
  <c r="AP3" s="1"/>
  <c r="AY3" s="1"/>
  <c r="BH3" s="1"/>
  <c r="BQ3" s="1"/>
  <c r="BZ3" s="1"/>
  <c r="CI3" s="1"/>
  <c r="CR3" s="1"/>
  <c r="DA3" s="1"/>
  <c r="DJ3" s="1"/>
  <c r="DS3" s="1"/>
  <c r="EB3" s="1"/>
  <c r="B3"/>
  <c r="BM4"/>
  <c r="V3" i="10"/>
  <c r="FB59" i="1"/>
  <c r="ES59"/>
  <c r="EJ59"/>
  <c r="EA59"/>
  <c r="DR59"/>
  <c r="DI59"/>
  <c r="CZ59"/>
  <c r="CQ59"/>
  <c r="CH59"/>
  <c r="BY59"/>
  <c r="BP59"/>
  <c r="BG59"/>
  <c r="AX59"/>
  <c r="AO59"/>
  <c r="AF59"/>
  <c r="W59"/>
  <c r="N59"/>
  <c r="FF3"/>
  <c r="EW3"/>
  <c r="EN3"/>
  <c r="EE3"/>
  <c r="DV3"/>
  <c r="DM3"/>
  <c r="DD3"/>
  <c r="CU3"/>
  <c r="CL3"/>
  <c r="CC3"/>
  <c r="BT3"/>
  <c r="BK3"/>
  <c r="BB3"/>
  <c r="AS3"/>
  <c r="AJ3"/>
  <c r="AA3"/>
  <c r="D51" i="10"/>
  <c r="E51" s="1"/>
  <c r="F51" s="1"/>
  <c r="G51" s="1"/>
  <c r="H51" s="1"/>
  <c r="I51" s="1"/>
  <c r="J51" s="1"/>
  <c r="K51" s="1"/>
  <c r="L51" s="1"/>
  <c r="M51" s="1"/>
  <c r="N51" s="1"/>
  <c r="O51" s="1"/>
  <c r="P51" s="1"/>
  <c r="Q51" s="1"/>
  <c r="R51" s="1"/>
  <c r="S51" s="1"/>
  <c r="T51" s="1"/>
  <c r="U51" s="1"/>
  <c r="V51" s="1"/>
  <c r="W51" s="1"/>
  <c r="X51" s="1"/>
  <c r="Y51" s="1"/>
  <c r="Z51" s="1"/>
  <c r="AA51" s="1"/>
  <c r="AB51" s="1"/>
  <c r="AC51" s="1"/>
  <c r="AD51" s="1"/>
  <c r="C51"/>
  <c r="V37"/>
  <c r="V22"/>
  <c r="V12"/>
  <c r="V32"/>
  <c r="V15"/>
  <c r="V31"/>
  <c r="V26"/>
  <c r="V20"/>
  <c r="U22"/>
  <c r="V19"/>
  <c r="V45"/>
  <c r="U13"/>
  <c r="V49"/>
  <c r="U49"/>
  <c r="V44"/>
  <c r="V36"/>
  <c r="V41"/>
  <c r="U17"/>
  <c r="U23"/>
  <c r="V40"/>
  <c r="V43"/>
  <c r="V7"/>
  <c r="V24"/>
  <c r="U24"/>
  <c r="V42"/>
  <c r="U6"/>
  <c r="U12"/>
  <c r="U10"/>
  <c r="U47"/>
  <c r="U14"/>
  <c r="U11"/>
  <c r="U48"/>
  <c r="U15"/>
  <c r="U5"/>
  <c r="U4"/>
  <c r="U18"/>
  <c r="U9"/>
  <c r="U8"/>
  <c r="U20"/>
  <c r="U19"/>
  <c r="U7"/>
  <c r="U50"/>
  <c r="U16"/>
  <c r="Z50" i="11"/>
  <c r="AB50" s="1"/>
  <c r="Y50"/>
  <c r="W50"/>
  <c r="V50"/>
  <c r="AA50" s="1"/>
  <c r="G50" s="1"/>
  <c r="N50"/>
  <c r="L50"/>
  <c r="Z49"/>
  <c r="Y49"/>
  <c r="W49"/>
  <c r="AB49" s="1"/>
  <c r="V49"/>
  <c r="AA49" s="1"/>
  <c r="G49" s="1"/>
  <c r="N49"/>
  <c r="L49"/>
  <c r="Z48"/>
  <c r="Y48"/>
  <c r="AA48" s="1"/>
  <c r="G48" s="1"/>
  <c r="W48"/>
  <c r="AB48" s="1"/>
  <c r="V48"/>
  <c r="N48"/>
  <c r="L48"/>
  <c r="Z47"/>
  <c r="AB47" s="1"/>
  <c r="Y47"/>
  <c r="AA47" s="1"/>
  <c r="W47"/>
  <c r="V47"/>
  <c r="N47"/>
  <c r="L47"/>
  <c r="Z46"/>
  <c r="AB46" s="1"/>
  <c r="Y46"/>
  <c r="W46"/>
  <c r="V46"/>
  <c r="AA46" s="1"/>
  <c r="G46" s="1"/>
  <c r="N46"/>
  <c r="L46"/>
  <c r="Z45"/>
  <c r="Y45"/>
  <c r="W45"/>
  <c r="AB45" s="1"/>
  <c r="V45"/>
  <c r="AA45" s="1"/>
  <c r="G45" s="1"/>
  <c r="N45"/>
  <c r="L45"/>
  <c r="Z44"/>
  <c r="Y44"/>
  <c r="AA44" s="1"/>
  <c r="G44" s="1"/>
  <c r="W44"/>
  <c r="AB44" s="1"/>
  <c r="V44"/>
  <c r="N44"/>
  <c r="L44"/>
  <c r="Z43"/>
  <c r="AB43" s="1"/>
  <c r="Y43"/>
  <c r="AA43" s="1"/>
  <c r="W43"/>
  <c r="V43"/>
  <c r="N43"/>
  <c r="L43"/>
  <c r="Z42"/>
  <c r="AB42" s="1"/>
  <c r="Y42"/>
  <c r="W42"/>
  <c r="V42"/>
  <c r="AA42" s="1"/>
  <c r="G42" s="1"/>
  <c r="N42"/>
  <c r="L42"/>
  <c r="Z41"/>
  <c r="Y41"/>
  <c r="W41"/>
  <c r="AB41" s="1"/>
  <c r="V41"/>
  <c r="AA41" s="1"/>
  <c r="G41" s="1"/>
  <c r="N41"/>
  <c r="L41"/>
  <c r="Z40"/>
  <c r="Y40"/>
  <c r="AA40" s="1"/>
  <c r="G40" s="1"/>
  <c r="W40"/>
  <c r="AB40" s="1"/>
  <c r="V40"/>
  <c r="N40"/>
  <c r="L40"/>
  <c r="Z39"/>
  <c r="AB39" s="1"/>
  <c r="Y39"/>
  <c r="AA39" s="1"/>
  <c r="W39"/>
  <c r="V39"/>
  <c r="N39"/>
  <c r="L39"/>
  <c r="Z38"/>
  <c r="AB38" s="1"/>
  <c r="Y38"/>
  <c r="W38"/>
  <c r="V38"/>
  <c r="AA38" s="1"/>
  <c r="G38" s="1"/>
  <c r="N38"/>
  <c r="L38"/>
  <c r="Z37"/>
  <c r="Y37"/>
  <c r="W37"/>
  <c r="AB37" s="1"/>
  <c r="V37"/>
  <c r="AA37" s="1"/>
  <c r="G37" s="1"/>
  <c r="N37"/>
  <c r="L37"/>
  <c r="Z36"/>
  <c r="Y36"/>
  <c r="AA36" s="1"/>
  <c r="G36" s="1"/>
  <c r="W36"/>
  <c r="AB36" s="1"/>
  <c r="V36"/>
  <c r="N36"/>
  <c r="L36"/>
  <c r="Z35"/>
  <c r="AB35" s="1"/>
  <c r="Y35"/>
  <c r="AA35" s="1"/>
  <c r="W35"/>
  <c r="V35"/>
  <c r="N35"/>
  <c r="L35"/>
  <c r="Z34"/>
  <c r="AB34" s="1"/>
  <c r="Y34"/>
  <c r="W34"/>
  <c r="V34"/>
  <c r="AA34" s="1"/>
  <c r="G34" s="1"/>
  <c r="N34"/>
  <c r="L34"/>
  <c r="Z33"/>
  <c r="Y33"/>
  <c r="W33"/>
  <c r="AB33" s="1"/>
  <c r="V33"/>
  <c r="AA33" s="1"/>
  <c r="G33" s="1"/>
  <c r="N33"/>
  <c r="L33"/>
  <c r="Z32"/>
  <c r="Y32"/>
  <c r="AA32" s="1"/>
  <c r="G32" s="1"/>
  <c r="W32"/>
  <c r="AB32" s="1"/>
  <c r="V32"/>
  <c r="N32"/>
  <c r="L32"/>
  <c r="Z31"/>
  <c r="AB31" s="1"/>
  <c r="Y31"/>
  <c r="AA31" s="1"/>
  <c r="W31"/>
  <c r="V31"/>
  <c r="N31"/>
  <c r="L31"/>
  <c r="Z30"/>
  <c r="AB30" s="1"/>
  <c r="Y30"/>
  <c r="W30"/>
  <c r="V30"/>
  <c r="AA30" s="1"/>
  <c r="G30" s="1"/>
  <c r="N30"/>
  <c r="L30"/>
  <c r="Z29"/>
  <c r="Y29"/>
  <c r="W29"/>
  <c r="AB29" s="1"/>
  <c r="V29"/>
  <c r="AA29" s="1"/>
  <c r="G29" s="1"/>
  <c r="N29"/>
  <c r="L29"/>
  <c r="Z28"/>
  <c r="Y28"/>
  <c r="AA28" s="1"/>
  <c r="G28" s="1"/>
  <c r="W28"/>
  <c r="AB28" s="1"/>
  <c r="V28"/>
  <c r="N28"/>
  <c r="L28"/>
  <c r="Z27"/>
  <c r="AB27" s="1"/>
  <c r="Y27"/>
  <c r="AA27" s="1"/>
  <c r="W27"/>
  <c r="V27"/>
  <c r="N27"/>
  <c r="L27"/>
  <c r="Z26"/>
  <c r="AB26" s="1"/>
  <c r="Y26"/>
  <c r="W26"/>
  <c r="V26"/>
  <c r="AA26" s="1"/>
  <c r="G26" s="1"/>
  <c r="N26"/>
  <c r="L26"/>
  <c r="Z25"/>
  <c r="Y25"/>
  <c r="W25"/>
  <c r="AB25" s="1"/>
  <c r="V25"/>
  <c r="AA25" s="1"/>
  <c r="G25" s="1"/>
  <c r="N25"/>
  <c r="L25"/>
  <c r="Z24"/>
  <c r="Y24"/>
  <c r="AA24" s="1"/>
  <c r="G24" s="1"/>
  <c r="W24"/>
  <c r="AB24" s="1"/>
  <c r="V24"/>
  <c r="N24"/>
  <c r="L24"/>
  <c r="Z23"/>
  <c r="AB23" s="1"/>
  <c r="Y23"/>
  <c r="AA23" s="1"/>
  <c r="W23"/>
  <c r="V23"/>
  <c r="N23"/>
  <c r="L23"/>
  <c r="Z22"/>
  <c r="AB22" s="1"/>
  <c r="Y22"/>
  <c r="W22"/>
  <c r="V22"/>
  <c r="AA22" s="1"/>
  <c r="G22" s="1"/>
  <c r="N22"/>
  <c r="L22"/>
  <c r="Z21"/>
  <c r="Y21"/>
  <c r="W21"/>
  <c r="AB21" s="1"/>
  <c r="V21"/>
  <c r="AA21" s="1"/>
  <c r="G21" s="1"/>
  <c r="N21"/>
  <c r="L21"/>
  <c r="Z20"/>
  <c r="Y20"/>
  <c r="AA20" s="1"/>
  <c r="G20" s="1"/>
  <c r="W20"/>
  <c r="AB20" s="1"/>
  <c r="V20"/>
  <c r="N20"/>
  <c r="L20"/>
  <c r="Z19"/>
  <c r="AB19" s="1"/>
  <c r="Y19"/>
  <c r="AA19" s="1"/>
  <c r="W19"/>
  <c r="V19"/>
  <c r="N19"/>
  <c r="L19"/>
  <c r="Z18"/>
  <c r="AB18" s="1"/>
  <c r="Y18"/>
  <c r="W18"/>
  <c r="V18"/>
  <c r="AA18" s="1"/>
  <c r="G18" s="1"/>
  <c r="N18"/>
  <c r="L18"/>
  <c r="Z17"/>
  <c r="Y17"/>
  <c r="W17"/>
  <c r="AB17" s="1"/>
  <c r="V17"/>
  <c r="AA17" s="1"/>
  <c r="G17" s="1"/>
  <c r="N17"/>
  <c r="L17"/>
  <c r="Z16"/>
  <c r="Y16"/>
  <c r="AA16" s="1"/>
  <c r="G16" s="1"/>
  <c r="W16"/>
  <c r="AB16" s="1"/>
  <c r="V16"/>
  <c r="N16"/>
  <c r="L16"/>
  <c r="Z15"/>
  <c r="AB15" s="1"/>
  <c r="Y15"/>
  <c r="AA15" s="1"/>
  <c r="W15"/>
  <c r="V15"/>
  <c r="N15"/>
  <c r="L15"/>
  <c r="Z14"/>
  <c r="AB14" s="1"/>
  <c r="Y14"/>
  <c r="W14"/>
  <c r="V14"/>
  <c r="AA14" s="1"/>
  <c r="G14" s="1"/>
  <c r="N14"/>
  <c r="L14"/>
  <c r="Z13"/>
  <c r="Y13"/>
  <c r="W13"/>
  <c r="AB13" s="1"/>
  <c r="V13"/>
  <c r="AA13" s="1"/>
  <c r="G13" s="1"/>
  <c r="N13"/>
  <c r="L13"/>
  <c r="Z12"/>
  <c r="Y12"/>
  <c r="AA12" s="1"/>
  <c r="G12" s="1"/>
  <c r="W12"/>
  <c r="AB12" s="1"/>
  <c r="V12"/>
  <c r="N12"/>
  <c r="L12"/>
  <c r="Z11"/>
  <c r="AB11" s="1"/>
  <c r="Y11"/>
  <c r="AA11" s="1"/>
  <c r="W11"/>
  <c r="V11"/>
  <c r="N11"/>
  <c r="L11"/>
  <c r="Z10"/>
  <c r="AB10" s="1"/>
  <c r="Y10"/>
  <c r="W10"/>
  <c r="V10"/>
  <c r="AA10" s="1"/>
  <c r="G10" s="1"/>
  <c r="N10"/>
  <c r="L10"/>
  <c r="Z9"/>
  <c r="Y9"/>
  <c r="W9"/>
  <c r="AB9" s="1"/>
  <c r="V9"/>
  <c r="AA9" s="1"/>
  <c r="G9" s="1"/>
  <c r="N9"/>
  <c r="L9"/>
  <c r="Z8"/>
  <c r="Y8"/>
  <c r="AA8" s="1"/>
  <c r="G8" s="1"/>
  <c r="W8"/>
  <c r="AB8" s="1"/>
  <c r="V8"/>
  <c r="N8"/>
  <c r="L8"/>
  <c r="Z7"/>
  <c r="AB7" s="1"/>
  <c r="Y7"/>
  <c r="AA7" s="1"/>
  <c r="W7"/>
  <c r="V7"/>
  <c r="N7"/>
  <c r="L7"/>
  <c r="Z6"/>
  <c r="AB6" s="1"/>
  <c r="Y6"/>
  <c r="W6"/>
  <c r="V6"/>
  <c r="AA6" s="1"/>
  <c r="G6" s="1"/>
  <c r="N6"/>
  <c r="L6"/>
  <c r="Z5"/>
  <c r="Y5"/>
  <c r="W5"/>
  <c r="AB5" s="1"/>
  <c r="V5"/>
  <c r="AA5" s="1"/>
  <c r="G5" s="1"/>
  <c r="N5"/>
  <c r="L5"/>
  <c r="Z4"/>
  <c r="Y4"/>
  <c r="AA4" s="1"/>
  <c r="G4" s="1"/>
  <c r="W4"/>
  <c r="AB4" s="1"/>
  <c r="V4"/>
  <c r="N4"/>
  <c r="L4"/>
  <c r="Z3"/>
  <c r="AB3" s="1"/>
  <c r="Y3"/>
  <c r="AA3" s="1"/>
  <c r="W3"/>
  <c r="V3"/>
  <c r="N3"/>
  <c r="L3"/>
  <c r="Z2"/>
  <c r="AB2" s="1"/>
  <c r="Y2"/>
  <c r="W2"/>
  <c r="V2"/>
  <c r="AA2" s="1"/>
  <c r="G2" s="1"/>
  <c r="N2"/>
  <c r="L2"/>
  <c r="I3" i="1"/>
  <c r="T4"/>
  <c r="K4"/>
  <c r="R3"/>
  <c r="K3"/>
  <c r="T3" s="1"/>
  <c r="AC3" s="1"/>
  <c r="AL3" s="1"/>
  <c r="AU3" s="1"/>
  <c r="BD3" s="1"/>
  <c r="BM3" s="1"/>
  <c r="BV3" s="1"/>
  <c r="CE3" s="1"/>
  <c r="CN3" s="1"/>
  <c r="CW3" s="1"/>
  <c r="DF3" s="1"/>
  <c r="DO3" s="1"/>
  <c r="DX3" s="1"/>
  <c r="T1"/>
  <c r="AC1" s="1"/>
  <c r="AL1" s="1"/>
  <c r="AU1" s="1"/>
  <c r="BD1" s="1"/>
  <c r="BM1" s="1"/>
  <c r="BV1" s="1"/>
  <c r="CE1" s="1"/>
  <c r="CN1" s="1"/>
  <c r="CW1" s="1"/>
  <c r="DF1" s="1"/>
  <c r="DO1" s="1"/>
  <c r="DX1" s="1"/>
  <c r="K1"/>
  <c r="AL4"/>
  <c r="AC4"/>
  <c r="BD4"/>
  <c r="AU4"/>
  <c r="BV4"/>
  <c r="CN4"/>
  <c r="CE4"/>
  <c r="DF4"/>
  <c r="CW4"/>
  <c r="DX4"/>
  <c r="DO4"/>
  <c r="N13" i="10"/>
  <c r="N14"/>
  <c r="N15"/>
  <c r="N16"/>
  <c r="N17"/>
  <c r="N18"/>
  <c r="N19"/>
  <c r="N20"/>
  <c r="FB10" i="1"/>
  <c r="FE9"/>
  <c r="FB9"/>
  <c r="FE8"/>
  <c r="ES10"/>
  <c r="EV9"/>
  <c r="ES9"/>
  <c r="EV8"/>
  <c r="EJ10"/>
  <c r="EM9"/>
  <c r="EJ9"/>
  <c r="EM8"/>
  <c r="ED10"/>
  <c r="EA10"/>
  <c r="ED9"/>
  <c r="EA9"/>
  <c r="ED8"/>
  <c r="DR10"/>
  <c r="DU9"/>
  <c r="DR9"/>
  <c r="DU8"/>
  <c r="DI10"/>
  <c r="DL9"/>
  <c r="DI9"/>
  <c r="DL8"/>
  <c r="CZ10"/>
  <c r="DC9"/>
  <c r="CZ9"/>
  <c r="DC8"/>
  <c r="CQ10"/>
  <c r="CT9"/>
  <c r="CQ9"/>
  <c r="CT8"/>
  <c r="CH10"/>
  <c r="CK9"/>
  <c r="CH9"/>
  <c r="CK8"/>
  <c r="BY10"/>
  <c r="CB9"/>
  <c r="BY9"/>
  <c r="CB8"/>
  <c r="BP10"/>
  <c r="BS9"/>
  <c r="BP9"/>
  <c r="BS8"/>
  <c r="BG10"/>
  <c r="BJ9"/>
  <c r="BG9"/>
  <c r="BJ8"/>
  <c r="AX10"/>
  <c r="BA9"/>
  <c r="AX9"/>
  <c r="BA8"/>
  <c r="AR10"/>
  <c r="AR9"/>
  <c r="AR8"/>
  <c r="AO10"/>
  <c r="AO9"/>
  <c r="L5" i="10"/>
  <c r="N5"/>
  <c r="L6"/>
  <c r="N6"/>
  <c r="L7"/>
  <c r="N7"/>
  <c r="L9"/>
  <c r="N9"/>
  <c r="L11"/>
  <c r="N11"/>
  <c r="L39"/>
  <c r="N39"/>
  <c r="L40"/>
  <c r="N40"/>
  <c r="L41"/>
  <c r="N41"/>
  <c r="L43"/>
  <c r="N43"/>
  <c r="L44"/>
  <c r="N44"/>
  <c r="L45"/>
  <c r="N45"/>
  <c r="L48"/>
  <c r="N48"/>
  <c r="L49"/>
  <c r="N49"/>
  <c r="L50"/>
  <c r="N50"/>
  <c r="N3"/>
  <c r="N4"/>
  <c r="N8"/>
  <c r="N10"/>
  <c r="N12"/>
  <c r="N21"/>
  <c r="N22"/>
  <c r="N23"/>
  <c r="N24"/>
  <c r="N25"/>
  <c r="N26"/>
  <c r="N27"/>
  <c r="N28"/>
  <c r="N29"/>
  <c r="N30"/>
  <c r="N31"/>
  <c r="N32"/>
  <c r="N33"/>
  <c r="N34"/>
  <c r="N35"/>
  <c r="N36"/>
  <c r="N37"/>
  <c r="N38"/>
  <c r="N42"/>
  <c r="N46"/>
  <c r="N47"/>
  <c r="L3"/>
  <c r="L4"/>
  <c r="DU10" i="1" s="1"/>
  <c r="L8" i="10"/>
  <c r="L10"/>
  <c r="EM10" i="1" s="1"/>
  <c r="L12" i="10"/>
  <c r="EV10" i="1" s="1"/>
  <c r="L13" i="10"/>
  <c r="L14"/>
  <c r="L15"/>
  <c r="L16"/>
  <c r="L17"/>
  <c r="L18"/>
  <c r="L19"/>
  <c r="L20"/>
  <c r="L21"/>
  <c r="FE10" i="1" s="1"/>
  <c r="L22" i="10"/>
  <c r="L23"/>
  <c r="L24"/>
  <c r="L25"/>
  <c r="BA10" i="1" s="1"/>
  <c r="L26" i="10"/>
  <c r="L27"/>
  <c r="L28"/>
  <c r="L29"/>
  <c r="BJ10" i="1" s="1"/>
  <c r="L30" i="10"/>
  <c r="L31"/>
  <c r="L32"/>
  <c r="L33"/>
  <c r="BS10" i="1" s="1"/>
  <c r="L34" i="10"/>
  <c r="L35"/>
  <c r="CB10" i="1" s="1"/>
  <c r="L36" i="10"/>
  <c r="L37"/>
  <c r="L38"/>
  <c r="CK10" i="1" s="1"/>
  <c r="L42" i="10"/>
  <c r="CT10" i="1" s="1"/>
  <c r="L46" i="10"/>
  <c r="DC10" i="1" s="1"/>
  <c r="L47" i="10"/>
  <c r="DL10" i="1" s="1"/>
  <c r="L2" i="10"/>
  <c r="N2"/>
  <c r="X2"/>
  <c r="Y2"/>
  <c r="X6"/>
  <c r="Y6"/>
  <c r="X7"/>
  <c r="Y7"/>
  <c r="Y4"/>
  <c r="Y5"/>
  <c r="X8"/>
  <c r="Y8"/>
  <c r="X9"/>
  <c r="Y9"/>
  <c r="Y11"/>
  <c r="Y10"/>
  <c r="X16"/>
  <c r="Y16"/>
  <c r="X19"/>
  <c r="Y19"/>
  <c r="X20"/>
  <c r="Y20"/>
  <c r="Y18"/>
  <c r="Y17"/>
  <c r="Y15"/>
  <c r="Y14"/>
  <c r="Y13"/>
  <c r="Y12"/>
  <c r="X22"/>
  <c r="Y22"/>
  <c r="X24"/>
  <c r="Y24"/>
  <c r="Y23"/>
  <c r="Y21"/>
  <c r="X27"/>
  <c r="Y27"/>
  <c r="Y28"/>
  <c r="Y25"/>
  <c r="Y26"/>
  <c r="Y31"/>
  <c r="Y32"/>
  <c r="Y29"/>
  <c r="Y30"/>
  <c r="Y33"/>
  <c r="Y34"/>
  <c r="X37"/>
  <c r="Y37"/>
  <c r="Y35"/>
  <c r="Y36"/>
  <c r="X38"/>
  <c r="Y38"/>
  <c r="X39"/>
  <c r="Y39"/>
  <c r="Y40"/>
  <c r="Y41"/>
  <c r="X42"/>
  <c r="Y42"/>
  <c r="Y43"/>
  <c r="Y44"/>
  <c r="Y45"/>
  <c r="Y46"/>
  <c r="X50"/>
  <c r="Y50"/>
  <c r="Y48"/>
  <c r="Y49"/>
  <c r="Y47"/>
  <c r="AA2"/>
  <c r="AB2"/>
  <c r="AD2" s="1"/>
  <c r="AA6"/>
  <c r="AB6"/>
  <c r="AB7"/>
  <c r="AB4"/>
  <c r="AB5"/>
  <c r="AB8"/>
  <c r="AD8" s="1"/>
  <c r="AB9"/>
  <c r="AB11"/>
  <c r="AB10"/>
  <c r="AA16"/>
  <c r="AB16"/>
  <c r="AA19"/>
  <c r="AB19"/>
  <c r="AB20"/>
  <c r="AB18"/>
  <c r="AB17"/>
  <c r="AB15"/>
  <c r="AB14"/>
  <c r="AB13"/>
  <c r="AB12"/>
  <c r="AA22"/>
  <c r="AB22"/>
  <c r="AB24"/>
  <c r="AD24" s="1"/>
  <c r="AB23"/>
  <c r="AB21"/>
  <c r="AB27"/>
  <c r="AD27" s="1"/>
  <c r="AB28"/>
  <c r="AB25"/>
  <c r="AB26"/>
  <c r="AB31"/>
  <c r="AD31" s="1"/>
  <c r="AB32"/>
  <c r="AB29"/>
  <c r="AB30"/>
  <c r="AB33"/>
  <c r="AD33" s="1"/>
  <c r="AB34"/>
  <c r="AA37"/>
  <c r="AB37"/>
  <c r="AD37" s="1"/>
  <c r="AB35"/>
  <c r="AB36"/>
  <c r="AA38"/>
  <c r="AB38"/>
  <c r="AD38" s="1"/>
  <c r="AB39"/>
  <c r="AB40"/>
  <c r="AB41"/>
  <c r="AB42"/>
  <c r="AB43"/>
  <c r="AB44"/>
  <c r="AB45"/>
  <c r="AB46"/>
  <c r="AA50"/>
  <c r="AB50"/>
  <c r="AB48"/>
  <c r="AB49"/>
  <c r="AB47"/>
  <c r="AB3"/>
  <c r="Y3"/>
  <c r="X3"/>
  <c r="AA8" l="1"/>
  <c r="AC8" s="1"/>
  <c r="G8" s="1"/>
  <c r="EA8" i="1" s="1"/>
  <c r="AA20" i="10"/>
  <c r="AD50"/>
  <c r="AD45"/>
  <c r="AD41"/>
  <c r="AD29"/>
  <c r="AD25"/>
  <c r="AD12"/>
  <c r="AD17"/>
  <c r="AC19"/>
  <c r="X25"/>
  <c r="AD19"/>
  <c r="AD10"/>
  <c r="AD4"/>
  <c r="AC6"/>
  <c r="AA28"/>
  <c r="AC28" s="1"/>
  <c r="AC22"/>
  <c r="G22" s="1"/>
  <c r="AC37"/>
  <c r="G37" s="1"/>
  <c r="AD6"/>
  <c r="AD22"/>
  <c r="AD13"/>
  <c r="AD18"/>
  <c r="AD9"/>
  <c r="AA27"/>
  <c r="AC27" s="1"/>
  <c r="G27" s="1"/>
  <c r="AD49"/>
  <c r="AC50"/>
  <c r="AD43"/>
  <c r="AA24"/>
  <c r="AC24" s="1"/>
  <c r="G24" s="1"/>
  <c r="AA42"/>
  <c r="AC42" s="1"/>
  <c r="AF7"/>
  <c r="AD23"/>
  <c r="AD15"/>
  <c r="AD39"/>
  <c r="AD35"/>
  <c r="AD5"/>
  <c r="AC7"/>
  <c r="AD36"/>
  <c r="AD34"/>
  <c r="AD30"/>
  <c r="AD32"/>
  <c r="AD26"/>
  <c r="AD28"/>
  <c r="AD21"/>
  <c r="AD14"/>
  <c r="AD20"/>
  <c r="AD16"/>
  <c r="AD11"/>
  <c r="AD7"/>
  <c r="AC2"/>
  <c r="G2" s="1"/>
  <c r="AO8" i="1" s="1"/>
  <c r="AD47" i="10"/>
  <c r="AD48"/>
  <c r="AD46"/>
  <c r="AD44"/>
  <c r="AD42"/>
  <c r="AD40"/>
  <c r="AC38"/>
  <c r="G38" s="1"/>
  <c r="CH8" i="1" s="1"/>
  <c r="AC20" i="10"/>
  <c r="AC16"/>
  <c r="AA9"/>
  <c r="AC9" s="1"/>
  <c r="AA39"/>
  <c r="AC39" s="1"/>
  <c r="AC3"/>
  <c r="AD3"/>
  <c r="G3" i="11"/>
  <c r="G11"/>
  <c r="G15"/>
  <c r="G23"/>
  <c r="G27"/>
  <c r="G31"/>
  <c r="G35"/>
  <c r="G43"/>
  <c r="G7"/>
  <c r="G19"/>
  <c r="G39"/>
  <c r="G47"/>
  <c r="G28" i="10" l="1"/>
  <c r="G19"/>
  <c r="G6"/>
  <c r="G50"/>
  <c r="X26"/>
  <c r="AA25"/>
  <c r="AC25" s="1"/>
  <c r="G25" s="1"/>
  <c r="AX8" i="1" s="1"/>
  <c r="AA23" i="10"/>
  <c r="G16"/>
  <c r="G7"/>
  <c r="G9"/>
  <c r="G20"/>
  <c r="AA43"/>
  <c r="AC43" s="1"/>
  <c r="G43" s="1"/>
  <c r="AF8"/>
  <c r="AF9" s="1"/>
  <c r="AF10" s="1"/>
  <c r="AF11" s="1"/>
  <c r="AF12" s="1"/>
  <c r="AF13" s="1"/>
  <c r="AF14" s="1"/>
  <c r="X4"/>
  <c r="X40"/>
  <c r="X23"/>
  <c r="G39"/>
  <c r="G42"/>
  <c r="CQ8" i="1" s="1"/>
  <c r="X18" i="10"/>
  <c r="X41"/>
  <c r="AA40"/>
  <c r="G3"/>
  <c r="X38" i="1"/>
  <c r="Y38"/>
  <c r="Z38"/>
  <c r="X39"/>
  <c r="Y39"/>
  <c r="Z39"/>
  <c r="W39"/>
  <c r="W38"/>
  <c r="O37"/>
  <c r="P37"/>
  <c r="Q37"/>
  <c r="O38"/>
  <c r="P38"/>
  <c r="Q38"/>
  <c r="N38"/>
  <c r="N37"/>
  <c r="FC40"/>
  <c r="ET40"/>
  <c r="EK40"/>
  <c r="EB40"/>
  <c r="DS40"/>
  <c r="DJ40"/>
  <c r="DA40"/>
  <c r="CR40"/>
  <c r="CI40"/>
  <c r="BZ40"/>
  <c r="BQ40"/>
  <c r="BH40"/>
  <c r="AY40"/>
  <c r="AP40"/>
  <c r="AO33"/>
  <c r="AO36" s="1"/>
  <c r="AD41"/>
  <c r="AE41"/>
  <c r="AE40"/>
  <c r="AD40"/>
  <c r="AC23" i="10" l="1"/>
  <c r="G23" s="1"/>
  <c r="X31"/>
  <c r="AA4"/>
  <c r="AC4" s="1"/>
  <c r="G4" s="1"/>
  <c r="DR8" i="1" s="1"/>
  <c r="AA18" i="10"/>
  <c r="AC18" s="1"/>
  <c r="G18" s="1"/>
  <c r="AA26"/>
  <c r="AC26" s="1"/>
  <c r="G26" s="1"/>
  <c r="X5"/>
  <c r="AC40"/>
  <c r="G40" s="1"/>
  <c r="X35"/>
  <c r="X48"/>
  <c r="AA41"/>
  <c r="AC41" s="1"/>
  <c r="G41" s="1"/>
  <c r="AA5"/>
  <c r="X17"/>
  <c r="R32" i="1"/>
  <c r="F4"/>
  <c r="O4" s="1"/>
  <c r="X4" s="1"/>
  <c r="U27"/>
  <c r="U26"/>
  <c r="U28" s="1"/>
  <c r="U25"/>
  <c r="U37" s="1"/>
  <c r="U22"/>
  <c r="U24" s="1"/>
  <c r="U16"/>
  <c r="U17" s="1"/>
  <c r="U14"/>
  <c r="U18" s="1"/>
  <c r="U13"/>
  <c r="L24"/>
  <c r="L16"/>
  <c r="L17" s="1"/>
  <c r="L14"/>
  <c r="L15" s="1"/>
  <c r="L13"/>
  <c r="AH27"/>
  <c r="AH26"/>
  <c r="AH25"/>
  <c r="AH24"/>
  <c r="AH23"/>
  <c r="AH22"/>
  <c r="AH21"/>
  <c r="AH20"/>
  <c r="AH19"/>
  <c r="AH18"/>
  <c r="AH17"/>
  <c r="AH16"/>
  <c r="AG27"/>
  <c r="AG26"/>
  <c r="AG25"/>
  <c r="AG24"/>
  <c r="AG23"/>
  <c r="AG22"/>
  <c r="AG21"/>
  <c r="AG20"/>
  <c r="AG19"/>
  <c r="AG18"/>
  <c r="AG17"/>
  <c r="AG16"/>
  <c r="FB33"/>
  <c r="FB36" s="1"/>
  <c r="EZ23"/>
  <c r="ES33"/>
  <c r="ES36" s="1"/>
  <c r="EQ23"/>
  <c r="EQ26" s="1"/>
  <c r="ES26" s="1"/>
  <c r="DX24"/>
  <c r="DY23"/>
  <c r="DP23"/>
  <c r="DO33" s="1"/>
  <c r="DG23"/>
  <c r="CN24"/>
  <c r="CW26"/>
  <c r="CX36" s="1"/>
  <c r="CX24"/>
  <c r="CX25" s="1"/>
  <c r="CZ25" s="1"/>
  <c r="CW24"/>
  <c r="CX34" s="1"/>
  <c r="CX23"/>
  <c r="CX26" s="1"/>
  <c r="CW23"/>
  <c r="CN26"/>
  <c r="CO36" s="1"/>
  <c r="CO24"/>
  <c r="CO25" s="1"/>
  <c r="CQ25" s="1"/>
  <c r="CO23"/>
  <c r="CO26" s="1"/>
  <c r="CN23"/>
  <c r="CO33" s="1"/>
  <c r="CE26"/>
  <c r="CF24"/>
  <c r="CF25" s="1"/>
  <c r="CH25" s="1"/>
  <c r="CE24"/>
  <c r="CE25" s="1"/>
  <c r="CF23"/>
  <c r="CF26" s="1"/>
  <c r="CH26" s="1"/>
  <c r="CE23"/>
  <c r="CF33" s="1"/>
  <c r="EZ37"/>
  <c r="EQ37"/>
  <c r="EH37"/>
  <c r="DY37"/>
  <c r="EJ33"/>
  <c r="EJ36" s="1"/>
  <c r="DP37"/>
  <c r="DG37"/>
  <c r="CX37"/>
  <c r="CO37"/>
  <c r="CF37"/>
  <c r="DR33"/>
  <c r="DR36" s="1"/>
  <c r="DI33"/>
  <c r="DI36" s="1"/>
  <c r="CZ33"/>
  <c r="CZ36" s="1"/>
  <c r="CH33"/>
  <c r="CH36" s="1"/>
  <c r="AV37"/>
  <c r="AM37"/>
  <c r="AX33"/>
  <c r="AX36" s="1"/>
  <c r="BG33"/>
  <c r="BG36" s="1"/>
  <c r="BP33"/>
  <c r="BP36" s="1"/>
  <c r="BY33"/>
  <c r="BY36" s="1"/>
  <c r="BV23"/>
  <c r="BV26"/>
  <c r="BW36" s="1"/>
  <c r="BW23"/>
  <c r="BV33" s="1"/>
  <c r="BW37"/>
  <c r="BN37"/>
  <c r="BE37"/>
  <c r="EZ24"/>
  <c r="FB24" s="1"/>
  <c r="EQ24"/>
  <c r="ES24" s="1"/>
  <c r="EY23"/>
  <c r="EZ33" s="1"/>
  <c r="EP23"/>
  <c r="EQ33" s="1"/>
  <c r="EZ27"/>
  <c r="EQ27"/>
  <c r="EY4"/>
  <c r="EP17"/>
  <c r="EP4"/>
  <c r="EH24"/>
  <c r="EJ24" s="1"/>
  <c r="EG24"/>
  <c r="EH34" s="1"/>
  <c r="EH35" s="1"/>
  <c r="EJ35" s="1"/>
  <c r="DY24"/>
  <c r="DX34" s="1"/>
  <c r="DP24"/>
  <c r="DO34" s="1"/>
  <c r="DO24"/>
  <c r="DP34" s="1"/>
  <c r="DG24"/>
  <c r="DF34" s="1"/>
  <c r="DF24"/>
  <c r="DG34" s="1"/>
  <c r="DG35" s="1"/>
  <c r="DI35" s="1"/>
  <c r="EH23"/>
  <c r="EG33" s="1"/>
  <c r="EG23"/>
  <c r="DX23"/>
  <c r="DY33" s="1"/>
  <c r="DO23"/>
  <c r="DP33" s="1"/>
  <c r="DF23"/>
  <c r="DG33" s="1"/>
  <c r="EG17"/>
  <c r="DO17"/>
  <c r="DF17"/>
  <c r="EH27"/>
  <c r="DY27"/>
  <c r="DP27"/>
  <c r="DG27"/>
  <c r="DX17"/>
  <c r="EG4"/>
  <c r="BW24"/>
  <c r="BV24"/>
  <c r="BW34" s="1"/>
  <c r="CW17"/>
  <c r="CE17"/>
  <c r="CX27"/>
  <c r="CO27"/>
  <c r="CF27"/>
  <c r="BW27"/>
  <c r="CN17"/>
  <c r="BV17"/>
  <c r="AH15"/>
  <c r="L35"/>
  <c r="L36" s="1"/>
  <c r="L34"/>
  <c r="L33"/>
  <c r="L32"/>
  <c r="L27"/>
  <c r="L28" s="1"/>
  <c r="L29" s="1"/>
  <c r="L30" s="1"/>
  <c r="BG6"/>
  <c r="AX6"/>
  <c r="L25"/>
  <c r="L26" s="1"/>
  <c r="BN24"/>
  <c r="BN25" s="1"/>
  <c r="BP25" s="1"/>
  <c r="BM24"/>
  <c r="BE24"/>
  <c r="BE25" s="1"/>
  <c r="BG25" s="1"/>
  <c r="BD24"/>
  <c r="BN23"/>
  <c r="BM33" s="1"/>
  <c r="BM23"/>
  <c r="BN33" s="1"/>
  <c r="BE23"/>
  <c r="BE26" s="1"/>
  <c r="BD23"/>
  <c r="BM17"/>
  <c r="BN27"/>
  <c r="BE27"/>
  <c r="AV24"/>
  <c r="AX24" s="1"/>
  <c r="AU24"/>
  <c r="AU25" s="1"/>
  <c r="AV23"/>
  <c r="AU23"/>
  <c r="AU26" s="1"/>
  <c r="AV27"/>
  <c r="AH14"/>
  <c r="AL23"/>
  <c r="AM33" s="1"/>
  <c r="AL24"/>
  <c r="AM24"/>
  <c r="AO24" s="1"/>
  <c r="AM23"/>
  <c r="AM26" s="1"/>
  <c r="AM27"/>
  <c r="AO6"/>
  <c r="B4"/>
  <c r="AC5" i="10" l="1"/>
  <c r="G5" s="1"/>
  <c r="X32"/>
  <c r="AA17"/>
  <c r="AA31"/>
  <c r="AC31" s="1"/>
  <c r="G31" s="1"/>
  <c r="AC17"/>
  <c r="G17" s="1"/>
  <c r="X15"/>
  <c r="X36"/>
  <c r="AA35"/>
  <c r="AC35" s="1"/>
  <c r="G35" s="1"/>
  <c r="BY8" i="1" s="1"/>
  <c r="DH23"/>
  <c r="DL23" s="1"/>
  <c r="U21"/>
  <c r="DR56"/>
  <c r="DI56"/>
  <c r="CW33"/>
  <c r="CW36" s="1"/>
  <c r="CY36" s="1"/>
  <c r="CN34"/>
  <c r="CN35" s="1"/>
  <c r="U15"/>
  <c r="EJ56" s="1"/>
  <c r="AL17"/>
  <c r="L20"/>
  <c r="CH56"/>
  <c r="CQ56"/>
  <c r="BY56"/>
  <c r="BD17"/>
  <c r="AX23"/>
  <c r="EH33"/>
  <c r="EI33" s="1"/>
  <c r="EI23"/>
  <c r="BO24"/>
  <c r="BS24" s="1"/>
  <c r="AM25"/>
  <c r="AO25" s="1"/>
  <c r="AN24"/>
  <c r="AR24" s="1"/>
  <c r="BF23"/>
  <c r="BJ23" s="1"/>
  <c r="BY23"/>
  <c r="DI24"/>
  <c r="DH24"/>
  <c r="DL24" s="1"/>
  <c r="L18"/>
  <c r="AX56" s="1"/>
  <c r="L19"/>
  <c r="BP56" s="1"/>
  <c r="BE33"/>
  <c r="AG14"/>
  <c r="EA33"/>
  <c r="EA36" s="1"/>
  <c r="CY23"/>
  <c r="DC23" s="1"/>
  <c r="BF24"/>
  <c r="BJ24" s="1"/>
  <c r="AG15"/>
  <c r="BE34"/>
  <c r="BE35" s="1"/>
  <c r="BG35" s="1"/>
  <c r="AU34"/>
  <c r="AU35" s="1"/>
  <c r="CE34"/>
  <c r="CE35" s="1"/>
  <c r="L22"/>
  <c r="U36"/>
  <c r="BO23"/>
  <c r="BV34"/>
  <c r="BV35" s="1"/>
  <c r="CQ33"/>
  <c r="CQ36" s="1"/>
  <c r="CG25"/>
  <c r="CK25" s="1"/>
  <c r="BP23"/>
  <c r="CX33"/>
  <c r="U23"/>
  <c r="U31"/>
  <c r="BM36"/>
  <c r="BO33"/>
  <c r="BS33" s="1"/>
  <c r="AL33"/>
  <c r="AN33" s="1"/>
  <c r="AV33"/>
  <c r="AL25"/>
  <c r="BG24"/>
  <c r="DR24"/>
  <c r="EI24"/>
  <c r="BM34"/>
  <c r="BD33"/>
  <c r="BD34"/>
  <c r="AU33"/>
  <c r="AM34"/>
  <c r="AO34" s="1"/>
  <c r="AV36"/>
  <c r="L23"/>
  <c r="U20"/>
  <c r="FB56" s="1"/>
  <c r="U35"/>
  <c r="BN34"/>
  <c r="BN35" s="1"/>
  <c r="BP35" s="1"/>
  <c r="BP24"/>
  <c r="AW24"/>
  <c r="AY24" s="1"/>
  <c r="AL34"/>
  <c r="CE33"/>
  <c r="CE36" s="1"/>
  <c r="CW34"/>
  <c r="CW35" s="1"/>
  <c r="EG34"/>
  <c r="EI34" s="1"/>
  <c r="CY24"/>
  <c r="DC24" s="1"/>
  <c r="U19"/>
  <c r="U32"/>
  <c r="AO23"/>
  <c r="BG23"/>
  <c r="EA24"/>
  <c r="AW23"/>
  <c r="AV34"/>
  <c r="AX34" s="1"/>
  <c r="U34"/>
  <c r="U29"/>
  <c r="U33"/>
  <c r="AU17"/>
  <c r="U30"/>
  <c r="L21"/>
  <c r="EY34"/>
  <c r="EY35" s="1"/>
  <c r="EY24"/>
  <c r="EZ26"/>
  <c r="FB26" s="1"/>
  <c r="EY33"/>
  <c r="FA33" s="1"/>
  <c r="FA23"/>
  <c r="EP34"/>
  <c r="EP35" s="1"/>
  <c r="EP24"/>
  <c r="EP25" s="1"/>
  <c r="ER23"/>
  <c r="EP33"/>
  <c r="ER33" s="1"/>
  <c r="EJ23"/>
  <c r="EH26"/>
  <c r="EJ26" s="1"/>
  <c r="DZ24"/>
  <c r="ED24" s="1"/>
  <c r="DY34"/>
  <c r="DY35" s="1"/>
  <c r="EA35" s="1"/>
  <c r="DX33"/>
  <c r="DX36" s="1"/>
  <c r="DZ23"/>
  <c r="EA23"/>
  <c r="DR23"/>
  <c r="DQ23"/>
  <c r="DQ33"/>
  <c r="DP35"/>
  <c r="DR35" s="1"/>
  <c r="DR34"/>
  <c r="DQ34"/>
  <c r="DU34" s="1"/>
  <c r="DQ24"/>
  <c r="DH34"/>
  <c r="DI34"/>
  <c r="DF33"/>
  <c r="DH33" s="1"/>
  <c r="DI23"/>
  <c r="CN25"/>
  <c r="CP25" s="1"/>
  <c r="CT25" s="1"/>
  <c r="CO34"/>
  <c r="CO35" s="1"/>
  <c r="CQ35" s="1"/>
  <c r="CP24"/>
  <c r="CT24" s="1"/>
  <c r="CN33"/>
  <c r="CP33" s="1"/>
  <c r="CP23"/>
  <c r="CT23" s="1"/>
  <c r="CF34"/>
  <c r="CF35" s="1"/>
  <c r="CH35" s="1"/>
  <c r="CY26"/>
  <c r="CZ26"/>
  <c r="CX35"/>
  <c r="CZ35" s="1"/>
  <c r="CZ34"/>
  <c r="CW25"/>
  <c r="CY25" s="1"/>
  <c r="CZ23"/>
  <c r="CZ24"/>
  <c r="CQ26"/>
  <c r="CP26"/>
  <c r="CQ23"/>
  <c r="CQ24"/>
  <c r="CG26"/>
  <c r="CH23"/>
  <c r="CH24"/>
  <c r="CF36"/>
  <c r="CG23"/>
  <c r="CG24"/>
  <c r="EJ34"/>
  <c r="DX35"/>
  <c r="EG36"/>
  <c r="DF35"/>
  <c r="DH35" s="1"/>
  <c r="DO35"/>
  <c r="DO36"/>
  <c r="BW35"/>
  <c r="BY35" s="1"/>
  <c r="BY34"/>
  <c r="BX24"/>
  <c r="CB24" s="1"/>
  <c r="BX23"/>
  <c r="CB23" s="1"/>
  <c r="BW33"/>
  <c r="BV36"/>
  <c r="BN26"/>
  <c r="EY17"/>
  <c r="EP26"/>
  <c r="EY26"/>
  <c r="EQ25"/>
  <c r="ES25" s="1"/>
  <c r="EZ25"/>
  <c r="FB25" s="1"/>
  <c r="ES23"/>
  <c r="FB23"/>
  <c r="DF25"/>
  <c r="DO25"/>
  <c r="DX26"/>
  <c r="DG25"/>
  <c r="DP25"/>
  <c r="DY25"/>
  <c r="EA25" s="1"/>
  <c r="EH25"/>
  <c r="DG26"/>
  <c r="DI26" s="1"/>
  <c r="DP26"/>
  <c r="DR26" s="1"/>
  <c r="DY26"/>
  <c r="DX25"/>
  <c r="EG25"/>
  <c r="DF26"/>
  <c r="DO26"/>
  <c r="EG26"/>
  <c r="BW26"/>
  <c r="BY26" s="1"/>
  <c r="BY24"/>
  <c r="BW25"/>
  <c r="BY25" s="1"/>
  <c r="BV25"/>
  <c r="BG26"/>
  <c r="BM26"/>
  <c r="BD25"/>
  <c r="BF25" s="1"/>
  <c r="BM25"/>
  <c r="BO25" s="1"/>
  <c r="BD26"/>
  <c r="AV25"/>
  <c r="AX25" s="1"/>
  <c r="AV26"/>
  <c r="AW26" s="1"/>
  <c r="AO26"/>
  <c r="AN23"/>
  <c r="AL26"/>
  <c r="AA48" i="10" l="1"/>
  <c r="AC48" s="1"/>
  <c r="G48" s="1"/>
  <c r="AA15"/>
  <c r="AC15" s="1"/>
  <c r="G15" s="1"/>
  <c r="AA32"/>
  <c r="AC32" s="1"/>
  <c r="G32" s="1"/>
  <c r="X49"/>
  <c r="X29"/>
  <c r="AA36"/>
  <c r="AC36" s="1"/>
  <c r="G36" s="1"/>
  <c r="X21"/>
  <c r="X44"/>
  <c r="AA49"/>
  <c r="AC49" s="1"/>
  <c r="G49" s="1"/>
  <c r="X11"/>
  <c r="AW33" i="1"/>
  <c r="BA33" s="1"/>
  <c r="DJ23"/>
  <c r="DS24"/>
  <c r="AN25"/>
  <c r="AR25" s="1"/>
  <c r="AY23"/>
  <c r="CY33"/>
  <c r="DC33" s="1"/>
  <c r="DJ34"/>
  <c r="DJ24"/>
  <c r="AM35"/>
  <c r="AO35" s="1"/>
  <c r="BQ24"/>
  <c r="CP35"/>
  <c r="CT35" s="1"/>
  <c r="CP34"/>
  <c r="CT34" s="1"/>
  <c r="BQ23"/>
  <c r="AP24"/>
  <c r="BG56"/>
  <c r="CZ56"/>
  <c r="ES56"/>
  <c r="BS23"/>
  <c r="AO56"/>
  <c r="EA56"/>
  <c r="CQ34"/>
  <c r="CY27"/>
  <c r="AD21" s="1"/>
  <c r="CR25"/>
  <c r="CR33"/>
  <c r="DL34"/>
  <c r="BH23"/>
  <c r="AN34"/>
  <c r="CG33"/>
  <c r="CI33" s="1"/>
  <c r="EM34"/>
  <c r="EM23"/>
  <c r="EM33"/>
  <c r="AW34"/>
  <c r="BH24"/>
  <c r="EG35"/>
  <c r="EI35" s="1"/>
  <c r="EK35" s="1"/>
  <c r="BX34"/>
  <c r="CB34" s="1"/>
  <c r="BQ33"/>
  <c r="DL33"/>
  <c r="DU23"/>
  <c r="DS33"/>
  <c r="ED23"/>
  <c r="ET33"/>
  <c r="FE23"/>
  <c r="BA23"/>
  <c r="AP33"/>
  <c r="AL35"/>
  <c r="BX26"/>
  <c r="CB26" s="1"/>
  <c r="BG34"/>
  <c r="AU36"/>
  <c r="AW36" s="1"/>
  <c r="AY36" s="1"/>
  <c r="DZ35"/>
  <c r="EB35" s="1"/>
  <c r="CI25"/>
  <c r="CY34"/>
  <c r="DC34" s="1"/>
  <c r="BZ23"/>
  <c r="AL36"/>
  <c r="AR33"/>
  <c r="EK34"/>
  <c r="CR23"/>
  <c r="DA23"/>
  <c r="BF26"/>
  <c r="BF27" s="1"/>
  <c r="AD16" s="1"/>
  <c r="BE36"/>
  <c r="BD35"/>
  <c r="BF35" s="1"/>
  <c r="BJ35" s="1"/>
  <c r="BF34"/>
  <c r="BN36"/>
  <c r="BO36" s="1"/>
  <c r="BO26"/>
  <c r="BX25"/>
  <c r="BZ25" s="1"/>
  <c r="EB23"/>
  <c r="BX35"/>
  <c r="CB35" s="1"/>
  <c r="BP34"/>
  <c r="AV35"/>
  <c r="AX35" s="1"/>
  <c r="CN36"/>
  <c r="CP36" s="1"/>
  <c r="CR24"/>
  <c r="EK23"/>
  <c r="ER25"/>
  <c r="AM36"/>
  <c r="AN26"/>
  <c r="BM35"/>
  <c r="BO35" s="1"/>
  <c r="BS35" s="1"/>
  <c r="BO34"/>
  <c r="DS34"/>
  <c r="BD36"/>
  <c r="BF33"/>
  <c r="AW25"/>
  <c r="AW27" s="1"/>
  <c r="EZ34"/>
  <c r="FA24"/>
  <c r="EY25"/>
  <c r="FA25" s="1"/>
  <c r="FC33"/>
  <c r="FE33"/>
  <c r="EY36"/>
  <c r="EZ36"/>
  <c r="FA26"/>
  <c r="ER24"/>
  <c r="EQ34"/>
  <c r="EV23"/>
  <c r="ET23"/>
  <c r="EP36"/>
  <c r="EV33"/>
  <c r="ER26"/>
  <c r="EQ36"/>
  <c r="EJ25"/>
  <c r="EI25"/>
  <c r="EH36"/>
  <c r="EI36" s="1"/>
  <c r="EI26"/>
  <c r="EK33"/>
  <c r="DZ25"/>
  <c r="EB25" s="1"/>
  <c r="DZ34"/>
  <c r="ED34" s="1"/>
  <c r="EB24"/>
  <c r="EA34"/>
  <c r="DZ33"/>
  <c r="DZ26"/>
  <c r="DY36"/>
  <c r="DZ36" s="1"/>
  <c r="DS23"/>
  <c r="DU33"/>
  <c r="DP36"/>
  <c r="DQ36" s="1"/>
  <c r="DQ26"/>
  <c r="DQ35"/>
  <c r="DU24"/>
  <c r="DR25"/>
  <c r="DQ25"/>
  <c r="DU25" s="1"/>
  <c r="DF36"/>
  <c r="DG36"/>
  <c r="DH26"/>
  <c r="DJ33"/>
  <c r="DI25"/>
  <c r="DH25"/>
  <c r="CY35"/>
  <c r="CT33"/>
  <c r="CH34"/>
  <c r="CG35"/>
  <c r="CI35" s="1"/>
  <c r="CG34"/>
  <c r="DC26"/>
  <c r="DA26"/>
  <c r="DC25"/>
  <c r="DA25"/>
  <c r="DA24"/>
  <c r="CT26"/>
  <c r="CR26"/>
  <c r="CP27"/>
  <c r="AD20" s="1"/>
  <c r="CK26"/>
  <c r="CI26"/>
  <c r="CG27"/>
  <c r="AD19" s="1"/>
  <c r="CI23"/>
  <c r="CK23"/>
  <c r="CK24"/>
  <c r="CI24"/>
  <c r="CG36"/>
  <c r="CK36" s="1"/>
  <c r="DC36"/>
  <c r="DA36"/>
  <c r="DL35"/>
  <c r="DJ35"/>
  <c r="BZ24"/>
  <c r="BX33"/>
  <c r="BX36"/>
  <c r="BP26"/>
  <c r="FC23"/>
  <c r="EM24"/>
  <c r="EK24"/>
  <c r="EA26"/>
  <c r="BA24"/>
  <c r="BJ25"/>
  <c r="BH25"/>
  <c r="BS25"/>
  <c r="BQ25"/>
  <c r="BA26"/>
  <c r="AX26"/>
  <c r="AR23"/>
  <c r="AP23"/>
  <c r="X30" i="10" l="1"/>
  <c r="AA29"/>
  <c r="AC29" s="1"/>
  <c r="G29" s="1"/>
  <c r="BG8" i="1" s="1"/>
  <c r="AA21" i="10"/>
  <c r="AC21" s="1"/>
  <c r="G21" s="1"/>
  <c r="FB8" i="1" s="1"/>
  <c r="X45" i="10"/>
  <c r="AA44"/>
  <c r="AC44" s="1"/>
  <c r="G44" s="1"/>
  <c r="X14"/>
  <c r="AN36" i="1"/>
  <c r="AP36" s="1"/>
  <c r="AY33"/>
  <c r="AN27"/>
  <c r="AP25"/>
  <c r="DA33"/>
  <c r="CR35"/>
  <c r="AN35"/>
  <c r="AP35" s="1"/>
  <c r="CR34"/>
  <c r="AP26"/>
  <c r="CB25"/>
  <c r="AY25"/>
  <c r="ED35"/>
  <c r="BQ35"/>
  <c r="EM35"/>
  <c r="AW35"/>
  <c r="AY35" s="1"/>
  <c r="AP34"/>
  <c r="AR34"/>
  <c r="CK35"/>
  <c r="CK33"/>
  <c r="BZ34"/>
  <c r="BA34"/>
  <c r="AY34"/>
  <c r="CR27"/>
  <c r="CQ27" s="1"/>
  <c r="BO27"/>
  <c r="AD17" s="1"/>
  <c r="BQ36"/>
  <c r="BS26"/>
  <c r="BZ36"/>
  <c r="BZ26"/>
  <c r="BZ27" s="1"/>
  <c r="CT36"/>
  <c r="DS36"/>
  <c r="ED26"/>
  <c r="ED33"/>
  <c r="ER36"/>
  <c r="ET26"/>
  <c r="FA36"/>
  <c r="BH26"/>
  <c r="BH27" s="1"/>
  <c r="BG27" s="1"/>
  <c r="BI26" s="1"/>
  <c r="BJ26"/>
  <c r="AR26"/>
  <c r="BA25"/>
  <c r="BQ26"/>
  <c r="BQ27" s="1"/>
  <c r="BX27"/>
  <c r="AD18" s="1"/>
  <c r="EV26"/>
  <c r="BZ35"/>
  <c r="BA36"/>
  <c r="DA34"/>
  <c r="DQ37"/>
  <c r="DR39" s="1"/>
  <c r="EK25"/>
  <c r="BS36"/>
  <c r="CR36"/>
  <c r="BH35"/>
  <c r="CG37"/>
  <c r="CH39" s="1"/>
  <c r="CY37"/>
  <c r="CZ39" s="1"/>
  <c r="BQ34"/>
  <c r="BS34"/>
  <c r="BO37"/>
  <c r="BP39" s="1"/>
  <c r="BH34"/>
  <c r="BJ34"/>
  <c r="EM25"/>
  <c r="FE26"/>
  <c r="DC35"/>
  <c r="BF36"/>
  <c r="BJ33"/>
  <c r="BH33"/>
  <c r="DS25"/>
  <c r="FC26"/>
  <c r="DU36"/>
  <c r="DZ37"/>
  <c r="EA39" s="1"/>
  <c r="CP37"/>
  <c r="CQ39" s="1"/>
  <c r="FE24"/>
  <c r="FC24"/>
  <c r="EZ35"/>
  <c r="FB34"/>
  <c r="FA34"/>
  <c r="EQ35"/>
  <c r="ER34"/>
  <c r="ES34"/>
  <c r="EV24"/>
  <c r="ET24"/>
  <c r="EM36"/>
  <c r="EI37"/>
  <c r="EJ39" s="1"/>
  <c r="EK36"/>
  <c r="EK37" s="1"/>
  <c r="EK26"/>
  <c r="EM26"/>
  <c r="EI27"/>
  <c r="AD25" s="1"/>
  <c r="DZ27"/>
  <c r="AD24" s="1"/>
  <c r="ED25"/>
  <c r="EB34"/>
  <c r="EB33"/>
  <c r="ED36"/>
  <c r="EB36"/>
  <c r="DU35"/>
  <c r="DQ27"/>
  <c r="AD23" s="1"/>
  <c r="DS35"/>
  <c r="DH36"/>
  <c r="DA35"/>
  <c r="DA27"/>
  <c r="CZ27" s="1"/>
  <c r="CI34"/>
  <c r="CK34"/>
  <c r="CI36"/>
  <c r="CI27"/>
  <c r="CH27" s="1"/>
  <c r="BZ33"/>
  <c r="CB33"/>
  <c r="CB36"/>
  <c r="BX37"/>
  <c r="BY39" s="1"/>
  <c r="AD15"/>
  <c r="FE25"/>
  <c r="FC25"/>
  <c r="FA27"/>
  <c r="AD27" s="1"/>
  <c r="EV25"/>
  <c r="ET25"/>
  <c r="ER27"/>
  <c r="AD26" s="1"/>
  <c r="EB26"/>
  <c r="EB27" s="1"/>
  <c r="DL25"/>
  <c r="DJ25"/>
  <c r="DH27"/>
  <c r="AD22" s="1"/>
  <c r="DU26"/>
  <c r="DS26"/>
  <c r="DL26"/>
  <c r="DJ26"/>
  <c r="AY26"/>
  <c r="AA11" i="10" l="1"/>
  <c r="AC11" s="1"/>
  <c r="G11" s="1"/>
  <c r="AA14"/>
  <c r="AC14" s="1"/>
  <c r="G14" s="1"/>
  <c r="X33"/>
  <c r="X47"/>
  <c r="AA30"/>
  <c r="AC30" s="1"/>
  <c r="G30" s="1"/>
  <c r="X10"/>
  <c r="X13"/>
  <c r="AA47"/>
  <c r="AA45"/>
  <c r="AC45" s="1"/>
  <c r="G45" s="1"/>
  <c r="X46"/>
  <c r="AR36" i="1"/>
  <c r="AP27"/>
  <c r="AO27" s="1"/>
  <c r="AQ26" s="1"/>
  <c r="AS26" s="1"/>
  <c r="AY27"/>
  <c r="AX27" s="1"/>
  <c r="CR37"/>
  <c r="CQ37" s="1"/>
  <c r="CS36" s="1"/>
  <c r="CU36" s="1"/>
  <c r="AR35"/>
  <c r="AN37"/>
  <c r="AO39" s="1"/>
  <c r="AM47" s="1"/>
  <c r="AW37"/>
  <c r="AX39" s="1"/>
  <c r="AX40" s="1"/>
  <c r="AY37"/>
  <c r="BN47"/>
  <c r="BP40"/>
  <c r="BN46"/>
  <c r="CF47"/>
  <c r="CH40"/>
  <c r="CF46"/>
  <c r="DY47"/>
  <c r="EA40"/>
  <c r="DY46"/>
  <c r="CX47"/>
  <c r="CZ40"/>
  <c r="CX46"/>
  <c r="EH47"/>
  <c r="EJ40"/>
  <c r="EH46"/>
  <c r="CO47"/>
  <c r="CQ40"/>
  <c r="CO46"/>
  <c r="BY40"/>
  <c r="BW47"/>
  <c r="BW46"/>
  <c r="DP47"/>
  <c r="DR40"/>
  <c r="DP46"/>
  <c r="BZ37"/>
  <c r="BY37" s="1"/>
  <c r="BA35"/>
  <c r="AP37"/>
  <c r="BP27"/>
  <c r="BR14" s="1"/>
  <c r="BQ37"/>
  <c r="BP37" s="1"/>
  <c r="CI37"/>
  <c r="CH37" s="1"/>
  <c r="CJ34" s="1"/>
  <c r="CL34" s="1"/>
  <c r="EA27"/>
  <c r="EC24" s="1"/>
  <c r="EE24" s="1"/>
  <c r="CJ14"/>
  <c r="CS25"/>
  <c r="CU25" s="1"/>
  <c r="CJ23"/>
  <c r="CL23" s="1"/>
  <c r="CJ24"/>
  <c r="CL24" s="1"/>
  <c r="CJ26"/>
  <c r="CL26" s="1"/>
  <c r="CS14"/>
  <c r="CS24"/>
  <c r="CU24" s="1"/>
  <c r="DB25"/>
  <c r="DD25" s="1"/>
  <c r="CS23"/>
  <c r="CU23" s="1"/>
  <c r="CS26"/>
  <c r="CU26" s="1"/>
  <c r="DB14"/>
  <c r="DK25"/>
  <c r="DM25" s="1"/>
  <c r="DB24"/>
  <c r="DD24" s="1"/>
  <c r="DB23"/>
  <c r="DD23" s="1"/>
  <c r="DB26"/>
  <c r="DD26" s="1"/>
  <c r="DH37"/>
  <c r="DI39" s="1"/>
  <c r="DJ36"/>
  <c r="DJ37" s="1"/>
  <c r="DS37"/>
  <c r="DR37" s="1"/>
  <c r="ET36"/>
  <c r="EV36"/>
  <c r="FE36"/>
  <c r="FC36"/>
  <c r="BI14"/>
  <c r="BR25"/>
  <c r="BT25" s="1"/>
  <c r="BI24"/>
  <c r="BK24" s="1"/>
  <c r="BI23"/>
  <c r="BK23" s="1"/>
  <c r="AZ25"/>
  <c r="BB25" s="1"/>
  <c r="ET27"/>
  <c r="ES27" s="1"/>
  <c r="DL36"/>
  <c r="FC27"/>
  <c r="FB27" s="1"/>
  <c r="BY27"/>
  <c r="DA37"/>
  <c r="CZ37" s="1"/>
  <c r="EK27"/>
  <c r="EJ27" s="1"/>
  <c r="BH36"/>
  <c r="BH37" s="1"/>
  <c r="BJ36"/>
  <c r="DS27"/>
  <c r="DR27" s="1"/>
  <c r="BF37"/>
  <c r="BG39" s="1"/>
  <c r="FC34"/>
  <c r="FE34"/>
  <c r="FB35"/>
  <c r="FA35"/>
  <c r="ES35"/>
  <c r="ER35"/>
  <c r="EV34"/>
  <c r="ET34"/>
  <c r="EJ37"/>
  <c r="EK14" s="1"/>
  <c r="EB37"/>
  <c r="EA37" s="1"/>
  <c r="DJ27"/>
  <c r="DI27" s="1"/>
  <c r="BK26"/>
  <c r="AC47" i="10" l="1"/>
  <c r="G47" s="1"/>
  <c r="DI8" i="1" s="1"/>
  <c r="X34" i="10"/>
  <c r="AA33"/>
  <c r="AC33" s="1"/>
  <c r="G33" s="1"/>
  <c r="BP8" i="1" s="1"/>
  <c r="AA13" i="10"/>
  <c r="AC13" s="1"/>
  <c r="G13" s="1"/>
  <c r="AA46"/>
  <c r="AC46" s="1"/>
  <c r="G46" s="1"/>
  <c r="CZ8" i="1" s="1"/>
  <c r="X12" i="10"/>
  <c r="AQ14" i="1"/>
  <c r="AQ24"/>
  <c r="AS24" s="1"/>
  <c r="AQ25"/>
  <c r="AS25" s="1"/>
  <c r="AQ23"/>
  <c r="AS23" s="1"/>
  <c r="AO37"/>
  <c r="AQ33" s="1"/>
  <c r="AS33" s="1"/>
  <c r="AX37"/>
  <c r="AZ34" s="1"/>
  <c r="BB34" s="1"/>
  <c r="AM46"/>
  <c r="AO40"/>
  <c r="AV46"/>
  <c r="EC14"/>
  <c r="AV47"/>
  <c r="EI47"/>
  <c r="EI46"/>
  <c r="EJ41"/>
  <c r="CH41"/>
  <c r="CG47"/>
  <c r="CG46"/>
  <c r="DG46"/>
  <c r="DG47"/>
  <c r="DI40"/>
  <c r="AX41"/>
  <c r="AW47"/>
  <c r="AW46"/>
  <c r="BO46"/>
  <c r="BO47"/>
  <c r="BP41"/>
  <c r="BE47"/>
  <c r="BG40"/>
  <c r="BE46"/>
  <c r="DR41"/>
  <c r="DQ46"/>
  <c r="DQ47"/>
  <c r="BY41"/>
  <c r="BX47"/>
  <c r="BX46"/>
  <c r="CY47"/>
  <c r="CZ41"/>
  <c r="CY46"/>
  <c r="EL25"/>
  <c r="EN25" s="1"/>
  <c r="CA25"/>
  <c r="CC25" s="1"/>
  <c r="EC23"/>
  <c r="EE23" s="1"/>
  <c r="CP46"/>
  <c r="CP47"/>
  <c r="CQ41"/>
  <c r="EA41"/>
  <c r="DZ47"/>
  <c r="DZ46"/>
  <c r="EC26"/>
  <c r="EE26" s="1"/>
  <c r="CS34"/>
  <c r="CU34" s="1"/>
  <c r="CJ35"/>
  <c r="CL35" s="1"/>
  <c r="BR24"/>
  <c r="BT24" s="1"/>
  <c r="BR35"/>
  <c r="BT35" s="1"/>
  <c r="BQ14"/>
  <c r="BR33"/>
  <c r="BT33" s="1"/>
  <c r="BR36"/>
  <c r="BT36" s="1"/>
  <c r="BR34"/>
  <c r="BT34" s="1"/>
  <c r="CR14"/>
  <c r="CJ36"/>
  <c r="CL36" s="1"/>
  <c r="BR23"/>
  <c r="BT23" s="1"/>
  <c r="BR26"/>
  <c r="BT26" s="1"/>
  <c r="EL33"/>
  <c r="EN33" s="1"/>
  <c r="EL34"/>
  <c r="EN34" s="1"/>
  <c r="EL35"/>
  <c r="EN35" s="1"/>
  <c r="EL36"/>
  <c r="EN36" s="1"/>
  <c r="EL14"/>
  <c r="EL23"/>
  <c r="EN23" s="1"/>
  <c r="EL24"/>
  <c r="EN24" s="1"/>
  <c r="EU25"/>
  <c r="EW25" s="1"/>
  <c r="EL26"/>
  <c r="EN26" s="1"/>
  <c r="CI14"/>
  <c r="DI37"/>
  <c r="DK36" s="1"/>
  <c r="DM36" s="1"/>
  <c r="CS33"/>
  <c r="CU33" s="1"/>
  <c r="CJ33"/>
  <c r="CL33" s="1"/>
  <c r="CS35"/>
  <c r="CU35" s="1"/>
  <c r="CA35"/>
  <c r="CC35" s="1"/>
  <c r="CA33"/>
  <c r="CC33" s="1"/>
  <c r="CA34"/>
  <c r="CC34" s="1"/>
  <c r="CA36"/>
  <c r="CC36" s="1"/>
  <c r="CA14"/>
  <c r="CA24"/>
  <c r="CC24" s="1"/>
  <c r="CJ25"/>
  <c r="CL25" s="1"/>
  <c r="CL27" s="1"/>
  <c r="CI15" s="1"/>
  <c r="CA23"/>
  <c r="CC23" s="1"/>
  <c r="CA26"/>
  <c r="CC26" s="1"/>
  <c r="DB35"/>
  <c r="DD35" s="1"/>
  <c r="DB34"/>
  <c r="DD34" s="1"/>
  <c r="DB33"/>
  <c r="DD33" s="1"/>
  <c r="DB36"/>
  <c r="DD36" s="1"/>
  <c r="DA14"/>
  <c r="DK14"/>
  <c r="DK24"/>
  <c r="DM24" s="1"/>
  <c r="DT25"/>
  <c r="DV25" s="1"/>
  <c r="DK23"/>
  <c r="DM23" s="1"/>
  <c r="DK26"/>
  <c r="DM26" s="1"/>
  <c r="DT14"/>
  <c r="DT24"/>
  <c r="DV24" s="1"/>
  <c r="EC25"/>
  <c r="EE25" s="1"/>
  <c r="DT23"/>
  <c r="DV23" s="1"/>
  <c r="DT26"/>
  <c r="DV26" s="1"/>
  <c r="DT35"/>
  <c r="DV35" s="1"/>
  <c r="DT34"/>
  <c r="DV34" s="1"/>
  <c r="DT33"/>
  <c r="DV33" s="1"/>
  <c r="DT36"/>
  <c r="DV36" s="1"/>
  <c r="DS14"/>
  <c r="EC35"/>
  <c r="EE35" s="1"/>
  <c r="EC34"/>
  <c r="EE34" s="1"/>
  <c r="EC36"/>
  <c r="EE36" s="1"/>
  <c r="EC33"/>
  <c r="EE33" s="1"/>
  <c r="EU14"/>
  <c r="FD25"/>
  <c r="FF25" s="1"/>
  <c r="EU24"/>
  <c r="EW24" s="1"/>
  <c r="EU23"/>
  <c r="EW23" s="1"/>
  <c r="EU26"/>
  <c r="EW26" s="1"/>
  <c r="FD14"/>
  <c r="FD24"/>
  <c r="FF24" s="1"/>
  <c r="FD23"/>
  <c r="FF23" s="1"/>
  <c r="FD26"/>
  <c r="FF26" s="1"/>
  <c r="AZ14"/>
  <c r="BI25"/>
  <c r="BK25" s="1"/>
  <c r="BK27" s="1"/>
  <c r="BH15" s="1"/>
  <c r="AZ24"/>
  <c r="BB24" s="1"/>
  <c r="AZ23"/>
  <c r="BB23" s="1"/>
  <c r="AZ26"/>
  <c r="BB26" s="1"/>
  <c r="EB14"/>
  <c r="CU27"/>
  <c r="CR15" s="1"/>
  <c r="BG37"/>
  <c r="DD27"/>
  <c r="DA15" s="1"/>
  <c r="BZ14"/>
  <c r="FE35"/>
  <c r="FC35"/>
  <c r="FC37" s="1"/>
  <c r="FA37"/>
  <c r="FB39" s="1"/>
  <c r="ET35"/>
  <c r="ET37" s="1"/>
  <c r="EV35"/>
  <c r="ER37"/>
  <c r="ES39" s="1"/>
  <c r="AA12" i="10" l="1"/>
  <c r="AC12" s="1"/>
  <c r="G12" s="1"/>
  <c r="ES8" i="1" s="1"/>
  <c r="AA34" i="10"/>
  <c r="AC34" s="1"/>
  <c r="G34" s="1"/>
  <c r="AA10"/>
  <c r="AC10" s="1"/>
  <c r="G10" s="1"/>
  <c r="EJ8" i="1" s="1"/>
  <c r="AZ35"/>
  <c r="BB35" s="1"/>
  <c r="AS27"/>
  <c r="AP15" s="1"/>
  <c r="AF14" s="1"/>
  <c r="AQ35"/>
  <c r="AS35" s="1"/>
  <c r="AP14"/>
  <c r="AQ36"/>
  <c r="AS36" s="1"/>
  <c r="AQ34"/>
  <c r="AS34" s="1"/>
  <c r="AZ33"/>
  <c r="BB33" s="1"/>
  <c r="AY14"/>
  <c r="AZ36"/>
  <c r="BB36" s="1"/>
  <c r="AN46"/>
  <c r="AO41"/>
  <c r="AN47"/>
  <c r="EE27"/>
  <c r="EB15" s="1"/>
  <c r="AF24" s="1"/>
  <c r="DK33"/>
  <c r="DM33" s="1"/>
  <c r="BG41"/>
  <c r="BF47"/>
  <c r="BF46"/>
  <c r="DH46"/>
  <c r="DH47"/>
  <c r="DI41"/>
  <c r="EQ47"/>
  <c r="ES40"/>
  <c r="EQ46"/>
  <c r="DJ14"/>
  <c r="DK35"/>
  <c r="DM35" s="1"/>
  <c r="BT37"/>
  <c r="BR15" s="1"/>
  <c r="BR16" s="1"/>
  <c r="EZ46"/>
  <c r="FB40"/>
  <c r="EZ47"/>
  <c r="EW27"/>
  <c r="ET15" s="1"/>
  <c r="AF26" s="1"/>
  <c r="DK34"/>
  <c r="DM34" s="1"/>
  <c r="DV27"/>
  <c r="DS15" s="1"/>
  <c r="AF23" s="1"/>
  <c r="BT27"/>
  <c r="BQ15" s="1"/>
  <c r="BQ17" s="1"/>
  <c r="BN51" s="1"/>
  <c r="EN37"/>
  <c r="EL15" s="1"/>
  <c r="EL16" s="1"/>
  <c r="BB27"/>
  <c r="AY15" s="1"/>
  <c r="AF15" s="1"/>
  <c r="CL37"/>
  <c r="CJ15" s="1"/>
  <c r="CJ16" s="1"/>
  <c r="EN27"/>
  <c r="EK15" s="1"/>
  <c r="EK16" s="1"/>
  <c r="CC27"/>
  <c r="BZ15" s="1"/>
  <c r="AF18" s="1"/>
  <c r="CC37"/>
  <c r="CA15" s="1"/>
  <c r="CA16" s="1"/>
  <c r="CU37"/>
  <c r="CS15" s="1"/>
  <c r="CT15" s="1"/>
  <c r="DM27"/>
  <c r="DJ15" s="1"/>
  <c r="DJ16" s="1"/>
  <c r="DD37"/>
  <c r="DB15" s="1"/>
  <c r="DC15" s="1"/>
  <c r="DV37"/>
  <c r="DT15" s="1"/>
  <c r="EE37"/>
  <c r="EC15" s="1"/>
  <c r="EC16" s="1"/>
  <c r="FF27"/>
  <c r="FC15" s="1"/>
  <c r="FC16" s="1"/>
  <c r="BI34"/>
  <c r="BK34" s="1"/>
  <c r="BI35"/>
  <c r="BK35" s="1"/>
  <c r="BI33"/>
  <c r="BK33" s="1"/>
  <c r="BI36"/>
  <c r="BK36" s="1"/>
  <c r="BH16"/>
  <c r="AF16"/>
  <c r="BH17"/>
  <c r="BE51" s="1"/>
  <c r="CI16"/>
  <c r="AF19"/>
  <c r="CI17"/>
  <c r="CF51" s="1"/>
  <c r="BH14"/>
  <c r="CR16"/>
  <c r="AF20"/>
  <c r="CR17"/>
  <c r="CO51" s="1"/>
  <c r="FB37"/>
  <c r="DA16"/>
  <c r="DA17"/>
  <c r="CX51" s="1"/>
  <c r="AF21"/>
  <c r="ES37"/>
  <c r="AP16" l="1"/>
  <c r="AE17"/>
  <c r="AP17"/>
  <c r="AM51" s="1"/>
  <c r="EB17"/>
  <c r="DY51" s="1"/>
  <c r="AS37"/>
  <c r="AQ15" s="1"/>
  <c r="AQ17" s="1"/>
  <c r="AM52" s="1"/>
  <c r="EL17"/>
  <c r="EH52" s="1"/>
  <c r="BB37"/>
  <c r="AZ15" s="1"/>
  <c r="AE15" s="1"/>
  <c r="DJ17"/>
  <c r="DG51" s="1"/>
  <c r="AF22"/>
  <c r="CA17"/>
  <c r="BW52" s="1"/>
  <c r="AE19"/>
  <c r="EB16"/>
  <c r="DS17"/>
  <c r="DP51" s="1"/>
  <c r="DU15"/>
  <c r="DS16"/>
  <c r="DM37"/>
  <c r="DK15" s="1"/>
  <c r="AE22" s="1"/>
  <c r="FA47"/>
  <c r="FB41"/>
  <c r="FA46"/>
  <c r="BR17"/>
  <c r="BN52" s="1"/>
  <c r="BP51" s="1"/>
  <c r="ET16"/>
  <c r="ES41"/>
  <c r="ER46"/>
  <c r="ER47"/>
  <c r="CK15"/>
  <c r="AE18"/>
  <c r="FC17"/>
  <c r="EZ51" s="1"/>
  <c r="ET17"/>
  <c r="EQ51" s="1"/>
  <c r="CJ17"/>
  <c r="CF52" s="1"/>
  <c r="CH51" s="1"/>
  <c r="AF17"/>
  <c r="BQ16"/>
  <c r="BS15"/>
  <c r="EM15"/>
  <c r="AF27"/>
  <c r="AE25"/>
  <c r="EK17"/>
  <c r="EH51" s="1"/>
  <c r="AF25"/>
  <c r="CB15"/>
  <c r="BZ17"/>
  <c r="BW51" s="1"/>
  <c r="AE24"/>
  <c r="BZ16"/>
  <c r="CS16"/>
  <c r="CS17"/>
  <c r="CO52" s="1"/>
  <c r="CQ51" s="1"/>
  <c r="AE20"/>
  <c r="DB16"/>
  <c r="DB17"/>
  <c r="CX52" s="1"/>
  <c r="CZ51" s="1"/>
  <c r="AE21"/>
  <c r="DT16"/>
  <c r="AE23"/>
  <c r="DT17"/>
  <c r="DP52" s="1"/>
  <c r="EC17"/>
  <c r="DY52" s="1"/>
  <c r="ED15"/>
  <c r="ET14"/>
  <c r="EU35"/>
  <c r="EW35" s="1"/>
  <c r="EU34"/>
  <c r="EW34" s="1"/>
  <c r="EU33"/>
  <c r="EW33" s="1"/>
  <c r="EU36"/>
  <c r="EW36" s="1"/>
  <c r="FC14"/>
  <c r="FD34"/>
  <c r="FF34" s="1"/>
  <c r="FD35"/>
  <c r="FF35" s="1"/>
  <c r="FD33"/>
  <c r="FF33" s="1"/>
  <c r="FD36"/>
  <c r="FF36" s="1"/>
  <c r="BK37"/>
  <c r="BI15" s="1"/>
  <c r="BI17" s="1"/>
  <c r="BE52" s="1"/>
  <c r="BG51" s="1"/>
  <c r="AY16"/>
  <c r="AY17"/>
  <c r="AV51" s="1"/>
  <c r="EA51" l="1"/>
  <c r="AR15"/>
  <c r="AO51"/>
  <c r="AO52"/>
  <c r="AE14"/>
  <c r="AM53"/>
  <c r="AM57" s="1"/>
  <c r="AN57" s="1"/>
  <c r="AQ16"/>
  <c r="DR51"/>
  <c r="DL15"/>
  <c r="AZ17"/>
  <c r="AV52" s="1"/>
  <c r="AV53" s="1"/>
  <c r="BA15"/>
  <c r="DK16"/>
  <c r="DK17"/>
  <c r="DG52" s="1"/>
  <c r="DI51" s="1"/>
  <c r="AZ16"/>
  <c r="CQ52"/>
  <c r="DR52"/>
  <c r="DP53"/>
  <c r="DP56" s="1"/>
  <c r="DQ56" s="1"/>
  <c r="DR57" s="1"/>
  <c r="CZ52"/>
  <c r="BW53"/>
  <c r="BY52"/>
  <c r="CH52"/>
  <c r="CF53"/>
  <c r="BN53"/>
  <c r="BE53"/>
  <c r="EA52"/>
  <c r="BY51"/>
  <c r="CO53"/>
  <c r="EH53"/>
  <c r="EJ52"/>
  <c r="BP52"/>
  <c r="BG52"/>
  <c r="DY53"/>
  <c r="EJ51"/>
  <c r="CX53"/>
  <c r="BJ15"/>
  <c r="BI16"/>
  <c r="EW37"/>
  <c r="EU15" s="1"/>
  <c r="EV15" s="1"/>
  <c r="FF37"/>
  <c r="FD15" s="1"/>
  <c r="FE15" s="1"/>
  <c r="AE16"/>
  <c r="AM56" l="1"/>
  <c r="AN56" s="1"/>
  <c r="AO57" s="1"/>
  <c r="DI52"/>
  <c r="AX51"/>
  <c r="AX52"/>
  <c r="DG53"/>
  <c r="DG56" s="1"/>
  <c r="DH56" s="1"/>
  <c r="DI57" s="1"/>
  <c r="EU17"/>
  <c r="EQ52" s="1"/>
  <c r="ES51" s="1"/>
  <c r="AE27"/>
  <c r="DP57"/>
  <c r="DQ57" s="1"/>
  <c r="EH57"/>
  <c r="EI57" s="1"/>
  <c r="EH56"/>
  <c r="EI56" s="1"/>
  <c r="EJ57" s="1"/>
  <c r="DY57"/>
  <c r="DZ57" s="1"/>
  <c r="DY56"/>
  <c r="DZ56" s="1"/>
  <c r="EA57" s="1"/>
  <c r="BE56"/>
  <c r="BF56" s="1"/>
  <c r="BG57" s="1"/>
  <c r="BE57"/>
  <c r="BF57" s="1"/>
  <c r="FD16"/>
  <c r="CX56"/>
  <c r="CY56" s="1"/>
  <c r="CZ57" s="1"/>
  <c r="CX57"/>
  <c r="CY57" s="1"/>
  <c r="CF57"/>
  <c r="CG57" s="1"/>
  <c r="CF56"/>
  <c r="CG56" s="1"/>
  <c r="CH57" s="1"/>
  <c r="BW56"/>
  <c r="BX56" s="1"/>
  <c r="BY57" s="1"/>
  <c r="BW57"/>
  <c r="BX57" s="1"/>
  <c r="CO56"/>
  <c r="CP56" s="1"/>
  <c r="CQ57" s="1"/>
  <c r="CO57"/>
  <c r="CP57" s="1"/>
  <c r="BN56"/>
  <c r="BO56" s="1"/>
  <c r="BP57" s="1"/>
  <c r="BN57"/>
  <c r="BO57" s="1"/>
  <c r="AV56"/>
  <c r="AW56" s="1"/>
  <c r="AX57" s="1"/>
  <c r="AV57"/>
  <c r="AW57" s="1"/>
  <c r="FD17"/>
  <c r="EZ52" s="1"/>
  <c r="EU16"/>
  <c r="AE26"/>
  <c r="DG57" l="1"/>
  <c r="DH57" s="1"/>
  <c r="EQ53"/>
  <c r="EQ56" s="1"/>
  <c r="ER56" s="1"/>
  <c r="ES57" s="1"/>
  <c r="ES52"/>
  <c r="FB52"/>
  <c r="FB51"/>
  <c r="EZ53"/>
  <c r="EQ57" l="1"/>
  <c r="ER57" s="1"/>
  <c r="EZ57"/>
  <c r="FA57" s="1"/>
  <c r="EZ56"/>
  <c r="FA56" s="1"/>
  <c r="FB57" s="1"/>
  <c r="EG1"/>
  <c r="EP1" s="1"/>
  <c r="EY1" s="1"/>
  <c r="EG3"/>
  <c r="EP3" s="1"/>
  <c r="EY3" s="1"/>
  <c r="EK3"/>
  <c r="ET3" s="1"/>
  <c r="FC3" s="1"/>
  <c r="EG2"/>
  <c r="EP2" s="1"/>
  <c r="EY2" s="1"/>
  <c r="AG4" l="1"/>
  <c r="AP4" s="1"/>
  <c r="J7" i="9"/>
  <c r="J8"/>
  <c r="J9"/>
  <c r="J10"/>
  <c r="J11"/>
  <c r="J12"/>
  <c r="J13"/>
  <c r="J14"/>
  <c r="J15"/>
  <c r="J16"/>
  <c r="J17"/>
  <c r="J18"/>
  <c r="J19"/>
  <c r="J20"/>
  <c r="J21"/>
  <c r="J22"/>
  <c r="J6"/>
  <c r="AY4" i="1" l="1"/>
  <c r="BH4" s="1"/>
  <c r="BQ4" s="1"/>
  <c r="BZ4" s="1"/>
  <c r="CI4" s="1"/>
  <c r="CR4" s="1"/>
  <c r="DA4" s="1"/>
  <c r="DJ4" s="1"/>
  <c r="DS4" s="1"/>
  <c r="EB4" s="1"/>
  <c r="EK4" s="1"/>
  <c r="ET4" s="1"/>
  <c r="FC4" s="1"/>
</calcChain>
</file>

<file path=xl/comments1.xml><?xml version="1.0" encoding="utf-8"?>
<comments xmlns="http://schemas.openxmlformats.org/spreadsheetml/2006/main">
  <authors>
    <author>Ana Gouveia</author>
  </authors>
  <commentList>
    <comment ref="V9" authorId="0">
      <text>
        <r>
          <rPr>
            <b/>
            <sz val="9"/>
            <color indexed="81"/>
            <rFont val="Tahoma"/>
            <family val="2"/>
          </rPr>
          <t>Ana Gouveia:</t>
        </r>
        <r>
          <rPr>
            <sz val="9"/>
            <color indexed="81"/>
            <rFont val="Tahoma"/>
            <family val="2"/>
          </rPr>
          <t xml:space="preserve">
1+5/16 on U5</t>
        </r>
      </text>
    </comment>
    <comment ref="V10" authorId="0">
      <text>
        <r>
          <rPr>
            <b/>
            <sz val="9"/>
            <color indexed="81"/>
            <rFont val="Tahoma"/>
            <family val="2"/>
          </rPr>
          <t>Ana Gouveia:</t>
        </r>
        <r>
          <rPr>
            <sz val="9"/>
            <color indexed="81"/>
            <rFont val="Tahoma"/>
            <family val="2"/>
          </rPr>
          <t xml:space="preserve">
2.25 @ L12</t>
        </r>
      </text>
    </comment>
    <comment ref="U22" authorId="0">
      <text>
        <r>
          <rPr>
            <b/>
            <sz val="9"/>
            <color indexed="81"/>
            <rFont val="Tahoma"/>
            <family val="2"/>
          </rPr>
          <t>Ana Gouveia:</t>
        </r>
        <r>
          <rPr>
            <sz val="9"/>
            <color indexed="81"/>
            <rFont val="Tahoma"/>
            <family val="2"/>
          </rPr>
          <t xml:space="preserve">
24 on u1</t>
        </r>
      </text>
    </comment>
    <comment ref="V22" authorId="0">
      <text>
        <r>
          <rPr>
            <b/>
            <sz val="9"/>
            <color indexed="81"/>
            <rFont val="Tahoma"/>
            <family val="2"/>
          </rPr>
          <t>Ana Gouveia:</t>
        </r>
        <r>
          <rPr>
            <sz val="9"/>
            <color indexed="81"/>
            <rFont val="Tahoma"/>
            <family val="2"/>
          </rPr>
          <t xml:space="preserve">
=2+5/16 @ U1</t>
        </r>
      </text>
    </comment>
    <comment ref="U46" authorId="0">
      <text>
        <r>
          <rPr>
            <b/>
            <sz val="9"/>
            <color indexed="81"/>
            <rFont val="Tahoma"/>
            <family val="2"/>
          </rPr>
          <t>Ana Gouveia:</t>
        </r>
        <r>
          <rPr>
            <sz val="9"/>
            <color indexed="81"/>
            <rFont val="Tahoma"/>
            <family val="2"/>
          </rPr>
          <t xml:space="preserve">
35 in DShear</t>
        </r>
      </text>
    </comment>
    <comment ref="V48" authorId="0">
      <text>
        <r>
          <rPr>
            <b/>
            <sz val="9"/>
            <color indexed="81"/>
            <rFont val="Tahoma"/>
            <family val="2"/>
          </rPr>
          <t>Ana Gouveia:</t>
        </r>
        <r>
          <rPr>
            <sz val="9"/>
            <color indexed="81"/>
            <rFont val="Tahoma"/>
            <family val="2"/>
          </rPr>
          <t xml:space="preserve">
Lc at L8 = 1+5/8</t>
        </r>
      </text>
    </comment>
    <comment ref="V49" authorId="0">
      <text>
        <r>
          <rPr>
            <b/>
            <sz val="9"/>
            <color indexed="81"/>
            <rFont val="Tahoma"/>
            <family val="2"/>
          </rPr>
          <t>Ana Gouveia:</t>
        </r>
        <r>
          <rPr>
            <sz val="9"/>
            <color indexed="81"/>
            <rFont val="Tahoma"/>
            <family val="2"/>
          </rPr>
          <t xml:space="preserve">
1.5 @ L8</t>
        </r>
      </text>
    </comment>
  </commentList>
</comments>
</file>

<file path=xl/sharedStrings.xml><?xml version="1.0" encoding="utf-8"?>
<sst xmlns="http://schemas.openxmlformats.org/spreadsheetml/2006/main" count="2315" uniqueCount="329">
  <si>
    <t>CLIENT</t>
  </si>
  <si>
    <t>STV Incorporated</t>
  </si>
  <si>
    <t>PROJECT</t>
  </si>
  <si>
    <t xml:space="preserve">MADE </t>
  </si>
  <si>
    <t xml:space="preserve">CHK. </t>
  </si>
  <si>
    <t>REV.</t>
  </si>
  <si>
    <t>SUBJECT</t>
  </si>
  <si>
    <t>ft</t>
  </si>
  <si>
    <t>L=</t>
  </si>
  <si>
    <t>kips</t>
  </si>
  <si>
    <t>L1</t>
  </si>
  <si>
    <t>Gusset Plates</t>
  </si>
  <si>
    <t>L2</t>
  </si>
  <si>
    <t>L3</t>
  </si>
  <si>
    <t>L4</t>
  </si>
  <si>
    <t>L5</t>
  </si>
  <si>
    <t>L6</t>
  </si>
  <si>
    <t>L7</t>
  </si>
  <si>
    <t>L8</t>
  </si>
  <si>
    <t>L0</t>
  </si>
  <si>
    <t>U1</t>
  </si>
  <si>
    <t>U2</t>
  </si>
  <si>
    <t>U3</t>
  </si>
  <si>
    <t>U4</t>
  </si>
  <si>
    <t>U5</t>
  </si>
  <si>
    <t>U6</t>
  </si>
  <si>
    <t>U7</t>
  </si>
  <si>
    <t>U8</t>
  </si>
  <si>
    <t>truss joint</t>
  </si>
  <si>
    <t>Truss DL</t>
  </si>
  <si>
    <t>Top Chord Brace</t>
  </si>
  <si>
    <t>Bottom Chord Crace</t>
  </si>
  <si>
    <t>Floor Beam</t>
  </si>
  <si>
    <t>Sidewalk Bracket</t>
  </si>
  <si>
    <t>Sidewalk connection</t>
  </si>
  <si>
    <t>Σ DL</t>
  </si>
  <si>
    <t>OLD CALCS</t>
  </si>
  <si>
    <t>Bracing</t>
  </si>
  <si>
    <t>Floor Beams</t>
  </si>
  <si>
    <t>Wearing Surface</t>
  </si>
  <si>
    <t>Member</t>
  </si>
  <si>
    <t>L9</t>
  </si>
  <si>
    <t>L10</t>
  </si>
  <si>
    <t>L11</t>
  </si>
  <si>
    <t>L12</t>
  </si>
  <si>
    <t>Ref.</t>
  </si>
  <si>
    <t>U1L2</t>
  </si>
  <si>
    <t>L2U3</t>
  </si>
  <si>
    <t>U3L4</t>
  </si>
  <si>
    <t>L4U5</t>
  </si>
  <si>
    <t>U5L6</t>
  </si>
  <si>
    <t>L6U7</t>
  </si>
  <si>
    <t>U7L8</t>
  </si>
  <si>
    <t>L8U9</t>
  </si>
  <si>
    <t>U9L10</t>
  </si>
  <si>
    <t>L10U11</t>
  </si>
  <si>
    <t>U11L12</t>
  </si>
  <si>
    <t>U7U8</t>
  </si>
  <si>
    <t>Gusset Members</t>
  </si>
  <si>
    <t>X</t>
  </si>
  <si>
    <t>Y</t>
  </si>
  <si>
    <t>DL</t>
  </si>
  <si>
    <t>LL</t>
  </si>
  <si>
    <t>PL</t>
  </si>
  <si>
    <t>Orient.</t>
  </si>
  <si>
    <t>Section</t>
  </si>
  <si>
    <t>S1</t>
  </si>
  <si>
    <t>U0U1</t>
  </si>
  <si>
    <t>U1U2</t>
  </si>
  <si>
    <t>U2U3</t>
  </si>
  <si>
    <t>U3U4</t>
  </si>
  <si>
    <t>U4U5</t>
  </si>
  <si>
    <t>U5U6</t>
  </si>
  <si>
    <t>U6U7</t>
  </si>
  <si>
    <t>U8U9</t>
  </si>
  <si>
    <t>U9U10</t>
  </si>
  <si>
    <t>U10U11</t>
  </si>
  <si>
    <t>U11U12</t>
  </si>
  <si>
    <t>L0L1</t>
  </si>
  <si>
    <t>L1L2</t>
  </si>
  <si>
    <t>L2L3</t>
  </si>
  <si>
    <t>L3L4</t>
  </si>
  <si>
    <t>L4L5</t>
  </si>
  <si>
    <t>L5L6</t>
  </si>
  <si>
    <t>L6L7</t>
  </si>
  <si>
    <t>L7L8</t>
  </si>
  <si>
    <t>L8L9</t>
  </si>
  <si>
    <t>L9L10</t>
  </si>
  <si>
    <t>L10L11</t>
  </si>
  <si>
    <t>L11L12</t>
  </si>
  <si>
    <t>L0U1</t>
  </si>
  <si>
    <t>U0L0</t>
  </si>
  <si>
    <t>U1L1</t>
  </si>
  <si>
    <t>U2L2</t>
  </si>
  <si>
    <t>U3L3</t>
  </si>
  <si>
    <t>U4L4</t>
  </si>
  <si>
    <t>U5L5</t>
  </si>
  <si>
    <t>U6L6</t>
  </si>
  <si>
    <t>U7L7</t>
  </si>
  <si>
    <t>U8L8</t>
  </si>
  <si>
    <t>U9L9</t>
  </si>
  <si>
    <t>U10L10</t>
  </si>
  <si>
    <t>U11L11</t>
  </si>
  <si>
    <t>U12L12</t>
  </si>
  <si>
    <t>U0</t>
  </si>
  <si>
    <t>U9</t>
  </si>
  <si>
    <t>U10</t>
  </si>
  <si>
    <t>U11</t>
  </si>
  <si>
    <t>U12</t>
  </si>
  <si>
    <t>UH</t>
  </si>
  <si>
    <t>LH</t>
  </si>
  <si>
    <t>S2</t>
  </si>
  <si>
    <t>S3</t>
  </si>
  <si>
    <t>S4</t>
  </si>
  <si>
    <t>S5</t>
  </si>
  <si>
    <t>S7</t>
  </si>
  <si>
    <t>S6</t>
  </si>
  <si>
    <t>S8</t>
  </si>
  <si>
    <t>S9</t>
  </si>
  <si>
    <t>S10</t>
  </si>
  <si>
    <t>S11</t>
  </si>
  <si>
    <t>Gusset Member Section Summary</t>
  </si>
  <si>
    <t>Section:</t>
  </si>
  <si>
    <t>S12</t>
  </si>
  <si>
    <t>S13</t>
  </si>
  <si>
    <t>S14</t>
  </si>
  <si>
    <t>Ax</t>
  </si>
  <si>
    <t>Iy</t>
  </si>
  <si>
    <t>Ix</t>
  </si>
  <si>
    <t>Width, w</t>
  </si>
  <si>
    <t>Depth, d</t>
  </si>
  <si>
    <t>in2</t>
  </si>
  <si>
    <t>in4</t>
  </si>
  <si>
    <t>in</t>
  </si>
  <si>
    <t>J</t>
  </si>
  <si>
    <t>wf =</t>
  </si>
  <si>
    <r>
      <t>p</t>
    </r>
    <r>
      <rPr>
        <b/>
        <vertAlign val="subscript"/>
        <sz val="11"/>
        <color indexed="8"/>
        <rFont val="Calibri"/>
        <family val="2"/>
      </rPr>
      <t>bar</t>
    </r>
  </si>
  <si>
    <t>tf =</t>
  </si>
  <si>
    <t>I</t>
  </si>
  <si>
    <t>tw=</t>
  </si>
  <si>
    <t>S</t>
  </si>
  <si>
    <t>wh=</t>
  </si>
  <si>
    <t>r</t>
  </si>
  <si>
    <t>d =</t>
  </si>
  <si>
    <t>Base</t>
  </si>
  <si>
    <t>Height</t>
  </si>
  <si>
    <t>Area</t>
  </si>
  <si>
    <r>
      <t>y</t>
    </r>
    <r>
      <rPr>
        <b/>
        <vertAlign val="subscript"/>
        <sz val="11"/>
        <color indexed="8"/>
        <rFont val="Calibri"/>
        <family val="2"/>
      </rPr>
      <t>bar</t>
    </r>
  </si>
  <si>
    <t>Ay</t>
  </si>
  <si>
    <r>
      <t>Ad</t>
    </r>
    <r>
      <rPr>
        <b/>
        <vertAlign val="superscript"/>
        <sz val="11"/>
        <color indexed="8"/>
        <rFont val="Calibri"/>
        <family val="2"/>
      </rPr>
      <t>2</t>
    </r>
  </si>
  <si>
    <t>Io</t>
  </si>
  <si>
    <t>in3</t>
  </si>
  <si>
    <t>Top</t>
  </si>
  <si>
    <t>Web</t>
  </si>
  <si>
    <t>Bottom</t>
  </si>
  <si>
    <t>S =</t>
  </si>
  <si>
    <r>
      <t>x</t>
    </r>
    <r>
      <rPr>
        <b/>
        <vertAlign val="subscript"/>
        <sz val="11"/>
        <color indexed="8"/>
        <rFont val="Calibri"/>
        <family val="2"/>
      </rPr>
      <t>bar</t>
    </r>
  </si>
  <si>
    <t>Gusset Member</t>
  </si>
  <si>
    <t>Left</t>
  </si>
  <si>
    <t>Right</t>
  </si>
  <si>
    <t>Top Chord Section</t>
  </si>
  <si>
    <t>Bottom Chord Section</t>
  </si>
  <si>
    <t>Diagonal</t>
  </si>
  <si>
    <t>Vertical</t>
  </si>
  <si>
    <t>D</t>
  </si>
  <si>
    <t>V</t>
  </si>
  <si>
    <t>Gusset Plates loading were obtained by determining the loads on the bridge. Below see a summary of Gusset Points, X and Y values and loads as determined:</t>
  </si>
  <si>
    <t>Gusset</t>
  </si>
  <si>
    <t>A summary of the different gusset member section properties is found on the table below:</t>
  </si>
  <si>
    <t>Truss Gusset Plates</t>
  </si>
  <si>
    <t>Member Capacity:</t>
  </si>
  <si>
    <t>TL</t>
  </si>
  <si>
    <t>The relationship on the tables below are used on the truss file in order to match members to respective sections. Section Properties for the different members is obtained on subsequent pages. Loading values are obtained from STAAD.Pro file.</t>
  </si>
  <si>
    <r>
      <rPr>
        <u/>
        <sz val="11"/>
        <color theme="1"/>
        <rFont val="Calibri"/>
        <family val="2"/>
        <scheme val="minor"/>
      </rPr>
      <t>Note:</t>
    </r>
    <r>
      <rPr>
        <sz val="11"/>
        <color theme="1"/>
        <rFont val="Calibri"/>
        <family val="2"/>
        <scheme val="minor"/>
      </rPr>
      <t xml:space="preserve"> The negative sign from the STAAD.Pro Output represents a tensile force.</t>
    </r>
  </si>
  <si>
    <t>ok</t>
  </si>
  <si>
    <t>+</t>
  </si>
  <si>
    <t>±</t>
  </si>
  <si>
    <r>
      <rPr>
        <u/>
        <sz val="11"/>
        <color theme="1"/>
        <rFont val="Calibri"/>
        <family val="2"/>
        <scheme val="minor"/>
      </rPr>
      <t>Note:</t>
    </r>
    <r>
      <rPr>
        <sz val="11"/>
        <color theme="1"/>
        <rFont val="Calibri"/>
        <family val="2"/>
        <scheme val="minor"/>
      </rPr>
      <t xml:space="preserve"> These loads are all directed downwards (-)</t>
    </r>
  </si>
  <si>
    <t>Capacity Check Information:</t>
  </si>
  <si>
    <t>Yield Stress</t>
  </si>
  <si>
    <t>Ultimate</t>
  </si>
  <si>
    <t>Fy, ksi</t>
  </si>
  <si>
    <t>Fu, ksi</t>
  </si>
  <si>
    <t>Inventory</t>
  </si>
  <si>
    <t>Tension Capacity</t>
  </si>
  <si>
    <t>Compression Capacity</t>
  </si>
  <si>
    <t>Cc =</t>
  </si>
  <si>
    <t>Stress</t>
  </si>
  <si>
    <t>Ag =</t>
  </si>
  <si>
    <t>An =</t>
  </si>
  <si>
    <t>Area Check</t>
  </si>
  <si>
    <t>An / Ag&gt; 0.85 ?</t>
  </si>
  <si>
    <t>No bolts</t>
  </si>
  <si>
    <t>Yielding</t>
  </si>
  <si>
    <t>Fracture</t>
  </si>
  <si>
    <r>
      <t>P</t>
    </r>
    <r>
      <rPr>
        <vertAlign val="subscript"/>
        <sz val="11"/>
        <color theme="1"/>
        <rFont val="Calibri"/>
        <family val="2"/>
        <scheme val="minor"/>
      </rPr>
      <t xml:space="preserve">opr </t>
    </r>
    <r>
      <rPr>
        <sz val="11"/>
        <color theme="1"/>
        <rFont val="Calibri"/>
        <family val="2"/>
        <scheme val="minor"/>
      </rPr>
      <t>=</t>
    </r>
  </si>
  <si>
    <r>
      <t>P</t>
    </r>
    <r>
      <rPr>
        <b/>
        <vertAlign val="subscript"/>
        <sz val="11"/>
        <color theme="1"/>
        <rFont val="Calibri"/>
        <family val="2"/>
        <scheme val="minor"/>
      </rPr>
      <t>inv</t>
    </r>
    <r>
      <rPr>
        <b/>
        <sz val="11"/>
        <color theme="1"/>
        <rFont val="Calibri"/>
        <family val="2"/>
        <scheme val="minor"/>
      </rPr>
      <t xml:space="preserve"> =</t>
    </r>
  </si>
  <si>
    <t>kip</t>
  </si>
  <si>
    <t>Tensile Capacity</t>
  </si>
  <si>
    <t>Compressive Capacity</t>
  </si>
  <si>
    <t>KL/r &lt; Cc ?</t>
  </si>
  <si>
    <t>K =</t>
  </si>
  <si>
    <t>KL/r &lt; min ?</t>
  </si>
  <si>
    <t>Fa, ksi</t>
  </si>
  <si>
    <t>Pa, kip</t>
  </si>
  <si>
    <r>
      <t>KL/r</t>
    </r>
    <r>
      <rPr>
        <vertAlign val="subscript"/>
        <sz val="11"/>
        <color theme="1"/>
        <rFont val="Calibri"/>
        <family val="2"/>
        <scheme val="minor"/>
      </rPr>
      <t xml:space="preserve">x </t>
    </r>
    <r>
      <rPr>
        <sz val="11"/>
        <color theme="1"/>
        <rFont val="Calibri"/>
        <family val="2"/>
        <scheme val="minor"/>
      </rPr>
      <t>=</t>
    </r>
  </si>
  <si>
    <r>
      <t>KL/r</t>
    </r>
    <r>
      <rPr>
        <vertAlign val="subscript"/>
        <sz val="11"/>
        <color theme="1"/>
        <rFont val="Calibri"/>
        <family val="2"/>
        <scheme val="minor"/>
      </rPr>
      <t xml:space="preserve">y </t>
    </r>
    <r>
      <rPr>
        <sz val="11"/>
        <color theme="1"/>
        <rFont val="Calibri"/>
        <family val="2"/>
        <scheme val="minor"/>
      </rPr>
      <t>=</t>
    </r>
  </si>
  <si>
    <t>Force Check</t>
  </si>
  <si>
    <t>Dead Load From Staad</t>
  </si>
  <si>
    <t>The following values are used in order to determine the capacity of the truss members:</t>
  </si>
  <si>
    <t>MAX</t>
  </si>
  <si>
    <t>MIN</t>
  </si>
  <si>
    <t>Length</t>
  </si>
  <si>
    <t>Wf</t>
  </si>
  <si>
    <t>Tf</t>
  </si>
  <si>
    <t>Tw</t>
  </si>
  <si>
    <t>Hw</t>
  </si>
  <si>
    <t>A</t>
  </si>
  <si>
    <t>W</t>
  </si>
  <si>
    <t>Sx</t>
  </si>
  <si>
    <t>rx</t>
  </si>
  <si>
    <t>Sy</t>
  </si>
  <si>
    <t>ry</t>
  </si>
  <si>
    <t>DX</t>
  </si>
  <si>
    <t>Gusset2</t>
  </si>
  <si>
    <t>x</t>
  </si>
  <si>
    <t>y</t>
  </si>
  <si>
    <t>Upper Pts</t>
  </si>
  <si>
    <t>DY</t>
  </si>
  <si>
    <t>L1-L2</t>
  </si>
  <si>
    <t>L0-L1</t>
  </si>
  <si>
    <t>U5-L6</t>
  </si>
  <si>
    <t>L6-U7</t>
  </si>
  <si>
    <t>U1-L2</t>
  </si>
  <si>
    <t>L2-U3</t>
  </si>
  <si>
    <t>U3-L4</t>
  </si>
  <si>
    <t>L4-U5</t>
  </si>
  <si>
    <t>U11-L12</t>
  </si>
  <si>
    <t>U9-L10</t>
  </si>
  <si>
    <t>U12-L12</t>
  </si>
  <si>
    <t>U11-L11</t>
  </si>
  <si>
    <t>U10-L10</t>
  </si>
  <si>
    <t>U8-L8</t>
  </si>
  <si>
    <t>U0-L0</t>
  </si>
  <si>
    <t>U7-L7</t>
  </si>
  <si>
    <t>U6-L6</t>
  </si>
  <si>
    <t>U2-L2</t>
  </si>
  <si>
    <t>U4-L4</t>
  </si>
  <si>
    <t>U9-L9</t>
  </si>
  <si>
    <t>U1-L1</t>
  </si>
  <si>
    <t>U5-L5</t>
  </si>
  <si>
    <t>U3-L3</t>
  </si>
  <si>
    <t>L4-L5</t>
  </si>
  <si>
    <t>L5-L6</t>
  </si>
  <si>
    <t>L2-L3</t>
  </si>
  <si>
    <t>L3-L4</t>
  </si>
  <si>
    <t>L8-L9</t>
  </si>
  <si>
    <t>L9-L10</t>
  </si>
  <si>
    <t>L6-L7</t>
  </si>
  <si>
    <t>L7-L8</t>
  </si>
  <si>
    <t>L10-L11</t>
  </si>
  <si>
    <t>L11-L12</t>
  </si>
  <si>
    <t>U7-U8</t>
  </si>
  <si>
    <t>U8-U9</t>
  </si>
  <si>
    <t>U0-U1</t>
  </si>
  <si>
    <t>U1-U2</t>
  </si>
  <si>
    <t>U2-U3</t>
  </si>
  <si>
    <t>U5-U6</t>
  </si>
  <si>
    <t>U6-U7</t>
  </si>
  <si>
    <t>U3-U4</t>
  </si>
  <si>
    <t>U4-U5</t>
  </si>
  <si>
    <t>U9-U10</t>
  </si>
  <si>
    <t>U10-U11</t>
  </si>
  <si>
    <t>U11-U12</t>
  </si>
  <si>
    <t>L10-U11</t>
  </si>
  <si>
    <t>U7-L8</t>
  </si>
  <si>
    <t>L8-U9</t>
  </si>
  <si>
    <t>L0-U1</t>
  </si>
  <si>
    <t>#Bolts</t>
  </si>
  <si>
    <t>Lc</t>
  </si>
  <si>
    <t>Figure 31.</t>
  </si>
  <si>
    <t>Figure 32.</t>
  </si>
  <si>
    <t>Figure 33.</t>
  </si>
  <si>
    <t>Figure 34.</t>
  </si>
  <si>
    <t>Figure 35.</t>
  </si>
  <si>
    <t>Figure 36.</t>
  </si>
  <si>
    <t>Figure 37.</t>
  </si>
  <si>
    <t>Figure 38.</t>
  </si>
  <si>
    <t>Figure 39.</t>
  </si>
  <si>
    <t>Figure 40.</t>
  </si>
  <si>
    <t>Figure 41.</t>
  </si>
  <si>
    <t>Figure 42.</t>
  </si>
  <si>
    <t>Figure 43.</t>
  </si>
  <si>
    <t>Figure 44.</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</si>
  <si>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</si>
  <si>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</si>
  <si>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</si>
  <si>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</si>
  <si>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</si>
  <si>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</si>
  <si>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</si>
  <si>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</si>
  <si>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</si>
  <si>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</si>
  <si>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</si>
  <si>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</si>
  <si>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</si>
  <si>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</si>
  <si>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</si>
  <si>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</si>
  <si>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</si>
  <si>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</si>
  <si>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</si>
  <si>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Table 28.</t>
  </si>
  <si>
    <t>Table 29.</t>
  </si>
  <si>
    <t>Table 30.</t>
  </si>
  <si>
    <t>Table 31.</t>
  </si>
  <si>
    <t>Table 32.</t>
  </si>
  <si>
    <t>Table 33.</t>
  </si>
  <si>
    <t>Table 34.</t>
  </si>
  <si>
    <t>Table 35.</t>
  </si>
  <si>
    <t>Table 36.</t>
  </si>
  <si>
    <t>MassDOT</t>
  </si>
  <si>
    <t>Operating</t>
  </si>
  <si>
    <t>hole width =</t>
  </si>
  <si>
    <t>KL/r max =</t>
  </si>
  <si>
    <t>Built-up shape properties determination about X-axis for section on Figure X:</t>
  </si>
  <si>
    <t>Built-up shape properties determination about Y-axis for section on Figure X:</t>
  </si>
  <si>
    <t>MBE Table 6B.5.2.1-1</t>
  </si>
</sst>
</file>

<file path=xl/styles.xml><?xml version="1.0" encoding="utf-8"?>
<styleSheet xmlns="http://schemas.openxmlformats.org/spreadsheetml/2006/main">
  <numFmts count="3">
    <numFmt numFmtId="164" formatCode="0.000"/>
    <numFmt numFmtId="165" formatCode="0.0"/>
    <numFmt numFmtId="166" formatCode="&quot;SHT #&quot;\ 0\ &quot;/18&quot;"/>
  </numFmts>
  <fonts count="30">
    <font>
      <sz val="11"/>
      <color theme="1"/>
      <name val="Calibri"/>
      <family val="2"/>
      <scheme val="minor"/>
    </font>
    <font>
      <sz val="11"/>
      <color theme="1"/>
      <name val="Times New Roman"/>
      <family val="1"/>
    </font>
    <font>
      <b/>
      <sz val="16"/>
      <color theme="0"/>
      <name val="Times New Roman"/>
      <family val="1"/>
    </font>
    <font>
      <sz val="10"/>
      <name val="MS Sans Serif"/>
      <family val="2"/>
    </font>
    <font>
      <b/>
      <sz val="12"/>
      <color indexed="12"/>
      <name val="Times New Roman"/>
      <family val="1"/>
    </font>
    <font>
      <sz val="11"/>
      <color theme="1"/>
      <name val="Verdana"/>
      <family val="2"/>
    </font>
    <font>
      <sz val="10"/>
      <color theme="1"/>
      <name val="Calibri"/>
      <family val="2"/>
      <scheme val="minor"/>
    </font>
    <font>
      <sz val="11"/>
      <color theme="1"/>
      <name val="Calibri"/>
      <family val="2"/>
    </font>
    <font>
      <b/>
      <sz val="11"/>
      <color theme="1"/>
      <name val="Calibri"/>
      <family val="2"/>
      <scheme val="minor"/>
    </font>
    <font>
      <sz val="11"/>
      <name val="Calibri"/>
      <family val="2"/>
      <scheme val="minor"/>
    </font>
    <font>
      <i/>
      <sz val="11"/>
      <name val="Calibri"/>
      <family val="2"/>
      <scheme val="minor"/>
    </font>
    <font>
      <u/>
      <sz val="11"/>
      <color theme="1"/>
      <name val="Calibri"/>
      <family val="2"/>
      <scheme val="minor"/>
    </font>
    <font>
      <b/>
      <i/>
      <sz val="11"/>
      <color theme="1"/>
      <name val="Calibri"/>
      <family val="2"/>
      <scheme val="minor"/>
    </font>
    <font>
      <i/>
      <sz val="11"/>
      <color theme="1"/>
      <name val="Calibri"/>
      <family val="2"/>
      <scheme val="minor"/>
    </font>
    <font>
      <b/>
      <vertAlign val="subscript"/>
      <sz val="11"/>
      <color indexed="8"/>
      <name val="Calibri"/>
      <family val="2"/>
    </font>
    <font>
      <b/>
      <vertAlign val="superscript"/>
      <sz val="11"/>
      <color indexed="8"/>
      <name val="Calibri"/>
      <family val="2"/>
    </font>
    <font>
      <b/>
      <sz val="11"/>
      <color theme="1"/>
      <name val="Verdana"/>
      <family val="2"/>
    </font>
    <font>
      <b/>
      <sz val="10"/>
      <color theme="1"/>
      <name val="Calibri"/>
      <family val="2"/>
      <scheme val="minor"/>
    </font>
    <font>
      <i/>
      <sz val="10"/>
      <color theme="1"/>
      <name val="Calibri"/>
      <family val="2"/>
      <scheme val="minor"/>
    </font>
    <font>
      <b/>
      <sz val="11"/>
      <name val="Calibri"/>
      <family val="2"/>
      <scheme val="minor"/>
    </font>
    <font>
      <b/>
      <sz val="11"/>
      <color theme="1"/>
      <name val="Symbol"/>
      <family val="1"/>
      <charset val="2"/>
    </font>
    <font>
      <b/>
      <u/>
      <sz val="11"/>
      <color theme="5" tint="-0.249977111117893"/>
      <name val="Calibri"/>
      <family val="2"/>
      <scheme val="minor"/>
    </font>
    <font>
      <sz val="10"/>
      <name val="Arial"/>
      <family val="2"/>
    </font>
    <font>
      <b/>
      <u/>
      <sz val="11"/>
      <color theme="1"/>
      <name val="Calibri"/>
      <family val="2"/>
      <scheme val="minor"/>
    </font>
    <font>
      <sz val="11"/>
      <color theme="0" tint="-0.249977111117893"/>
      <name val="Verdana"/>
      <family val="2"/>
    </font>
    <font>
      <vertAlign val="subscript"/>
      <sz val="11"/>
      <color theme="1"/>
      <name val="Calibri"/>
      <family val="2"/>
      <scheme val="minor"/>
    </font>
    <font>
      <b/>
      <vertAlign val="subscript"/>
      <sz val="11"/>
      <color theme="1"/>
      <name val="Calibri"/>
      <family val="2"/>
      <scheme val="minor"/>
    </font>
    <font>
      <b/>
      <i/>
      <u/>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1"/>
        <bgColor indexed="64"/>
      </patternFill>
    </fill>
    <fill>
      <patternFill patternType="gray0625"/>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auto="1"/>
      </left>
      <right style="thin">
        <color indexed="64"/>
      </right>
      <top/>
      <bottom style="thin">
        <color indexed="64"/>
      </bottom>
      <diagonal/>
    </border>
    <border>
      <left style="thin">
        <color indexed="64"/>
      </left>
      <right style="double">
        <color auto="1"/>
      </right>
      <top/>
      <bottom style="thin">
        <color indexed="64"/>
      </bottom>
      <diagonal/>
    </border>
    <border>
      <left style="double">
        <color auto="1"/>
      </left>
      <right style="thin">
        <color indexed="64"/>
      </right>
      <top style="thin">
        <color indexed="64"/>
      </top>
      <bottom style="thin">
        <color indexed="64"/>
      </bottom>
      <diagonal/>
    </border>
    <border>
      <left style="thin">
        <color indexed="64"/>
      </left>
      <right style="double">
        <color auto="1"/>
      </right>
      <top style="thin">
        <color indexed="64"/>
      </top>
      <bottom style="thin">
        <color indexed="64"/>
      </bottom>
      <diagonal/>
    </border>
    <border>
      <left style="double">
        <color auto="1"/>
      </left>
      <right style="thin">
        <color indexed="64"/>
      </right>
      <top style="thin">
        <color indexed="64"/>
      </top>
      <bottom style="double">
        <color auto="1"/>
      </bottom>
      <diagonal/>
    </border>
    <border>
      <left style="thin">
        <color indexed="64"/>
      </left>
      <right style="thin">
        <color indexed="64"/>
      </right>
      <top style="thin">
        <color indexed="64"/>
      </top>
      <bottom style="double">
        <color auto="1"/>
      </bottom>
      <diagonal/>
    </border>
    <border>
      <left style="thin">
        <color indexed="64"/>
      </left>
      <right style="double">
        <color auto="1"/>
      </right>
      <top style="thin">
        <color indexed="64"/>
      </top>
      <bottom style="double">
        <color auto="1"/>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7">
    <xf numFmtId="0" fontId="0" fillId="0" borderId="0"/>
    <xf numFmtId="0" fontId="3" fillId="0" borderId="0"/>
    <xf numFmtId="0" fontId="4" fillId="3" borderId="0">
      <protection locked="0"/>
    </xf>
    <xf numFmtId="0" fontId="3" fillId="0" borderId="0"/>
    <xf numFmtId="0" fontId="22" fillId="0" borderId="0"/>
    <xf numFmtId="0" fontId="3" fillId="0" borderId="0"/>
    <xf numFmtId="0" fontId="22" fillId="0" borderId="0"/>
  </cellStyleXfs>
  <cellXfs count="269">
    <xf numFmtId="0" fontId="0" fillId="0" borderId="0" xfId="0"/>
    <xf numFmtId="2" fontId="0" fillId="0" borderId="0" xfId="0" applyNumberFormat="1"/>
    <xf numFmtId="0" fontId="1" fillId="0" borderId="1" xfId="0" applyFont="1" applyBorder="1"/>
    <xf numFmtId="0" fontId="2" fillId="2" borderId="2" xfId="0" applyFont="1" applyFill="1" applyBorder="1" applyAlignment="1"/>
    <xf numFmtId="0" fontId="2" fillId="2" borderId="3" xfId="0" applyFont="1" applyFill="1" applyBorder="1" applyAlignment="1"/>
    <xf numFmtId="0" fontId="2" fillId="2" borderId="4" xfId="0" applyFont="1" applyFill="1" applyBorder="1" applyAlignment="1"/>
    <xf numFmtId="0" fontId="5" fillId="0" borderId="0" xfId="0" applyFont="1"/>
    <xf numFmtId="0" fontId="6" fillId="0" borderId="0" xfId="0" applyFont="1"/>
    <xf numFmtId="2" fontId="6" fillId="0" borderId="0" xfId="0" applyNumberFormat="1" applyFont="1"/>
    <xf numFmtId="0" fontId="0" fillId="0" borderId="0" xfId="0" applyAlignment="1">
      <alignment textRotation="90"/>
    </xf>
    <xf numFmtId="0" fontId="0" fillId="0" borderId="0" xfId="0" applyAlignment="1"/>
    <xf numFmtId="0" fontId="0" fillId="0" borderId="12" xfId="0" applyBorder="1" applyAlignment="1">
      <alignment horizontal="center" textRotation="90"/>
    </xf>
    <xf numFmtId="0" fontId="0" fillId="0" borderId="1" xfId="0" applyBorder="1" applyAlignment="1">
      <alignment horizontal="center"/>
    </xf>
    <xf numFmtId="165" fontId="0" fillId="0" borderId="1" xfId="0" applyNumberFormat="1" applyBorder="1" applyAlignment="1">
      <alignment horizontal="center"/>
    </xf>
    <xf numFmtId="0" fontId="0" fillId="0" borderId="13" xfId="0" applyBorder="1" applyAlignment="1">
      <alignment horizontal="center" textRotation="90"/>
    </xf>
    <xf numFmtId="0" fontId="7" fillId="0" borderId="14" xfId="0" applyFont="1" applyBorder="1" applyAlignment="1">
      <alignment horizontal="center" textRotation="90"/>
    </xf>
    <xf numFmtId="0" fontId="0" fillId="0" borderId="15" xfId="0" applyBorder="1" applyAlignment="1">
      <alignment horizontal="center"/>
    </xf>
    <xf numFmtId="0" fontId="0" fillId="0" borderId="16" xfId="0" applyBorder="1" applyAlignment="1">
      <alignment horizontal="center"/>
    </xf>
    <xf numFmtId="165" fontId="0" fillId="0" borderId="16" xfId="0" applyNumberFormat="1" applyBorder="1" applyAlignment="1">
      <alignment horizontal="center"/>
    </xf>
    <xf numFmtId="0" fontId="0" fillId="0" borderId="17" xfId="0" applyBorder="1" applyAlignment="1">
      <alignment horizontal="center"/>
    </xf>
    <xf numFmtId="165" fontId="0" fillId="0" borderId="18" xfId="0" applyNumberFormat="1" applyBorder="1" applyAlignment="1">
      <alignment horizontal="center"/>
    </xf>
    <xf numFmtId="0" fontId="0" fillId="0" borderId="18" xfId="0" applyBorder="1" applyAlignment="1">
      <alignment horizontal="center"/>
    </xf>
    <xf numFmtId="165" fontId="0" fillId="0" borderId="19" xfId="0" applyNumberFormat="1" applyBorder="1" applyAlignment="1">
      <alignment horizontal="center"/>
    </xf>
    <xf numFmtId="0" fontId="0" fillId="0" borderId="0" xfId="0" applyFont="1"/>
    <xf numFmtId="0" fontId="9" fillId="0" borderId="0" xfId="0" applyFont="1" applyFill="1" applyBorder="1"/>
    <xf numFmtId="0" fontId="9" fillId="0" borderId="0" xfId="0" applyFont="1" applyFill="1" applyBorder="1" applyAlignment="1"/>
    <xf numFmtId="0" fontId="10" fillId="0" borderId="0" xfId="0" applyFont="1" applyFill="1" applyBorder="1" applyAlignment="1">
      <alignment horizontal="center"/>
    </xf>
    <xf numFmtId="0" fontId="0" fillId="0" borderId="0" xfId="0" applyFont="1" applyBorder="1" applyAlignment="1"/>
    <xf numFmtId="0" fontId="11" fillId="0" borderId="0" xfId="0" applyFont="1" applyAlignment="1">
      <alignment horizontal="center"/>
    </xf>
    <xf numFmtId="0" fontId="5" fillId="0" borderId="0" xfId="0" applyFont="1" applyAlignment="1">
      <alignment horizont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6" fillId="0" borderId="0" xfId="0" applyFont="1"/>
    <xf numFmtId="0" fontId="10" fillId="0" borderId="6" xfId="0" applyFont="1" applyFill="1" applyBorder="1"/>
    <xf numFmtId="0" fontId="6" fillId="0" borderId="0" xfId="0" applyFont="1" applyAlignment="1">
      <alignment horizontal="center" vertical="center"/>
    </xf>
    <xf numFmtId="0" fontId="10" fillId="0" borderId="0" xfId="0" applyFont="1" applyFill="1" applyBorder="1"/>
    <xf numFmtId="0" fontId="0" fillId="0" borderId="0" xfId="0" applyFont="1" applyAlignment="1">
      <alignment horizontal="center" vertical="center"/>
    </xf>
    <xf numFmtId="0" fontId="19" fillId="0" borderId="0" xfId="0" applyFont="1" applyFill="1" applyBorder="1" applyAlignment="1">
      <alignment horizontal="center"/>
    </xf>
    <xf numFmtId="0" fontId="0" fillId="0" borderId="0" xfId="0"/>
    <xf numFmtId="0" fontId="0" fillId="0" borderId="0" xfId="0" applyAlignment="1">
      <alignment horizontal="center"/>
    </xf>
    <xf numFmtId="2" fontId="0" fillId="0" borderId="0" xfId="0" applyNumberFormat="1"/>
    <xf numFmtId="0" fontId="0" fillId="0" borderId="0" xfId="0" applyBorder="1" applyAlignment="1">
      <alignment horizontal="center"/>
    </xf>
    <xf numFmtId="2" fontId="0" fillId="0" borderId="0" xfId="0" applyNumberFormat="1" applyBorder="1" applyAlignment="1">
      <alignment horizontal="center"/>
    </xf>
    <xf numFmtId="2" fontId="0" fillId="0" borderId="23" xfId="0" applyNumberFormat="1" applyBorder="1" applyAlignment="1">
      <alignment horizontal="center"/>
    </xf>
    <xf numFmtId="0" fontId="0" fillId="0" borderId="6" xfId="0"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0" fontId="20" fillId="0" borderId="2" xfId="0" applyFont="1" applyBorder="1" applyAlignment="1">
      <alignment horizontal="center"/>
    </xf>
    <xf numFmtId="0" fontId="13" fillId="0" borderId="3" xfId="0" applyFont="1" applyBorder="1" applyAlignment="1">
      <alignment horizontal="center"/>
    </xf>
    <xf numFmtId="2" fontId="0" fillId="0" borderId="3" xfId="0" applyNumberFormat="1" applyBorder="1" applyAlignment="1">
      <alignment horizontal="center"/>
    </xf>
    <xf numFmtId="2" fontId="13" fillId="0" borderId="3" xfId="0" applyNumberFormat="1" applyFont="1" applyBorder="1" applyAlignment="1">
      <alignment horizontal="center"/>
    </xf>
    <xf numFmtId="2" fontId="0" fillId="0" borderId="4" xfId="0" applyNumberFormat="1" applyBorder="1" applyAlignment="1">
      <alignment horizontal="center"/>
    </xf>
    <xf numFmtId="2" fontId="0" fillId="0" borderId="1" xfId="0" applyNumberFormat="1" applyBorder="1" applyAlignment="1">
      <alignment horizontal="center"/>
    </xf>
    <xf numFmtId="0" fontId="12" fillId="0" borderId="0" xfId="0" applyFont="1"/>
    <xf numFmtId="0" fontId="1" fillId="0" borderId="1" xfId="0" applyFont="1" applyBorder="1"/>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164" fontId="0" fillId="0" borderId="0" xfId="0" applyNumberFormat="1" applyBorder="1" applyAlignment="1">
      <alignment horizontal="center"/>
    </xf>
    <xf numFmtId="164" fontId="0" fillId="0" borderId="6" xfId="0" applyNumberFormat="1" applyBorder="1" applyAlignment="1">
      <alignment horizontal="center"/>
    </xf>
    <xf numFmtId="0" fontId="8" fillId="0" borderId="0" xfId="0" applyFont="1" applyAlignment="1">
      <alignment horizontal="center"/>
    </xf>
    <xf numFmtId="0" fontId="0" fillId="0" borderId="23" xfId="0" applyBorder="1" applyAlignment="1">
      <alignment horizontal="center"/>
    </xf>
    <xf numFmtId="0" fontId="0" fillId="0" borderId="0" xfId="0" applyAlignment="1">
      <alignment horizontal="center" vertical="center"/>
    </xf>
    <xf numFmtId="0" fontId="8" fillId="0" borderId="0" xfId="0" applyFont="1" applyAlignment="1">
      <alignment horizontal="center" vertical="center"/>
    </xf>
    <xf numFmtId="0" fontId="18" fillId="0" borderId="0" xfId="0" applyFont="1"/>
    <xf numFmtId="0" fontId="0" fillId="0" borderId="7" xfId="0" applyBorder="1" applyAlignment="1">
      <alignment horizontal="center"/>
    </xf>
    <xf numFmtId="0" fontId="8" fillId="4" borderId="11" xfId="0" applyFont="1" applyFill="1" applyBorder="1"/>
    <xf numFmtId="0" fontId="8" fillId="4" borderId="25" xfId="0" applyFont="1" applyFill="1" applyBorder="1"/>
    <xf numFmtId="0" fontId="8" fillId="4" borderId="12" xfId="0" applyFont="1" applyFill="1" applyBorder="1"/>
    <xf numFmtId="0" fontId="8" fillId="4" borderId="8"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9" xfId="0" applyFont="1" applyFill="1" applyBorder="1" applyAlignment="1">
      <alignment horizontal="center" vertical="center"/>
    </xf>
    <xf numFmtId="0" fontId="18" fillId="4" borderId="10" xfId="0" applyFont="1" applyFill="1" applyBorder="1" applyAlignment="1">
      <alignment horizontal="center" vertical="center"/>
    </xf>
    <xf numFmtId="0" fontId="18" fillId="4" borderId="6" xfId="0" applyFont="1" applyFill="1" applyBorder="1" applyAlignment="1">
      <alignment horizontal="center" vertical="center"/>
    </xf>
    <xf numFmtId="0" fontId="18" fillId="4" borderId="7" xfId="0" applyFont="1" applyFill="1" applyBorder="1" applyAlignment="1">
      <alignment horizontal="center" vertical="center"/>
    </xf>
    <xf numFmtId="0" fontId="8" fillId="4" borderId="2" xfId="0" applyFont="1" applyFill="1" applyBorder="1" applyAlignment="1">
      <alignment horizontal="center"/>
    </xf>
    <xf numFmtId="0" fontId="8" fillId="4" borderId="3" xfId="0" applyFont="1" applyFill="1" applyBorder="1" applyAlignment="1">
      <alignment horizontal="center"/>
    </xf>
    <xf numFmtId="0" fontId="8" fillId="4" borderId="4" xfId="0" applyFont="1" applyFill="1" applyBorder="1" applyAlignment="1">
      <alignment horizontal="center"/>
    </xf>
    <xf numFmtId="0" fontId="8" fillId="4" borderId="11" xfId="0" applyFont="1" applyFill="1" applyBorder="1" applyAlignment="1">
      <alignment horizontal="center" vertical="center"/>
    </xf>
    <xf numFmtId="0" fontId="0" fillId="4" borderId="25" xfId="0" applyFill="1" applyBorder="1" applyAlignment="1">
      <alignment horizontal="center"/>
    </xf>
    <xf numFmtId="0" fontId="0" fillId="4" borderId="12" xfId="0" applyFill="1" applyBorder="1" applyAlignment="1">
      <alignment horizontal="center"/>
    </xf>
    <xf numFmtId="0" fontId="0" fillId="0" borderId="0" xfId="0" applyFont="1" applyAlignment="1">
      <alignment horizontal="center" vertical="center" wrapText="1"/>
    </xf>
    <xf numFmtId="0" fontId="8" fillId="0" borderId="0" xfId="0" applyFont="1" applyAlignment="1">
      <alignment horizontal="right" vertical="center"/>
    </xf>
    <xf numFmtId="0" fontId="18" fillId="0" borderId="0" xfId="0" applyFont="1" applyAlignment="1">
      <alignment vertical="center" wrapText="1"/>
    </xf>
    <xf numFmtId="0" fontId="21" fillId="0" borderId="0" xfId="0" applyFont="1" applyFill="1" applyBorder="1" applyAlignment="1">
      <alignment horizontal="center"/>
    </xf>
    <xf numFmtId="2" fontId="0" fillId="0" borderId="2" xfId="0" applyNumberFormat="1" applyBorder="1" applyAlignment="1">
      <alignment horizontal="center"/>
    </xf>
    <xf numFmtId="0" fontId="0" fillId="0" borderId="0" xfId="0" applyBorder="1"/>
    <xf numFmtId="0" fontId="6" fillId="0" borderId="5" xfId="0" applyFont="1" applyBorder="1" applyAlignment="1">
      <alignment horizontal="center" vertical="center"/>
    </xf>
    <xf numFmtId="0" fontId="6" fillId="0" borderId="0" xfId="0" applyFont="1" applyBorder="1" applyAlignment="1">
      <alignment horizontal="center" vertical="center"/>
    </xf>
    <xf numFmtId="0" fontId="0" fillId="0" borderId="23" xfId="0" applyFont="1" applyBorder="1" applyAlignment="1">
      <alignment horizontal="center" vertical="center"/>
    </xf>
    <xf numFmtId="0" fontId="0" fillId="0" borderId="10"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6" fillId="0" borderId="6" xfId="0" applyFont="1" applyBorder="1" applyAlignment="1">
      <alignment horizontal="center" vertical="center"/>
    </xf>
    <xf numFmtId="2" fontId="6" fillId="0" borderId="0" xfId="0" applyNumberFormat="1" applyFont="1" applyBorder="1" applyAlignment="1">
      <alignment horizontal="center" vertical="center"/>
    </xf>
    <xf numFmtId="2" fontId="6" fillId="5" borderId="0" xfId="0" applyNumberFormat="1" applyFont="1" applyFill="1" applyBorder="1" applyAlignment="1">
      <alignment horizontal="center" vertical="center"/>
    </xf>
    <xf numFmtId="0" fontId="0" fillId="6" borderId="0" xfId="0" applyFill="1" applyBorder="1"/>
    <xf numFmtId="2" fontId="0" fillId="5" borderId="23" xfId="0" applyNumberFormat="1" applyFont="1" applyFill="1" applyBorder="1" applyAlignment="1">
      <alignment horizontal="center"/>
    </xf>
    <xf numFmtId="2" fontId="0" fillId="0" borderId="23" xfId="0" applyNumberFormat="1" applyFont="1" applyBorder="1" applyAlignment="1">
      <alignment horizontal="center"/>
    </xf>
    <xf numFmtId="0" fontId="0" fillId="0" borderId="23" xfId="0" applyBorder="1"/>
    <xf numFmtId="0" fontId="0" fillId="6" borderId="23" xfId="0" applyFill="1" applyBorder="1"/>
    <xf numFmtId="2" fontId="6" fillId="0" borderId="6" xfId="0" applyNumberFormat="1" applyFont="1" applyBorder="1" applyAlignment="1">
      <alignment horizontal="center" vertical="center"/>
    </xf>
    <xf numFmtId="0" fontId="0" fillId="0" borderId="6" xfId="0" applyBorder="1"/>
    <xf numFmtId="0" fontId="0" fillId="0" borderId="7" xfId="0" applyBorder="1"/>
    <xf numFmtId="0" fontId="6" fillId="5" borderId="24" xfId="0" applyFont="1" applyFill="1" applyBorder="1" applyAlignment="1">
      <alignment horizontal="center"/>
    </xf>
    <xf numFmtId="0" fontId="6" fillId="5" borderId="23" xfId="0" applyFont="1" applyFill="1" applyBorder="1" applyAlignment="1">
      <alignment horizontal="center"/>
    </xf>
    <xf numFmtId="164" fontId="6" fillId="0" borderId="24" xfId="0" applyNumberFormat="1" applyFont="1" applyBorder="1" applyAlignment="1">
      <alignment horizontal="center"/>
    </xf>
    <xf numFmtId="0" fontId="6" fillId="0" borderId="23" xfId="0" applyFont="1" applyBorder="1" applyAlignment="1">
      <alignment horizontal="center"/>
    </xf>
    <xf numFmtId="164" fontId="6" fillId="5" borderId="24" xfId="0" applyNumberFormat="1" applyFont="1" applyFill="1" applyBorder="1" applyAlignment="1">
      <alignment horizontal="center"/>
    </xf>
    <xf numFmtId="164" fontId="6" fillId="0" borderId="23" xfId="0" applyNumberFormat="1" applyFont="1" applyBorder="1" applyAlignment="1">
      <alignment horizontal="center"/>
    </xf>
    <xf numFmtId="164" fontId="6" fillId="6" borderId="24" xfId="0" applyNumberFormat="1" applyFont="1" applyFill="1" applyBorder="1" applyAlignment="1">
      <alignment horizontal="center"/>
    </xf>
    <xf numFmtId="164" fontId="6" fillId="6" borderId="23" xfId="0" applyNumberFormat="1" applyFont="1" applyFill="1" applyBorder="1" applyAlignment="1">
      <alignment horizontal="center"/>
    </xf>
    <xf numFmtId="164" fontId="6" fillId="0" borderId="10" xfId="0" applyNumberFormat="1" applyFont="1" applyBorder="1" applyAlignment="1">
      <alignment horizontal="center"/>
    </xf>
    <xf numFmtId="164" fontId="6" fillId="0" borderId="7" xfId="0" applyNumberFormat="1" applyFont="1" applyBorder="1" applyAlignment="1">
      <alignment horizontal="center"/>
    </xf>
    <xf numFmtId="2" fontId="6" fillId="5" borderId="24" xfId="0" applyNumberFormat="1" applyFont="1" applyFill="1" applyBorder="1" applyAlignment="1">
      <alignment horizontal="center" vertical="center"/>
    </xf>
    <xf numFmtId="2" fontId="6" fillId="0" borderId="24" xfId="0" applyNumberFormat="1" applyFont="1" applyBorder="1" applyAlignment="1">
      <alignment horizontal="center" vertical="center"/>
    </xf>
    <xf numFmtId="2" fontId="6" fillId="6" borderId="24" xfId="0" applyNumberFormat="1" applyFont="1" applyFill="1" applyBorder="1" applyAlignment="1">
      <alignment horizontal="center" vertical="center"/>
    </xf>
    <xf numFmtId="2" fontId="6" fillId="0" borderId="10" xfId="0" applyNumberFormat="1" applyFont="1" applyBorder="1" applyAlignment="1">
      <alignment horizontal="center" vertical="center"/>
    </xf>
    <xf numFmtId="0" fontId="8" fillId="5" borderId="25" xfId="0" applyFont="1" applyFill="1" applyBorder="1" applyAlignment="1">
      <alignment horizontal="center"/>
    </xf>
    <xf numFmtId="0" fontId="8" fillId="0" borderId="25" xfId="0" applyFont="1" applyBorder="1" applyAlignment="1">
      <alignment horizontal="center"/>
    </xf>
    <xf numFmtId="0" fontId="8" fillId="6" borderId="25" xfId="0" applyFont="1" applyFill="1" applyBorder="1" applyAlignment="1">
      <alignment horizontal="center"/>
    </xf>
    <xf numFmtId="0" fontId="8" fillId="0" borderId="12" xfId="0" applyFont="1" applyBorder="1" applyAlignment="1">
      <alignment horizontal="center"/>
    </xf>
    <xf numFmtId="0" fontId="8" fillId="7" borderId="1" xfId="0" applyFont="1" applyFill="1" applyBorder="1" applyAlignment="1">
      <alignment horizontal="center"/>
    </xf>
    <xf numFmtId="0" fontId="8" fillId="7" borderId="3" xfId="0" applyFont="1" applyFill="1" applyBorder="1" applyAlignment="1">
      <alignment horizontal="center"/>
    </xf>
    <xf numFmtId="0" fontId="8" fillId="7" borderId="4" xfId="0" applyFont="1" applyFill="1" applyBorder="1" applyAlignment="1">
      <alignment horizontal="center"/>
    </xf>
    <xf numFmtId="0" fontId="17" fillId="7" borderId="2" xfId="0" applyFont="1" applyFill="1" applyBorder="1" applyAlignment="1">
      <alignment horizontal="center"/>
    </xf>
    <xf numFmtId="0" fontId="17" fillId="7" borderId="3" xfId="0" applyFont="1" applyFill="1" applyBorder="1" applyAlignment="1">
      <alignment horizontal="center"/>
    </xf>
    <xf numFmtId="0" fontId="5" fillId="7" borderId="0" xfId="0" applyFont="1" applyFill="1" applyBorder="1" applyAlignment="1">
      <alignment horizontal="center" vertical="center"/>
    </xf>
    <xf numFmtId="0" fontId="8" fillId="7" borderId="11" xfId="0" applyFont="1" applyFill="1" applyBorder="1" applyAlignment="1">
      <alignment horizontal="center" vertical="center"/>
    </xf>
    <xf numFmtId="0" fontId="17" fillId="7" borderId="5"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23" xfId="0" applyFont="1" applyFill="1" applyBorder="1" applyAlignment="1">
      <alignment horizontal="center" vertical="center"/>
    </xf>
    <xf numFmtId="2" fontId="0" fillId="0" borderId="0" xfId="0" applyNumberFormat="1" applyFont="1" applyBorder="1" applyAlignment="1">
      <alignment horizontal="center" vertical="center"/>
    </xf>
    <xf numFmtId="0" fontId="0" fillId="0" borderId="0" xfId="0" applyFont="1" applyBorder="1" applyAlignment="1">
      <alignment horizontal="center" vertical="center"/>
    </xf>
    <xf numFmtId="2" fontId="6" fillId="0" borderId="23" xfId="0" applyNumberFormat="1" applyFont="1" applyBorder="1" applyAlignment="1">
      <alignment horizontal="center" vertical="center"/>
    </xf>
    <xf numFmtId="2" fontId="6" fillId="0" borderId="7" xfId="0" applyNumberFormat="1" applyFont="1" applyBorder="1" applyAlignment="1">
      <alignment horizontal="center" vertical="center"/>
    </xf>
    <xf numFmtId="2" fontId="6" fillId="0" borderId="8" xfId="0" applyNumberFormat="1" applyFont="1" applyBorder="1" applyAlignment="1">
      <alignment horizontal="center" vertical="center"/>
    </xf>
    <xf numFmtId="2" fontId="0" fillId="0" borderId="5" xfId="0" applyNumberFormat="1" applyFont="1" applyBorder="1" applyAlignment="1">
      <alignment horizontal="center" vertical="center"/>
    </xf>
    <xf numFmtId="0" fontId="0" fillId="0" borderId="5" xfId="0" applyFont="1" applyBorder="1" applyAlignment="1">
      <alignment horizontal="center" vertical="center"/>
    </xf>
    <xf numFmtId="0" fontId="0" fillId="0" borderId="9" xfId="0" applyFont="1" applyBorder="1" applyAlignment="1">
      <alignment horizontal="center" vertical="center"/>
    </xf>
    <xf numFmtId="0" fontId="0" fillId="0" borderId="8" xfId="0" applyFont="1" applyBorder="1" applyAlignment="1">
      <alignment horizontal="center" vertical="center"/>
    </xf>
    <xf numFmtId="0" fontId="0" fillId="0" borderId="24" xfId="0" applyFont="1" applyBorder="1" applyAlignment="1">
      <alignment horizontal="center" vertical="center"/>
    </xf>
    <xf numFmtId="0" fontId="0" fillId="0" borderId="0" xfId="0" applyFont="1" applyAlignment="1">
      <alignment horizontal="center"/>
    </xf>
    <xf numFmtId="0" fontId="17" fillId="7" borderId="1" xfId="0" applyFont="1" applyFill="1" applyBorder="1" applyAlignment="1">
      <alignment horizontal="center"/>
    </xf>
    <xf numFmtId="0" fontId="0" fillId="0" borderId="11" xfId="0" applyFont="1" applyBorder="1" applyAlignment="1">
      <alignment horizontal="center" vertical="center"/>
    </xf>
    <xf numFmtId="0" fontId="0" fillId="0" borderId="25" xfId="0" applyFont="1" applyBorder="1" applyAlignment="1">
      <alignment horizontal="center" vertical="center"/>
    </xf>
    <xf numFmtId="0" fontId="0" fillId="0" borderId="12" xfId="0" applyFont="1" applyBorder="1" applyAlignment="1">
      <alignment horizontal="center" vertical="center"/>
    </xf>
    <xf numFmtId="0" fontId="0" fillId="0" borderId="25" xfId="0" applyFont="1" applyBorder="1" applyAlignment="1">
      <alignment horizontal="center"/>
    </xf>
    <xf numFmtId="0" fontId="0" fillId="0" borderId="12" xfId="0" applyFont="1" applyBorder="1" applyAlignment="1">
      <alignment horizontal="center"/>
    </xf>
    <xf numFmtId="165" fontId="0" fillId="0" borderId="12" xfId="0" applyNumberFormat="1" applyBorder="1" applyAlignment="1">
      <alignment horizontal="center"/>
    </xf>
    <xf numFmtId="165" fontId="0" fillId="0" borderId="11" xfId="0" applyNumberFormat="1" applyBorder="1" applyAlignment="1">
      <alignment horizontal="center"/>
    </xf>
    <xf numFmtId="165" fontId="0" fillId="0" borderId="25" xfId="0" applyNumberFormat="1" applyBorder="1" applyAlignment="1">
      <alignment horizontal="center"/>
    </xf>
    <xf numFmtId="0" fontId="6" fillId="0" borderId="10" xfId="0" applyFont="1" applyBorder="1" applyAlignment="1">
      <alignment horizontal="center" vertical="center"/>
    </xf>
    <xf numFmtId="0" fontId="6" fillId="0" borderId="24" xfId="0" applyFont="1" applyBorder="1" applyAlignment="1">
      <alignment horizontal="center" vertical="center"/>
    </xf>
    <xf numFmtId="0" fontId="6" fillId="0" borderId="8" xfId="0" applyFont="1" applyBorder="1" applyAlignment="1">
      <alignment horizontal="center" vertical="center"/>
    </xf>
    <xf numFmtId="0" fontId="0" fillId="0" borderId="0" xfId="0"/>
    <xf numFmtId="0" fontId="0" fillId="0" borderId="0" xfId="0" applyAlignment="1">
      <alignment horizontal="center"/>
    </xf>
    <xf numFmtId="0" fontId="0" fillId="0" borderId="0" xfId="0" applyAlignment="1">
      <alignment horizontal="right"/>
    </xf>
    <xf numFmtId="0" fontId="11" fillId="0" borderId="0" xfId="0" applyFont="1"/>
    <xf numFmtId="0" fontId="23" fillId="0" borderId="0" xfId="0" applyFont="1"/>
    <xf numFmtId="2" fontId="0" fillId="0" borderId="0" xfId="0" applyNumberFormat="1"/>
    <xf numFmtId="0" fontId="0" fillId="0" borderId="0" xfId="0" applyFont="1"/>
    <xf numFmtId="2" fontId="0" fillId="0" borderId="0" xfId="0" applyNumberFormat="1" applyFont="1" applyBorder="1" applyAlignment="1">
      <alignment horizontal="center"/>
    </xf>
    <xf numFmtId="2" fontId="0" fillId="0" borderId="11" xfId="0" applyNumberFormat="1" applyBorder="1" applyAlignment="1">
      <alignment horizontal="center"/>
    </xf>
    <xf numFmtId="2" fontId="0" fillId="0" borderId="25" xfId="0" applyNumberFormat="1" applyBorder="1" applyAlignment="1">
      <alignment horizontal="center"/>
    </xf>
    <xf numFmtId="2" fontId="0" fillId="0" borderId="12" xfId="0" applyNumberFormat="1" applyBorder="1" applyAlignment="1">
      <alignment horizontal="center"/>
    </xf>
    <xf numFmtId="164" fontId="0" fillId="0" borderId="11" xfId="0" applyNumberFormat="1" applyBorder="1" applyAlignment="1">
      <alignment horizontal="center"/>
    </xf>
    <xf numFmtId="164" fontId="0" fillId="0" borderId="25" xfId="0" applyNumberFormat="1" applyBorder="1" applyAlignment="1">
      <alignment horizontal="center"/>
    </xf>
    <xf numFmtId="164" fontId="0" fillId="0" borderId="12" xfId="0" applyNumberFormat="1" applyBorder="1" applyAlignment="1">
      <alignment horizontal="center"/>
    </xf>
    <xf numFmtId="0" fontId="24" fillId="0" borderId="0" xfId="0" applyFont="1" applyFill="1" applyAlignment="1">
      <alignment horizontal="left"/>
    </xf>
    <xf numFmtId="0" fontId="24" fillId="0" borderId="0" xfId="0" applyFont="1"/>
    <xf numFmtId="0" fontId="23" fillId="0" borderId="0" xfId="0" applyFont="1" applyAlignment="1">
      <alignment horizontal="left" vertical="center"/>
    </xf>
    <xf numFmtId="0" fontId="13" fillId="0" borderId="0" xfId="0" applyFont="1" applyAlignment="1">
      <alignment horizontal="left" vertical="center"/>
    </xf>
    <xf numFmtId="0" fontId="8" fillId="7" borderId="24" xfId="0" applyFont="1" applyFill="1" applyBorder="1" applyAlignment="1">
      <alignment horizontal="center"/>
    </xf>
    <xf numFmtId="0" fontId="8" fillId="7" borderId="10" xfId="0" applyFont="1" applyFill="1" applyBorder="1" applyAlignment="1">
      <alignment horizontal="center"/>
    </xf>
    <xf numFmtId="0" fontId="13" fillId="0" borderId="0" xfId="0" applyFont="1"/>
    <xf numFmtId="0" fontId="0" fillId="0" borderId="0" xfId="0" applyFont="1" applyAlignment="1">
      <alignment horizontal="right"/>
    </xf>
    <xf numFmtId="0" fontId="13" fillId="0" borderId="0" xfId="0" applyFont="1" applyAlignment="1">
      <alignment horizontal="center"/>
    </xf>
    <xf numFmtId="0" fontId="0" fillId="0" borderId="0" xfId="0" applyFont="1" applyAlignment="1">
      <alignment horizontal="left"/>
    </xf>
    <xf numFmtId="2" fontId="0" fillId="0" borderId="0" xfId="0" applyNumberFormat="1" applyFont="1" applyAlignment="1">
      <alignment horizontal="center"/>
    </xf>
    <xf numFmtId="0" fontId="18" fillId="0" borderId="0" xfId="0" applyFont="1" applyFill="1" applyBorder="1" applyAlignment="1">
      <alignment horizontal="left" vertical="center"/>
    </xf>
    <xf numFmtId="0" fontId="13" fillId="0" borderId="0" xfId="0" applyFont="1" applyAlignment="1">
      <alignment horizontal="left"/>
    </xf>
    <xf numFmtId="2" fontId="0" fillId="0" borderId="0" xfId="0" applyNumberFormat="1" applyFont="1" applyAlignment="1">
      <alignment horizontal="center" vertical="center"/>
    </xf>
    <xf numFmtId="2" fontId="0" fillId="0" borderId="6" xfId="0" applyNumberFormat="1" applyFont="1" applyBorder="1" applyAlignment="1">
      <alignment horizontal="center"/>
    </xf>
    <xf numFmtId="0" fontId="0" fillId="0" borderId="7" xfId="0" applyFont="1" applyBorder="1" applyAlignment="1">
      <alignment horizontal="center"/>
    </xf>
    <xf numFmtId="2" fontId="0" fillId="0" borderId="25" xfId="0" applyNumberFormat="1" applyFont="1" applyBorder="1" applyAlignment="1">
      <alignment horizontal="center"/>
    </xf>
    <xf numFmtId="2" fontId="0" fillId="0" borderId="12" xfId="0" applyNumberFormat="1" applyFont="1" applyBorder="1" applyAlignment="1">
      <alignment horizontal="center"/>
    </xf>
    <xf numFmtId="0" fontId="0" fillId="0" borderId="23" xfId="0" applyFont="1" applyBorder="1" applyAlignment="1">
      <alignment horizontal="center"/>
    </xf>
    <xf numFmtId="0" fontId="8" fillId="4" borderId="1" xfId="0" applyFont="1" applyFill="1" applyBorder="1" applyAlignment="1">
      <alignment horizontal="center"/>
    </xf>
    <xf numFmtId="0" fontId="8" fillId="4" borderId="11" xfId="0" applyFont="1" applyFill="1" applyBorder="1" applyAlignment="1">
      <alignment horizontal="right"/>
    </xf>
    <xf numFmtId="0" fontId="8" fillId="4" borderId="12" xfId="0" applyFont="1" applyFill="1" applyBorder="1" applyAlignment="1">
      <alignment horizontal="right"/>
    </xf>
    <xf numFmtId="0" fontId="8" fillId="4" borderId="11" xfId="0" applyFont="1" applyFill="1" applyBorder="1" applyAlignment="1">
      <alignment horizontal="center"/>
    </xf>
    <xf numFmtId="0" fontId="8" fillId="4" borderId="12" xfId="0" applyFont="1" applyFill="1" applyBorder="1" applyAlignment="1">
      <alignment horizontal="center"/>
    </xf>
    <xf numFmtId="0" fontId="27" fillId="0" borderId="0" xfId="0" applyFont="1" applyAlignment="1">
      <alignment horizontal="left"/>
    </xf>
    <xf numFmtId="0" fontId="23" fillId="0" borderId="0" xfId="0" applyFont="1" applyAlignment="1">
      <alignment horizontal="left"/>
    </xf>
    <xf numFmtId="0" fontId="8" fillId="0" borderId="8" xfId="0" applyFont="1" applyBorder="1" applyAlignment="1">
      <alignment horizontal="center" vertical="center"/>
    </xf>
    <xf numFmtId="0" fontId="8" fillId="0" borderId="10" xfId="0" applyFont="1" applyBorder="1" applyAlignment="1">
      <alignment horizontal="center" vertical="center"/>
    </xf>
    <xf numFmtId="0" fontId="8" fillId="4" borderId="12"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11" xfId="0" applyFont="1" applyFill="1" applyBorder="1" applyAlignment="1">
      <alignment horizontal="left" vertical="center"/>
    </xf>
    <xf numFmtId="2" fontId="0" fillId="8" borderId="5" xfId="0" applyNumberFormat="1" applyFont="1" applyFill="1" applyBorder="1" applyAlignment="1">
      <alignment horizontal="center" vertical="center"/>
    </xf>
    <xf numFmtId="2" fontId="0" fillId="8" borderId="9" xfId="0" applyNumberFormat="1" applyFont="1" applyFill="1" applyBorder="1" applyAlignment="1">
      <alignment horizontal="center" vertical="center"/>
    </xf>
    <xf numFmtId="2" fontId="0" fillId="8" borderId="6" xfId="0" applyNumberFormat="1" applyFont="1" applyFill="1" applyBorder="1" applyAlignment="1">
      <alignment horizontal="center" vertical="center"/>
    </xf>
    <xf numFmtId="2" fontId="0" fillId="8" borderId="7" xfId="0" applyNumberFormat="1" applyFont="1" applyFill="1" applyBorder="1" applyAlignment="1">
      <alignment horizontal="center" vertical="center"/>
    </xf>
    <xf numFmtId="0" fontId="8" fillId="7" borderId="12" xfId="0" applyFont="1" applyFill="1" applyBorder="1" applyAlignment="1">
      <alignment horizontal="center"/>
    </xf>
    <xf numFmtId="0" fontId="8" fillId="7" borderId="25" xfId="0" applyFont="1" applyFill="1" applyBorder="1" applyAlignment="1">
      <alignment vertical="center"/>
    </xf>
    <xf numFmtId="0" fontId="8" fillId="7" borderId="0" xfId="0" applyFont="1" applyFill="1" applyBorder="1" applyAlignment="1">
      <alignment vertical="center"/>
    </xf>
    <xf numFmtId="0" fontId="0" fillId="0" borderId="0" xfId="0" applyAlignment="1">
      <alignment vertical="center"/>
    </xf>
    <xf numFmtId="0" fontId="0" fillId="0" borderId="0" xfId="0"/>
    <xf numFmtId="0" fontId="0" fillId="0" borderId="0" xfId="0" applyAlignment="1">
      <alignment horizontal="center"/>
    </xf>
    <xf numFmtId="0" fontId="0" fillId="0" borderId="0" xfId="0" applyAlignment="1">
      <alignment horizontal="center" vertical="center"/>
    </xf>
    <xf numFmtId="0" fontId="8" fillId="0" borderId="0" xfId="0" applyFont="1"/>
    <xf numFmtId="0" fontId="8" fillId="0" borderId="0" xfId="0" applyFont="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164" fontId="0" fillId="0" borderId="0" xfId="0" applyNumberFormat="1" applyAlignment="1">
      <alignment horizontal="center" vertical="center"/>
    </xf>
    <xf numFmtId="164" fontId="6" fillId="0" borderId="0" xfId="0" applyNumberFormat="1" applyFont="1" applyAlignment="1">
      <alignment horizontal="center"/>
    </xf>
    <xf numFmtId="0" fontId="6" fillId="0" borderId="0" xfId="0" applyFont="1" applyBorder="1" applyAlignment="1">
      <alignment horizontal="center"/>
    </xf>
    <xf numFmtId="0" fontId="6" fillId="9" borderId="6" xfId="0" applyFont="1" applyFill="1" applyBorder="1" applyAlignment="1">
      <alignment horizontal="center" vertical="center"/>
    </xf>
    <xf numFmtId="0" fontId="6" fillId="9" borderId="6" xfId="0" applyFont="1" applyFill="1" applyBorder="1" applyAlignment="1">
      <alignment horizontal="center"/>
    </xf>
    <xf numFmtId="0" fontId="6" fillId="0" borderId="0" xfId="0" applyFont="1" applyAlignment="1">
      <alignment horizontal="center"/>
    </xf>
    <xf numFmtId="0" fontId="6" fillId="5" borderId="0" xfId="0" applyFont="1" applyFill="1" applyAlignment="1">
      <alignment horizontal="center"/>
    </xf>
    <xf numFmtId="164" fontId="6" fillId="5" borderId="0" xfId="0" applyNumberFormat="1" applyFont="1" applyFill="1" applyAlignment="1">
      <alignment horizontal="center"/>
    </xf>
    <xf numFmtId="164" fontId="6" fillId="6" borderId="0" xfId="0" applyNumberFormat="1" applyFont="1" applyFill="1" applyAlignment="1">
      <alignment horizontal="center"/>
    </xf>
    <xf numFmtId="0" fontId="8" fillId="8" borderId="1" xfId="0" applyFont="1" applyFill="1" applyBorder="1" applyAlignment="1">
      <alignment horizontal="center"/>
    </xf>
    <xf numFmtId="164" fontId="0" fillId="8" borderId="25" xfId="0" applyNumberFormat="1" applyFill="1" applyBorder="1" applyAlignment="1">
      <alignment horizontal="center"/>
    </xf>
    <xf numFmtId="164" fontId="0" fillId="8" borderId="12" xfId="0" applyNumberFormat="1" applyFill="1" applyBorder="1" applyAlignment="1">
      <alignment horizontal="center"/>
    </xf>
    <xf numFmtId="2" fontId="0" fillId="5" borderId="0" xfId="0" applyNumberFormat="1" applyFill="1" applyAlignment="1">
      <alignment horizontal="center" vertical="center"/>
    </xf>
    <xf numFmtId="0" fontId="8" fillId="7" borderId="2" xfId="0" applyFont="1" applyFill="1" applyBorder="1" applyAlignment="1">
      <alignment horizontal="center"/>
    </xf>
    <xf numFmtId="0" fontId="8" fillId="7" borderId="23" xfId="0" applyFont="1" applyFill="1" applyBorder="1" applyAlignment="1">
      <alignment vertical="center"/>
    </xf>
    <xf numFmtId="0" fontId="8" fillId="7" borderId="11" xfId="0" applyFont="1" applyFill="1" applyBorder="1" applyAlignment="1">
      <alignment horizontal="center"/>
    </xf>
    <xf numFmtId="0" fontId="0" fillId="0" borderId="24" xfId="0"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165" fontId="0" fillId="0" borderId="0" xfId="0" applyNumberFormat="1" applyBorder="1" applyAlignment="1">
      <alignment horizontal="center" vertical="center"/>
    </xf>
    <xf numFmtId="165" fontId="0" fillId="0" borderId="6" xfId="0" applyNumberFormat="1" applyBorder="1" applyAlignment="1">
      <alignment horizontal="center" vertical="center"/>
    </xf>
    <xf numFmtId="165" fontId="0" fillId="0" borderId="0" xfId="0" applyNumberFormat="1"/>
    <xf numFmtId="0" fontId="8" fillId="8" borderId="0" xfId="0" applyFont="1" applyFill="1" applyAlignment="1">
      <alignment horizontal="center" vertical="center"/>
    </xf>
    <xf numFmtId="0" fontId="8" fillId="0" borderId="2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6" xfId="0" applyFont="1" applyBorder="1" applyAlignment="1">
      <alignment horizontal="center" vertical="center"/>
    </xf>
    <xf numFmtId="0" fontId="0" fillId="8" borderId="0" xfId="0" applyFill="1" applyAlignment="1">
      <alignment horizontal="center" vertical="center"/>
    </xf>
    <xf numFmtId="166" fontId="1" fillId="0" borderId="1" xfId="0" applyNumberFormat="1" applyFont="1" applyBorder="1" applyAlignment="1">
      <alignment horizontal="center" vertical="center"/>
    </xf>
    <xf numFmtId="0" fontId="0" fillId="0" borderId="5" xfId="0" applyBorder="1"/>
    <xf numFmtId="0" fontId="0" fillId="0" borderId="5" xfId="0" applyBorder="1" applyAlignment="1">
      <alignment horizontal="center"/>
    </xf>
    <xf numFmtId="0" fontId="5" fillId="0" borderId="0" xfId="0" applyFont="1" applyBorder="1"/>
    <xf numFmtId="0" fontId="12" fillId="0" borderId="0" xfId="0" applyFont="1" applyAlignment="1">
      <alignment horizontal="center"/>
    </xf>
    <xf numFmtId="0" fontId="2" fillId="10" borderId="2" xfId="0" applyFont="1" applyFill="1" applyBorder="1" applyAlignment="1"/>
    <xf numFmtId="0" fontId="2" fillId="10" borderId="3" xfId="0" applyFont="1" applyFill="1" applyBorder="1" applyAlignment="1"/>
    <xf numFmtId="0" fontId="2" fillId="10" borderId="4" xfId="0" applyFont="1" applyFill="1" applyBorder="1" applyAlignment="1"/>
    <xf numFmtId="0" fontId="1" fillId="0" borderId="8"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horizontal="left" vertical="top" wrapText="1"/>
    </xf>
    <xf numFmtId="0" fontId="0" fillId="0" borderId="0" xfId="0" applyFont="1" applyAlignment="1">
      <alignment horizontal="left" vertical="top" wrapText="1"/>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10"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cellXfs>
  <cellStyles count="7">
    <cellStyle name="Input (Shaded)" xfId="2"/>
    <cellStyle name="Normal" xfId="0" builtinId="0"/>
    <cellStyle name="Normal 2" xfId="1"/>
    <cellStyle name="Normal 2 2" xfId="5"/>
    <cellStyle name="Normal 2 3" xfId="4"/>
    <cellStyle name="Normal 3" xfId="6"/>
    <cellStyle name="Normal 4" xfId="3"/>
  </cellStyles>
  <dxfs count="48">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36</xdr:col>
      <xdr:colOff>281394</xdr:colOff>
      <xdr:row>6</xdr:row>
      <xdr:rowOff>79353</xdr:rowOff>
    </xdr:from>
    <xdr:to>
      <xdr:col>38</xdr:col>
      <xdr:colOff>175560</xdr:colOff>
      <xdr:row>15</xdr:row>
      <xdr:rowOff>86658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537276" y="1267177"/>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45</xdr:col>
      <xdr:colOff>326217</xdr:colOff>
      <xdr:row>6</xdr:row>
      <xdr:rowOff>68147</xdr:rowOff>
    </xdr:from>
    <xdr:to>
      <xdr:col>47</xdr:col>
      <xdr:colOff>220384</xdr:colOff>
      <xdr:row>15</xdr:row>
      <xdr:rowOff>75452</xdr:rowOff>
    </xdr:to>
    <xdr:pic>
      <xdr:nvPicPr>
        <xdr:cNvPr id="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7567717"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54</xdr:col>
      <xdr:colOff>270188</xdr:colOff>
      <xdr:row>6</xdr:row>
      <xdr:rowOff>68147</xdr:rowOff>
    </xdr:from>
    <xdr:to>
      <xdr:col>56</xdr:col>
      <xdr:colOff>164356</xdr:colOff>
      <xdr:row>15</xdr:row>
      <xdr:rowOff>75452</xdr:rowOff>
    </xdr:to>
    <xdr:pic>
      <xdr:nvPicPr>
        <xdr:cNvPr id="5"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34773100"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63</xdr:col>
      <xdr:colOff>326217</xdr:colOff>
      <xdr:row>6</xdr:row>
      <xdr:rowOff>68147</xdr:rowOff>
    </xdr:from>
    <xdr:to>
      <xdr:col>65</xdr:col>
      <xdr:colOff>220383</xdr:colOff>
      <xdr:row>15</xdr:row>
      <xdr:rowOff>75452</xdr:rowOff>
    </xdr:to>
    <xdr:pic>
      <xdr:nvPicPr>
        <xdr:cNvPr id="6"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42090541"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144</xdr:col>
      <xdr:colOff>337424</xdr:colOff>
      <xdr:row>6</xdr:row>
      <xdr:rowOff>68146</xdr:rowOff>
    </xdr:from>
    <xdr:to>
      <xdr:col>146</xdr:col>
      <xdr:colOff>231591</xdr:colOff>
      <xdr:row>15</xdr:row>
      <xdr:rowOff>75451</xdr:rowOff>
    </xdr:to>
    <xdr:pic>
      <xdr:nvPicPr>
        <xdr:cNvPr id="7"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07454453" y="1255970"/>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153</xdr:col>
      <xdr:colOff>214158</xdr:colOff>
      <xdr:row>6</xdr:row>
      <xdr:rowOff>68147</xdr:rowOff>
    </xdr:from>
    <xdr:to>
      <xdr:col>155</xdr:col>
      <xdr:colOff>108324</xdr:colOff>
      <xdr:row>15</xdr:row>
      <xdr:rowOff>75452</xdr:rowOff>
    </xdr:to>
    <xdr:pic>
      <xdr:nvPicPr>
        <xdr:cNvPr id="8"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27455658" y="1255971"/>
          <a:ext cx="1507814" cy="1710599"/>
        </a:xfrm>
        <a:prstGeom prst="rect">
          <a:avLst/>
        </a:prstGeom>
        <a:noFill/>
        <a:ln w="1">
          <a:noFill/>
          <a:miter lim="800000"/>
          <a:headEnd/>
          <a:tailEnd type="none" w="med" len="med"/>
        </a:ln>
        <a:effectLst/>
      </xdr:spPr>
    </xdr:pic>
    <xdr:clientData/>
  </xdr:twoCellAnchor>
  <xdr:twoCellAnchor editAs="oneCell">
    <xdr:from>
      <xdr:col>72</xdr:col>
      <xdr:colOff>247776</xdr:colOff>
      <xdr:row>6</xdr:row>
      <xdr:rowOff>68147</xdr:rowOff>
    </xdr:from>
    <xdr:to>
      <xdr:col>74</xdr:col>
      <xdr:colOff>141944</xdr:colOff>
      <xdr:row>15</xdr:row>
      <xdr:rowOff>75452</xdr:rowOff>
    </xdr:to>
    <xdr:pic>
      <xdr:nvPicPr>
        <xdr:cNvPr id="11"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49273511"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81</xdr:col>
      <xdr:colOff>258982</xdr:colOff>
      <xdr:row>6</xdr:row>
      <xdr:rowOff>68147</xdr:rowOff>
    </xdr:from>
    <xdr:to>
      <xdr:col>83</xdr:col>
      <xdr:colOff>153149</xdr:colOff>
      <xdr:row>15</xdr:row>
      <xdr:rowOff>75452</xdr:rowOff>
    </xdr:to>
    <xdr:pic>
      <xdr:nvPicPr>
        <xdr:cNvPr id="12"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56546129"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90</xdr:col>
      <xdr:colOff>247776</xdr:colOff>
      <xdr:row>6</xdr:row>
      <xdr:rowOff>68147</xdr:rowOff>
    </xdr:from>
    <xdr:to>
      <xdr:col>92</xdr:col>
      <xdr:colOff>141943</xdr:colOff>
      <xdr:row>15</xdr:row>
      <xdr:rowOff>75452</xdr:rowOff>
    </xdr:to>
    <xdr:pic>
      <xdr:nvPicPr>
        <xdr:cNvPr id="13"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63796335"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99</xdr:col>
      <xdr:colOff>258982</xdr:colOff>
      <xdr:row>6</xdr:row>
      <xdr:rowOff>68147</xdr:rowOff>
    </xdr:from>
    <xdr:to>
      <xdr:col>101</xdr:col>
      <xdr:colOff>153149</xdr:colOff>
      <xdr:row>15</xdr:row>
      <xdr:rowOff>75452</xdr:rowOff>
    </xdr:to>
    <xdr:pic>
      <xdr:nvPicPr>
        <xdr:cNvPr id="14" name="Picture 13"/>
        <xdr:cNvPicPr>
          <a:picLocks noChangeAspect="1" noChangeArrowheads="1"/>
        </xdr:cNvPicPr>
      </xdr:nvPicPr>
      <xdr:blipFill>
        <a:blip xmlns:r="http://schemas.openxmlformats.org/officeDocument/2006/relationships" r:embed="rId1" cstate="print"/>
        <a:srcRect/>
        <a:stretch>
          <a:fillRect/>
        </a:stretch>
      </xdr:blipFill>
      <xdr:spPr bwMode="auto">
        <a:xfrm>
          <a:off x="71068953"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108</xdr:col>
      <xdr:colOff>258982</xdr:colOff>
      <xdr:row>6</xdr:row>
      <xdr:rowOff>68147</xdr:rowOff>
    </xdr:from>
    <xdr:to>
      <xdr:col>110</xdr:col>
      <xdr:colOff>153148</xdr:colOff>
      <xdr:row>15</xdr:row>
      <xdr:rowOff>75452</xdr:rowOff>
    </xdr:to>
    <xdr:pic>
      <xdr:nvPicPr>
        <xdr:cNvPr id="15"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78330364"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117</xdr:col>
      <xdr:colOff>258982</xdr:colOff>
      <xdr:row>6</xdr:row>
      <xdr:rowOff>68147</xdr:rowOff>
    </xdr:from>
    <xdr:to>
      <xdr:col>119</xdr:col>
      <xdr:colOff>153150</xdr:colOff>
      <xdr:row>15</xdr:row>
      <xdr:rowOff>75452</xdr:rowOff>
    </xdr:to>
    <xdr:pic>
      <xdr:nvPicPr>
        <xdr:cNvPr id="16" name="Picture 15"/>
        <xdr:cNvPicPr>
          <a:picLocks noChangeAspect="1" noChangeArrowheads="1"/>
        </xdr:cNvPicPr>
      </xdr:nvPicPr>
      <xdr:blipFill>
        <a:blip xmlns:r="http://schemas.openxmlformats.org/officeDocument/2006/relationships" r:embed="rId1" cstate="print"/>
        <a:srcRect/>
        <a:stretch>
          <a:fillRect/>
        </a:stretch>
      </xdr:blipFill>
      <xdr:spPr bwMode="auto">
        <a:xfrm>
          <a:off x="85591776"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126</xdr:col>
      <xdr:colOff>270188</xdr:colOff>
      <xdr:row>6</xdr:row>
      <xdr:rowOff>68147</xdr:rowOff>
    </xdr:from>
    <xdr:to>
      <xdr:col>128</xdr:col>
      <xdr:colOff>164354</xdr:colOff>
      <xdr:row>15</xdr:row>
      <xdr:rowOff>75452</xdr:rowOff>
    </xdr:to>
    <xdr:pic>
      <xdr:nvPicPr>
        <xdr:cNvPr id="17" name="Picture 16"/>
        <xdr:cNvPicPr>
          <a:picLocks noChangeAspect="1" noChangeArrowheads="1"/>
        </xdr:cNvPicPr>
      </xdr:nvPicPr>
      <xdr:blipFill>
        <a:blip xmlns:r="http://schemas.openxmlformats.org/officeDocument/2006/relationships" r:embed="rId1" cstate="print"/>
        <a:srcRect/>
        <a:stretch>
          <a:fillRect/>
        </a:stretch>
      </xdr:blipFill>
      <xdr:spPr bwMode="auto">
        <a:xfrm>
          <a:off x="92864394"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135</xdr:col>
      <xdr:colOff>258982</xdr:colOff>
      <xdr:row>6</xdr:row>
      <xdr:rowOff>68147</xdr:rowOff>
    </xdr:from>
    <xdr:to>
      <xdr:col>137</xdr:col>
      <xdr:colOff>153148</xdr:colOff>
      <xdr:row>15</xdr:row>
      <xdr:rowOff>75452</xdr:rowOff>
    </xdr:to>
    <xdr:pic>
      <xdr:nvPicPr>
        <xdr:cNvPr id="18" name="Picture 17"/>
        <xdr:cNvPicPr>
          <a:picLocks noChangeAspect="1" noChangeArrowheads="1"/>
        </xdr:cNvPicPr>
      </xdr:nvPicPr>
      <xdr:blipFill>
        <a:blip xmlns:r="http://schemas.openxmlformats.org/officeDocument/2006/relationships" r:embed="rId1" cstate="print"/>
        <a:srcRect/>
        <a:stretch>
          <a:fillRect/>
        </a:stretch>
      </xdr:blipFill>
      <xdr:spPr bwMode="auto">
        <a:xfrm>
          <a:off x="100114600" y="1255971"/>
          <a:ext cx="1507814" cy="1710599"/>
        </a:xfrm>
        <a:prstGeom prst="rect">
          <a:avLst/>
        </a:prstGeom>
        <a:noFill/>
        <a:ln w="9525">
          <a:solidFill>
            <a:schemeClr val="tx1"/>
          </a:solidFill>
          <a:miter lim="800000"/>
          <a:headEnd/>
          <a:tailEnd type="none" w="med" len="med"/>
        </a:ln>
        <a:effectLst/>
      </xdr:spPr>
    </xdr:pic>
    <xdr:clientData/>
  </xdr:twoCellAnchor>
  <xdr:twoCellAnchor editAs="oneCell">
    <xdr:from>
      <xdr:col>153</xdr:col>
      <xdr:colOff>247776</xdr:colOff>
      <xdr:row>6</xdr:row>
      <xdr:rowOff>68147</xdr:rowOff>
    </xdr:from>
    <xdr:to>
      <xdr:col>155</xdr:col>
      <xdr:colOff>141942</xdr:colOff>
      <xdr:row>15</xdr:row>
      <xdr:rowOff>75452</xdr:rowOff>
    </xdr:to>
    <xdr:pic>
      <xdr:nvPicPr>
        <xdr:cNvPr id="20" name="Picture 19"/>
        <xdr:cNvPicPr>
          <a:picLocks noChangeAspect="1" noChangeArrowheads="1"/>
        </xdr:cNvPicPr>
      </xdr:nvPicPr>
      <xdr:blipFill>
        <a:blip xmlns:r="http://schemas.openxmlformats.org/officeDocument/2006/relationships" r:embed="rId1" cstate="print"/>
        <a:srcRect/>
        <a:stretch>
          <a:fillRect/>
        </a:stretch>
      </xdr:blipFill>
      <xdr:spPr bwMode="auto">
        <a:xfrm>
          <a:off x="114626217" y="1255971"/>
          <a:ext cx="1507814" cy="1710599"/>
        </a:xfrm>
        <a:prstGeom prst="rect">
          <a:avLst/>
        </a:prstGeom>
        <a:noFill/>
        <a:ln w="9525">
          <a:solidFill>
            <a:schemeClr val="tx1"/>
          </a:solid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Bridge%20Load%20through%20Trus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oad Rating"/>
      <sheetName val="DFactors"/>
      <sheetName val="Database"/>
    </sheetNames>
    <sheetDataSet>
      <sheetData sheetId="0">
        <row r="2">
          <cell r="B2" t="str">
            <v>Richard P. Howe - L-15-095</v>
          </cell>
          <cell r="C2"/>
          <cell r="D2"/>
          <cell r="E2"/>
        </row>
        <row r="3">
          <cell r="B3" t="str">
            <v>Bridge Loading</v>
          </cell>
          <cell r="C3"/>
          <cell r="D3"/>
          <cell r="E3"/>
          <cell r="F3"/>
        </row>
        <row r="31">
          <cell r="BC31">
            <v>4.3211076923076917</v>
          </cell>
        </row>
        <row r="32">
          <cell r="BC32">
            <v>6.7679999999999998</v>
          </cell>
        </row>
        <row r="33">
          <cell r="BC33">
            <v>6.7679999999999998</v>
          </cell>
        </row>
        <row r="34">
          <cell r="BC34">
            <v>6.7679999999999998</v>
          </cell>
        </row>
        <row r="35">
          <cell r="BC35">
            <v>6.7679999999999998</v>
          </cell>
        </row>
        <row r="36">
          <cell r="BC36">
            <v>6.7679999999999998</v>
          </cell>
        </row>
        <row r="37">
          <cell r="BC37">
            <v>6.7679999999999998</v>
          </cell>
        </row>
        <row r="38">
          <cell r="BC38">
            <v>6.7679999999999998</v>
          </cell>
        </row>
        <row r="39">
          <cell r="BC39">
            <v>6.7679999999999998</v>
          </cell>
        </row>
        <row r="40">
          <cell r="BC40">
            <v>6.7679999999999998</v>
          </cell>
        </row>
        <row r="41">
          <cell r="BC41">
            <v>6.7679999999999998</v>
          </cell>
        </row>
        <row r="42">
          <cell r="BC42">
            <v>6.7679999999999998</v>
          </cell>
        </row>
        <row r="43">
          <cell r="BC43">
            <v>6.7679999999999998</v>
          </cell>
        </row>
      </sheetData>
      <sheetData sheetId="1"/>
      <sheetData sheetId="2">
        <row r="3">
          <cell r="B3" t="str">
            <v>W44X335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O92"/>
  <sheetViews>
    <sheetView tabSelected="1" view="pageLayout" topLeftCell="AK4" zoomScale="70" zoomScaleNormal="100" zoomScaleSheetLayoutView="85" zoomScalePageLayoutView="70" workbookViewId="0">
      <selection activeCell="AS10" sqref="AS10"/>
    </sheetView>
  </sheetViews>
  <sheetFormatPr defaultRowHeight="15"/>
  <cols>
    <col min="1" max="1" width="12.7109375" customWidth="1"/>
    <col min="2" max="2" width="12.7109375" style="1" customWidth="1"/>
    <col min="3" max="7" width="12.7109375" customWidth="1"/>
    <col min="8" max="8" width="11.85546875" customWidth="1"/>
    <col min="9" max="9" width="11.5703125" customWidth="1"/>
    <col min="10" max="10" width="12.140625" customWidth="1"/>
    <col min="11" max="11" width="11.42578125" customWidth="1"/>
    <col min="12" max="16" width="12.7109375" customWidth="1"/>
    <col min="17" max="18" width="12.28515625" customWidth="1"/>
    <col min="19" max="19" width="11.5703125" style="38" customWidth="1"/>
    <col min="20" max="20" width="12.140625" style="38" customWidth="1"/>
    <col min="21" max="21" width="11.7109375" style="38" customWidth="1"/>
    <col min="22" max="26" width="12.7109375" style="38" customWidth="1"/>
    <col min="27" max="27" width="13.85546875" style="38" customWidth="1"/>
    <col min="28" max="28" width="13.140625" customWidth="1"/>
    <col min="29" max="35" width="12.140625" customWidth="1"/>
    <col min="36" max="36" width="13.7109375" customWidth="1"/>
    <col min="37" max="44" width="12.140625" customWidth="1"/>
    <col min="45" max="45" width="16.140625" customWidth="1"/>
    <col min="46" max="53" width="12.140625" customWidth="1"/>
    <col min="54" max="54" width="16.140625" customWidth="1"/>
    <col min="55" max="62" width="12.140625" customWidth="1"/>
    <col min="63" max="63" width="16.140625" customWidth="1"/>
    <col min="64" max="71" width="12.140625" customWidth="1"/>
    <col min="72" max="72" width="16.140625" customWidth="1"/>
    <col min="73" max="80" width="12.140625" style="38" customWidth="1"/>
    <col min="81" max="81" width="16.140625" style="38" customWidth="1"/>
    <col min="82" max="89" width="12.140625" style="38" customWidth="1"/>
    <col min="90" max="90" width="16.140625" style="38" customWidth="1"/>
    <col min="91" max="98" width="12.140625" style="38" customWidth="1"/>
    <col min="99" max="99" width="16.140625" style="38" customWidth="1"/>
    <col min="100" max="107" width="12.140625" style="38" customWidth="1"/>
    <col min="108" max="108" width="16.140625" style="38" customWidth="1"/>
    <col min="109" max="116" width="12.140625" style="38" customWidth="1"/>
    <col min="117" max="117" width="16.140625" style="38" customWidth="1"/>
    <col min="118" max="125" width="12.140625" style="38" customWidth="1"/>
    <col min="126" max="126" width="16.140625" style="38" customWidth="1"/>
    <col min="127" max="134" width="12.140625" style="38" customWidth="1"/>
    <col min="135" max="135" width="16.140625" style="38" customWidth="1"/>
    <col min="136" max="143" width="12.140625" style="38" customWidth="1"/>
    <col min="144" max="144" width="15.85546875" style="38" customWidth="1"/>
    <col min="145" max="152" width="12.140625" customWidth="1"/>
    <col min="153" max="153" width="15.85546875" customWidth="1"/>
    <col min="154" max="161" width="12.140625" customWidth="1"/>
    <col min="162" max="162" width="15.85546875" customWidth="1"/>
  </cols>
  <sheetData>
    <row r="1" spans="1:162" ht="20.25">
      <c r="A1" s="2" t="s">
        <v>0</v>
      </c>
      <c r="B1" s="258" t="s">
        <v>322</v>
      </c>
      <c r="C1" s="259"/>
      <c r="D1" s="259"/>
      <c r="E1" s="260"/>
      <c r="F1" s="250" t="s">
        <v>1</v>
      </c>
      <c r="G1" s="251"/>
      <c r="H1" s="251"/>
      <c r="I1" s="252"/>
      <c r="J1" s="54" t="s">
        <v>0</v>
      </c>
      <c r="K1" s="258" t="str">
        <f>B1</f>
        <v>MassDOT</v>
      </c>
      <c r="L1" s="259"/>
      <c r="M1" s="259"/>
      <c r="N1" s="260"/>
      <c r="O1" s="3" t="s">
        <v>1</v>
      </c>
      <c r="P1" s="4"/>
      <c r="Q1" s="4"/>
      <c r="R1" s="5"/>
      <c r="S1" s="54" t="s">
        <v>0</v>
      </c>
      <c r="T1" s="258" t="str">
        <f>K1</f>
        <v>MassDOT</v>
      </c>
      <c r="U1" s="259"/>
      <c r="V1" s="259"/>
      <c r="W1" s="260"/>
      <c r="X1" s="3" t="s">
        <v>1</v>
      </c>
      <c r="Y1" s="4"/>
      <c r="Z1" s="4"/>
      <c r="AA1" s="5"/>
      <c r="AB1" s="54" t="s">
        <v>0</v>
      </c>
      <c r="AC1" s="258" t="str">
        <f>T1</f>
        <v>MassDOT</v>
      </c>
      <c r="AD1" s="259"/>
      <c r="AE1" s="259"/>
      <c r="AF1" s="260"/>
      <c r="AG1" s="3" t="s">
        <v>1</v>
      </c>
      <c r="AH1" s="4"/>
      <c r="AI1" s="4"/>
      <c r="AJ1" s="5"/>
      <c r="AK1" s="54" t="s">
        <v>0</v>
      </c>
      <c r="AL1" s="258" t="str">
        <f>AC1</f>
        <v>MassDOT</v>
      </c>
      <c r="AM1" s="259"/>
      <c r="AN1" s="259"/>
      <c r="AO1" s="260"/>
      <c r="AP1" s="3" t="s">
        <v>1</v>
      </c>
      <c r="AQ1" s="4"/>
      <c r="AR1" s="4"/>
      <c r="AS1" s="5"/>
      <c r="AT1" s="54" t="s">
        <v>0</v>
      </c>
      <c r="AU1" s="258" t="str">
        <f>AL1</f>
        <v>MassDOT</v>
      </c>
      <c r="AV1" s="259"/>
      <c r="AW1" s="259"/>
      <c r="AX1" s="260"/>
      <c r="AY1" s="3" t="s">
        <v>1</v>
      </c>
      <c r="AZ1" s="4"/>
      <c r="BA1" s="4"/>
      <c r="BB1" s="5"/>
      <c r="BC1" s="54" t="s">
        <v>0</v>
      </c>
      <c r="BD1" s="258" t="str">
        <f>AU1</f>
        <v>MassDOT</v>
      </c>
      <c r="BE1" s="259"/>
      <c r="BF1" s="259"/>
      <c r="BG1" s="260"/>
      <c r="BH1" s="3" t="s">
        <v>1</v>
      </c>
      <c r="BI1" s="4"/>
      <c r="BJ1" s="4"/>
      <c r="BK1" s="5"/>
      <c r="BL1" s="54" t="s">
        <v>0</v>
      </c>
      <c r="BM1" s="258" t="str">
        <f>BD1</f>
        <v>MassDOT</v>
      </c>
      <c r="BN1" s="259"/>
      <c r="BO1" s="259"/>
      <c r="BP1" s="260"/>
      <c r="BQ1" s="3" t="s">
        <v>1</v>
      </c>
      <c r="BR1" s="4"/>
      <c r="BS1" s="4"/>
      <c r="BT1" s="5"/>
      <c r="BU1" s="54" t="s">
        <v>0</v>
      </c>
      <c r="BV1" s="258" t="str">
        <f>BM1</f>
        <v>MassDOT</v>
      </c>
      <c r="BW1" s="259"/>
      <c r="BX1" s="259"/>
      <c r="BY1" s="260"/>
      <c r="BZ1" s="3" t="s">
        <v>1</v>
      </c>
      <c r="CA1" s="4"/>
      <c r="CB1" s="4"/>
      <c r="CC1" s="5"/>
      <c r="CD1" s="54" t="s">
        <v>0</v>
      </c>
      <c r="CE1" s="258" t="str">
        <f>BV1</f>
        <v>MassDOT</v>
      </c>
      <c r="CF1" s="259"/>
      <c r="CG1" s="259"/>
      <c r="CH1" s="260"/>
      <c r="CI1" s="3" t="s">
        <v>1</v>
      </c>
      <c r="CJ1" s="4"/>
      <c r="CK1" s="4"/>
      <c r="CL1" s="5"/>
      <c r="CM1" s="54" t="s">
        <v>0</v>
      </c>
      <c r="CN1" s="258" t="str">
        <f>CE1</f>
        <v>MassDOT</v>
      </c>
      <c r="CO1" s="259"/>
      <c r="CP1" s="259"/>
      <c r="CQ1" s="260"/>
      <c r="CR1" s="3" t="s">
        <v>1</v>
      </c>
      <c r="CS1" s="4"/>
      <c r="CT1" s="4"/>
      <c r="CU1" s="5"/>
      <c r="CV1" s="54" t="s">
        <v>0</v>
      </c>
      <c r="CW1" s="258" t="str">
        <f>CN1</f>
        <v>MassDOT</v>
      </c>
      <c r="CX1" s="259"/>
      <c r="CY1" s="259"/>
      <c r="CZ1" s="260"/>
      <c r="DA1" s="3" t="s">
        <v>1</v>
      </c>
      <c r="DB1" s="4"/>
      <c r="DC1" s="4"/>
      <c r="DD1" s="5"/>
      <c r="DE1" s="54" t="s">
        <v>0</v>
      </c>
      <c r="DF1" s="258" t="str">
        <f>CW1</f>
        <v>MassDOT</v>
      </c>
      <c r="DG1" s="259"/>
      <c r="DH1" s="259"/>
      <c r="DI1" s="260"/>
      <c r="DJ1" s="3" t="s">
        <v>1</v>
      </c>
      <c r="DK1" s="4"/>
      <c r="DL1" s="4"/>
      <c r="DM1" s="5"/>
      <c r="DN1" s="54" t="s">
        <v>0</v>
      </c>
      <c r="DO1" s="258" t="str">
        <f>DF1</f>
        <v>MassDOT</v>
      </c>
      <c r="DP1" s="259"/>
      <c r="DQ1" s="259"/>
      <c r="DR1" s="260"/>
      <c r="DS1" s="3" t="s">
        <v>1</v>
      </c>
      <c r="DT1" s="4"/>
      <c r="DU1" s="4"/>
      <c r="DV1" s="5"/>
      <c r="DW1" s="54" t="s">
        <v>0</v>
      </c>
      <c r="DX1" s="258" t="str">
        <f>DO1</f>
        <v>MassDOT</v>
      </c>
      <c r="DY1" s="259"/>
      <c r="DZ1" s="259"/>
      <c r="EA1" s="260"/>
      <c r="EB1" s="3" t="s">
        <v>1</v>
      </c>
      <c r="EC1" s="4"/>
      <c r="ED1" s="4"/>
      <c r="EE1" s="5"/>
      <c r="EF1" s="54" t="s">
        <v>0</v>
      </c>
      <c r="EG1" s="258" t="str">
        <f>DX1</f>
        <v>MassDOT</v>
      </c>
      <c r="EH1" s="259"/>
      <c r="EI1" s="259"/>
      <c r="EJ1" s="260"/>
      <c r="EK1" s="3" t="s">
        <v>1</v>
      </c>
      <c r="EL1" s="4"/>
      <c r="EM1" s="4"/>
      <c r="EN1" s="5"/>
      <c r="EO1" s="54" t="s">
        <v>0</v>
      </c>
      <c r="EP1" s="258" t="str">
        <f>EG1</f>
        <v>MassDOT</v>
      </c>
      <c r="EQ1" s="259"/>
      <c r="ER1" s="259"/>
      <c r="ES1" s="260"/>
      <c r="ET1" s="3" t="s">
        <v>1</v>
      </c>
      <c r="EU1" s="4"/>
      <c r="EV1" s="4"/>
      <c r="EW1" s="5"/>
      <c r="EX1" s="54" t="s">
        <v>0</v>
      </c>
      <c r="EY1" s="258" t="str">
        <f>EP1</f>
        <v>MassDOT</v>
      </c>
      <c r="EZ1" s="259"/>
      <c r="FA1" s="259"/>
      <c r="FB1" s="260"/>
      <c r="FC1" s="3" t="s">
        <v>1</v>
      </c>
      <c r="FD1" s="4"/>
      <c r="FE1" s="4"/>
      <c r="FF1" s="5"/>
    </row>
    <row r="2" spans="1:162">
      <c r="A2" s="2" t="s">
        <v>2</v>
      </c>
      <c r="B2" s="258" t="str">
        <f>'[1]Load Rating'!$B$2:$E$2</f>
        <v>Richard P. Howe - L-15-095</v>
      </c>
      <c r="C2" s="259"/>
      <c r="D2" s="259"/>
      <c r="E2" s="260"/>
      <c r="F2" s="30" t="s">
        <v>3</v>
      </c>
      <c r="G2" s="30" t="s">
        <v>4</v>
      </c>
      <c r="H2" s="30" t="s">
        <v>5</v>
      </c>
      <c r="I2" s="30">
        <v>4014943</v>
      </c>
      <c r="J2" s="54" t="s">
        <v>2</v>
      </c>
      <c r="K2" s="258" t="str">
        <f>B2</f>
        <v>Richard P. Howe - L-15-095</v>
      </c>
      <c r="L2" s="259"/>
      <c r="M2" s="259"/>
      <c r="N2" s="260"/>
      <c r="O2" s="55" t="s">
        <v>3</v>
      </c>
      <c r="P2" s="55" t="s">
        <v>4</v>
      </c>
      <c r="Q2" s="55" t="s">
        <v>5</v>
      </c>
      <c r="R2" s="55">
        <v>4014943</v>
      </c>
      <c r="S2" s="54" t="s">
        <v>2</v>
      </c>
      <c r="T2" s="258" t="str">
        <f>K2</f>
        <v>Richard P. Howe - L-15-095</v>
      </c>
      <c r="U2" s="259"/>
      <c r="V2" s="259"/>
      <c r="W2" s="260"/>
      <c r="X2" s="55" t="s">
        <v>3</v>
      </c>
      <c r="Y2" s="55" t="s">
        <v>4</v>
      </c>
      <c r="Z2" s="55" t="s">
        <v>5</v>
      </c>
      <c r="AA2" s="55">
        <v>4014943</v>
      </c>
      <c r="AB2" s="54" t="s">
        <v>2</v>
      </c>
      <c r="AC2" s="258" t="str">
        <f>T2</f>
        <v>Richard P. Howe - L-15-095</v>
      </c>
      <c r="AD2" s="259"/>
      <c r="AE2" s="259"/>
      <c r="AF2" s="260"/>
      <c r="AG2" s="55" t="s">
        <v>3</v>
      </c>
      <c r="AH2" s="55" t="s">
        <v>4</v>
      </c>
      <c r="AI2" s="55" t="s">
        <v>5</v>
      </c>
      <c r="AJ2" s="55">
        <v>4014943</v>
      </c>
      <c r="AK2" s="54" t="s">
        <v>2</v>
      </c>
      <c r="AL2" s="258" t="str">
        <f>AC2</f>
        <v>Richard P. Howe - L-15-095</v>
      </c>
      <c r="AM2" s="259"/>
      <c r="AN2" s="259"/>
      <c r="AO2" s="260"/>
      <c r="AP2" s="55" t="s">
        <v>3</v>
      </c>
      <c r="AQ2" s="55" t="s">
        <v>4</v>
      </c>
      <c r="AR2" s="55" t="s">
        <v>5</v>
      </c>
      <c r="AS2" s="55">
        <v>4014943</v>
      </c>
      <c r="AT2" s="54" t="s">
        <v>2</v>
      </c>
      <c r="AU2" s="258" t="str">
        <f>AL2</f>
        <v>Richard P. Howe - L-15-095</v>
      </c>
      <c r="AV2" s="259"/>
      <c r="AW2" s="259"/>
      <c r="AX2" s="260"/>
      <c r="AY2" s="55" t="s">
        <v>3</v>
      </c>
      <c r="AZ2" s="55" t="s">
        <v>4</v>
      </c>
      <c r="BA2" s="55" t="s">
        <v>5</v>
      </c>
      <c r="BB2" s="55">
        <v>4014943</v>
      </c>
      <c r="BC2" s="54" t="s">
        <v>2</v>
      </c>
      <c r="BD2" s="258" t="str">
        <f>AU2</f>
        <v>Richard P. Howe - L-15-095</v>
      </c>
      <c r="BE2" s="259"/>
      <c r="BF2" s="259"/>
      <c r="BG2" s="260"/>
      <c r="BH2" s="55" t="s">
        <v>3</v>
      </c>
      <c r="BI2" s="55" t="s">
        <v>4</v>
      </c>
      <c r="BJ2" s="55" t="s">
        <v>5</v>
      </c>
      <c r="BK2" s="55">
        <v>4014943</v>
      </c>
      <c r="BL2" s="54" t="s">
        <v>2</v>
      </c>
      <c r="BM2" s="258" t="str">
        <f>BD2</f>
        <v>Richard P. Howe - L-15-095</v>
      </c>
      <c r="BN2" s="259"/>
      <c r="BO2" s="259"/>
      <c r="BP2" s="260"/>
      <c r="BQ2" s="55" t="s">
        <v>3</v>
      </c>
      <c r="BR2" s="55" t="s">
        <v>4</v>
      </c>
      <c r="BS2" s="55" t="s">
        <v>5</v>
      </c>
      <c r="BT2" s="55">
        <v>4014943</v>
      </c>
      <c r="BU2" s="54" t="s">
        <v>2</v>
      </c>
      <c r="BV2" s="258" t="str">
        <f>BM2</f>
        <v>Richard P. Howe - L-15-095</v>
      </c>
      <c r="BW2" s="259"/>
      <c r="BX2" s="259"/>
      <c r="BY2" s="260"/>
      <c r="BZ2" s="55" t="s">
        <v>3</v>
      </c>
      <c r="CA2" s="55" t="s">
        <v>4</v>
      </c>
      <c r="CB2" s="55" t="s">
        <v>5</v>
      </c>
      <c r="CC2" s="55">
        <v>4014943</v>
      </c>
      <c r="CD2" s="54" t="s">
        <v>2</v>
      </c>
      <c r="CE2" s="258" t="str">
        <f>BV2</f>
        <v>Richard P. Howe - L-15-095</v>
      </c>
      <c r="CF2" s="259"/>
      <c r="CG2" s="259"/>
      <c r="CH2" s="260"/>
      <c r="CI2" s="55" t="s">
        <v>3</v>
      </c>
      <c r="CJ2" s="55" t="s">
        <v>4</v>
      </c>
      <c r="CK2" s="55" t="s">
        <v>5</v>
      </c>
      <c r="CL2" s="55">
        <v>4014943</v>
      </c>
      <c r="CM2" s="54" t="s">
        <v>2</v>
      </c>
      <c r="CN2" s="258" t="str">
        <f>CE2</f>
        <v>Richard P. Howe - L-15-095</v>
      </c>
      <c r="CO2" s="259"/>
      <c r="CP2" s="259"/>
      <c r="CQ2" s="260"/>
      <c r="CR2" s="55" t="s">
        <v>3</v>
      </c>
      <c r="CS2" s="55" t="s">
        <v>4</v>
      </c>
      <c r="CT2" s="55" t="s">
        <v>5</v>
      </c>
      <c r="CU2" s="55">
        <v>4014943</v>
      </c>
      <c r="CV2" s="54" t="s">
        <v>2</v>
      </c>
      <c r="CW2" s="258" t="str">
        <f>CN2</f>
        <v>Richard P. Howe - L-15-095</v>
      </c>
      <c r="CX2" s="259"/>
      <c r="CY2" s="259"/>
      <c r="CZ2" s="260"/>
      <c r="DA2" s="55" t="s">
        <v>3</v>
      </c>
      <c r="DB2" s="55" t="s">
        <v>4</v>
      </c>
      <c r="DC2" s="55" t="s">
        <v>5</v>
      </c>
      <c r="DD2" s="55">
        <v>4014943</v>
      </c>
      <c r="DE2" s="54" t="s">
        <v>2</v>
      </c>
      <c r="DF2" s="258" t="str">
        <f>CW2</f>
        <v>Richard P. Howe - L-15-095</v>
      </c>
      <c r="DG2" s="259"/>
      <c r="DH2" s="259"/>
      <c r="DI2" s="260"/>
      <c r="DJ2" s="55" t="s">
        <v>3</v>
      </c>
      <c r="DK2" s="55" t="s">
        <v>4</v>
      </c>
      <c r="DL2" s="55" t="s">
        <v>5</v>
      </c>
      <c r="DM2" s="55">
        <v>4014943</v>
      </c>
      <c r="DN2" s="54" t="s">
        <v>2</v>
      </c>
      <c r="DO2" s="258" t="str">
        <f>DF2</f>
        <v>Richard P. Howe - L-15-095</v>
      </c>
      <c r="DP2" s="259"/>
      <c r="DQ2" s="259"/>
      <c r="DR2" s="260"/>
      <c r="DS2" s="55" t="s">
        <v>3</v>
      </c>
      <c r="DT2" s="55" t="s">
        <v>4</v>
      </c>
      <c r="DU2" s="55" t="s">
        <v>5</v>
      </c>
      <c r="DV2" s="55">
        <v>4014943</v>
      </c>
      <c r="DW2" s="54" t="s">
        <v>2</v>
      </c>
      <c r="DX2" s="258" t="str">
        <f>DO2</f>
        <v>Richard P. Howe - L-15-095</v>
      </c>
      <c r="DY2" s="259"/>
      <c r="DZ2" s="259"/>
      <c r="EA2" s="260"/>
      <c r="EB2" s="55" t="s">
        <v>3</v>
      </c>
      <c r="EC2" s="55" t="s">
        <v>4</v>
      </c>
      <c r="ED2" s="55" t="s">
        <v>5</v>
      </c>
      <c r="EE2" s="55">
        <v>4014943</v>
      </c>
      <c r="EF2" s="54" t="s">
        <v>2</v>
      </c>
      <c r="EG2" s="258" t="str">
        <f>DX2</f>
        <v>Richard P. Howe - L-15-095</v>
      </c>
      <c r="EH2" s="259"/>
      <c r="EI2" s="259"/>
      <c r="EJ2" s="260"/>
      <c r="EK2" s="55" t="s">
        <v>3</v>
      </c>
      <c r="EL2" s="55" t="s">
        <v>4</v>
      </c>
      <c r="EM2" s="55" t="s">
        <v>5</v>
      </c>
      <c r="EN2" s="55">
        <v>4014943</v>
      </c>
      <c r="EO2" s="54" t="s">
        <v>2</v>
      </c>
      <c r="EP2" s="258" t="str">
        <f>EG2</f>
        <v>Richard P. Howe - L-15-095</v>
      </c>
      <c r="EQ2" s="259"/>
      <c r="ER2" s="259"/>
      <c r="ES2" s="260"/>
      <c r="ET2" s="55" t="s">
        <v>3</v>
      </c>
      <c r="EU2" s="55" t="s">
        <v>4</v>
      </c>
      <c r="EV2" s="55" t="s">
        <v>5</v>
      </c>
      <c r="EW2" s="55">
        <v>4014943</v>
      </c>
      <c r="EX2" s="54" t="s">
        <v>2</v>
      </c>
      <c r="EY2" s="258" t="str">
        <f>EP2</f>
        <v>Richard P. Howe - L-15-095</v>
      </c>
      <c r="EZ2" s="259"/>
      <c r="FA2" s="259"/>
      <c r="FB2" s="260"/>
      <c r="FC2" s="55" t="s">
        <v>3</v>
      </c>
      <c r="FD2" s="55" t="s">
        <v>4</v>
      </c>
      <c r="FE2" s="55" t="s">
        <v>5</v>
      </c>
      <c r="FF2" s="55">
        <v>4014943</v>
      </c>
    </row>
    <row r="3" spans="1:162" ht="15" customHeight="1">
      <c r="A3" s="2" t="s">
        <v>6</v>
      </c>
      <c r="B3" s="253" t="str">
        <f>'[1]Load Rating'!$B$3:$E$3</f>
        <v>Bridge Loading</v>
      </c>
      <c r="C3" s="254"/>
      <c r="D3" s="254"/>
      <c r="E3" s="255"/>
      <c r="F3" s="30">
        <f>'[1]Load Rating'!$F$3</f>
        <v>0</v>
      </c>
      <c r="G3" s="30"/>
      <c r="H3" s="30"/>
      <c r="I3" s="245">
        <f>1</f>
        <v>1</v>
      </c>
      <c r="J3" s="54" t="s">
        <v>6</v>
      </c>
      <c r="K3" s="253" t="str">
        <f>B3</f>
        <v>Bridge Loading</v>
      </c>
      <c r="L3" s="254"/>
      <c r="M3" s="254"/>
      <c r="N3" s="255"/>
      <c r="O3" s="55">
        <f>F3</f>
        <v>0</v>
      </c>
      <c r="P3" s="55"/>
      <c r="Q3" s="55"/>
      <c r="R3" s="245">
        <f>I3+1</f>
        <v>2</v>
      </c>
      <c r="S3" s="54" t="s">
        <v>6</v>
      </c>
      <c r="T3" s="253" t="str">
        <f>K3</f>
        <v>Bridge Loading</v>
      </c>
      <c r="U3" s="254"/>
      <c r="V3" s="254"/>
      <c r="W3" s="255"/>
      <c r="X3" s="55">
        <f>O3</f>
        <v>0</v>
      </c>
      <c r="Y3" s="55"/>
      <c r="Z3" s="55"/>
      <c r="AA3" s="245">
        <f>R3+1</f>
        <v>3</v>
      </c>
      <c r="AB3" s="54" t="s">
        <v>6</v>
      </c>
      <c r="AC3" s="253" t="str">
        <f>T3</f>
        <v>Bridge Loading</v>
      </c>
      <c r="AD3" s="254"/>
      <c r="AE3" s="254"/>
      <c r="AF3" s="255"/>
      <c r="AG3" s="55">
        <f>X3</f>
        <v>0</v>
      </c>
      <c r="AH3" s="55"/>
      <c r="AI3" s="55"/>
      <c r="AJ3" s="245">
        <f>AA3+1</f>
        <v>4</v>
      </c>
      <c r="AK3" s="54" t="s">
        <v>6</v>
      </c>
      <c r="AL3" s="253" t="str">
        <f>AC3</f>
        <v>Bridge Loading</v>
      </c>
      <c r="AM3" s="254"/>
      <c r="AN3" s="254"/>
      <c r="AO3" s="255"/>
      <c r="AP3" s="55">
        <f>AG3</f>
        <v>0</v>
      </c>
      <c r="AQ3" s="55"/>
      <c r="AR3" s="55"/>
      <c r="AS3" s="245">
        <f>AJ3+1</f>
        <v>5</v>
      </c>
      <c r="AT3" s="54" t="s">
        <v>6</v>
      </c>
      <c r="AU3" s="253" t="str">
        <f>AL3</f>
        <v>Bridge Loading</v>
      </c>
      <c r="AV3" s="254"/>
      <c r="AW3" s="254"/>
      <c r="AX3" s="255"/>
      <c r="AY3" s="55">
        <f>AP3</f>
        <v>0</v>
      </c>
      <c r="AZ3" s="55"/>
      <c r="BA3" s="55"/>
      <c r="BB3" s="245">
        <f>AS3+1</f>
        <v>6</v>
      </c>
      <c r="BC3" s="54" t="s">
        <v>6</v>
      </c>
      <c r="BD3" s="253" t="str">
        <f>AU3</f>
        <v>Bridge Loading</v>
      </c>
      <c r="BE3" s="254"/>
      <c r="BF3" s="254"/>
      <c r="BG3" s="255"/>
      <c r="BH3" s="55">
        <f>AY3</f>
        <v>0</v>
      </c>
      <c r="BI3" s="55"/>
      <c r="BJ3" s="55"/>
      <c r="BK3" s="245">
        <f>BB3+1</f>
        <v>7</v>
      </c>
      <c r="BL3" s="54" t="s">
        <v>6</v>
      </c>
      <c r="BM3" s="253" t="str">
        <f>BD3</f>
        <v>Bridge Loading</v>
      </c>
      <c r="BN3" s="254"/>
      <c r="BO3" s="254"/>
      <c r="BP3" s="255"/>
      <c r="BQ3" s="55">
        <f>BH3</f>
        <v>0</v>
      </c>
      <c r="BR3" s="55"/>
      <c r="BS3" s="55"/>
      <c r="BT3" s="245">
        <f>BK3+1</f>
        <v>8</v>
      </c>
      <c r="BU3" s="54" t="s">
        <v>6</v>
      </c>
      <c r="BV3" s="253" t="str">
        <f>BM3</f>
        <v>Bridge Loading</v>
      </c>
      <c r="BW3" s="254"/>
      <c r="BX3" s="254"/>
      <c r="BY3" s="255"/>
      <c r="BZ3" s="55">
        <f>BQ3</f>
        <v>0</v>
      </c>
      <c r="CA3" s="55"/>
      <c r="CB3" s="55"/>
      <c r="CC3" s="245">
        <f>BT3+1</f>
        <v>9</v>
      </c>
      <c r="CD3" s="54" t="s">
        <v>6</v>
      </c>
      <c r="CE3" s="253" t="str">
        <f>BV3</f>
        <v>Bridge Loading</v>
      </c>
      <c r="CF3" s="254"/>
      <c r="CG3" s="254"/>
      <c r="CH3" s="255"/>
      <c r="CI3" s="55">
        <f>BZ3</f>
        <v>0</v>
      </c>
      <c r="CJ3" s="55"/>
      <c r="CK3" s="55"/>
      <c r="CL3" s="245">
        <f>CC3+1</f>
        <v>10</v>
      </c>
      <c r="CM3" s="54" t="s">
        <v>6</v>
      </c>
      <c r="CN3" s="253" t="str">
        <f>CE3</f>
        <v>Bridge Loading</v>
      </c>
      <c r="CO3" s="254"/>
      <c r="CP3" s="254"/>
      <c r="CQ3" s="255"/>
      <c r="CR3" s="55">
        <f>CI3</f>
        <v>0</v>
      </c>
      <c r="CS3" s="55"/>
      <c r="CT3" s="55"/>
      <c r="CU3" s="245">
        <f>CL3+1</f>
        <v>11</v>
      </c>
      <c r="CV3" s="54" t="s">
        <v>6</v>
      </c>
      <c r="CW3" s="253" t="str">
        <f>CN3</f>
        <v>Bridge Loading</v>
      </c>
      <c r="CX3" s="254"/>
      <c r="CY3" s="254"/>
      <c r="CZ3" s="255"/>
      <c r="DA3" s="55">
        <f>CR3</f>
        <v>0</v>
      </c>
      <c r="DB3" s="55"/>
      <c r="DC3" s="55"/>
      <c r="DD3" s="245">
        <f>CU3+1</f>
        <v>12</v>
      </c>
      <c r="DE3" s="54" t="s">
        <v>6</v>
      </c>
      <c r="DF3" s="253" t="str">
        <f>CW3</f>
        <v>Bridge Loading</v>
      </c>
      <c r="DG3" s="254"/>
      <c r="DH3" s="254"/>
      <c r="DI3" s="255"/>
      <c r="DJ3" s="55">
        <f>DA3</f>
        <v>0</v>
      </c>
      <c r="DK3" s="55"/>
      <c r="DL3" s="55"/>
      <c r="DM3" s="245">
        <f>DD3+1</f>
        <v>13</v>
      </c>
      <c r="DN3" s="54" t="s">
        <v>6</v>
      </c>
      <c r="DO3" s="253" t="str">
        <f>DF3</f>
        <v>Bridge Loading</v>
      </c>
      <c r="DP3" s="254"/>
      <c r="DQ3" s="254"/>
      <c r="DR3" s="255"/>
      <c r="DS3" s="55">
        <f>DJ3</f>
        <v>0</v>
      </c>
      <c r="DT3" s="55"/>
      <c r="DU3" s="55"/>
      <c r="DV3" s="245">
        <f>DM3+1</f>
        <v>14</v>
      </c>
      <c r="DW3" s="54" t="s">
        <v>6</v>
      </c>
      <c r="DX3" s="253" t="str">
        <f>DO3</f>
        <v>Bridge Loading</v>
      </c>
      <c r="DY3" s="254"/>
      <c r="DZ3" s="254"/>
      <c r="EA3" s="255"/>
      <c r="EB3" s="55">
        <f>DS3</f>
        <v>0</v>
      </c>
      <c r="EC3" s="55"/>
      <c r="ED3" s="55"/>
      <c r="EE3" s="245">
        <f>DV3+1</f>
        <v>15</v>
      </c>
      <c r="EF3" s="54" t="s">
        <v>6</v>
      </c>
      <c r="EG3" s="253" t="str">
        <f>DX3</f>
        <v>Bridge Loading</v>
      </c>
      <c r="EH3" s="254"/>
      <c r="EI3" s="254"/>
      <c r="EJ3" s="255"/>
      <c r="EK3" s="55">
        <f>EB3</f>
        <v>0</v>
      </c>
      <c r="EL3" s="55"/>
      <c r="EM3" s="55"/>
      <c r="EN3" s="245">
        <f>EE3+1</f>
        <v>16</v>
      </c>
      <c r="EO3" s="54" t="s">
        <v>6</v>
      </c>
      <c r="EP3" s="253" t="str">
        <f>EG3</f>
        <v>Bridge Loading</v>
      </c>
      <c r="EQ3" s="254"/>
      <c r="ER3" s="254"/>
      <c r="ES3" s="255"/>
      <c r="ET3" s="55">
        <f>EK3</f>
        <v>0</v>
      </c>
      <c r="EU3" s="55"/>
      <c r="EV3" s="55"/>
      <c r="EW3" s="245">
        <f>EN3+1</f>
        <v>17</v>
      </c>
      <c r="EX3" s="54" t="s">
        <v>6</v>
      </c>
      <c r="EY3" s="253" t="str">
        <f>EP3</f>
        <v>Bridge Loading</v>
      </c>
      <c r="EZ3" s="254"/>
      <c r="FA3" s="254"/>
      <c r="FB3" s="255"/>
      <c r="FC3" s="55">
        <f>ET3</f>
        <v>0</v>
      </c>
      <c r="FD3" s="55"/>
      <c r="FE3" s="55"/>
      <c r="FF3" s="245">
        <f>EW3+1</f>
        <v>18</v>
      </c>
    </row>
    <row r="4" spans="1:162" ht="15" customHeight="1">
      <c r="A4" s="2"/>
      <c r="B4" s="261" t="str">
        <f>B6</f>
        <v>Truss Gusset Plates</v>
      </c>
      <c r="C4" s="262"/>
      <c r="D4" s="262"/>
      <c r="E4" s="263"/>
      <c r="F4" s="31">
        <f ca="1">TODAY()</f>
        <v>42500</v>
      </c>
      <c r="G4" s="30"/>
      <c r="H4" s="30"/>
      <c r="I4" s="30"/>
      <c r="J4" s="54"/>
      <c r="K4" s="261" t="str">
        <f>K6&amp;" "&amp;N6</f>
        <v xml:space="preserve">Gusset Members </v>
      </c>
      <c r="L4" s="262"/>
      <c r="M4" s="262"/>
      <c r="N4" s="263"/>
      <c r="O4" s="56">
        <f ca="1">F4</f>
        <v>42500</v>
      </c>
      <c r="P4" s="55"/>
      <c r="Q4" s="55"/>
      <c r="R4" s="55"/>
      <c r="S4" s="54"/>
      <c r="T4" s="261" t="str">
        <f>T6&amp;" "&amp;W6</f>
        <v xml:space="preserve">Gusset Members </v>
      </c>
      <c r="U4" s="262"/>
      <c r="V4" s="262"/>
      <c r="W4" s="263"/>
      <c r="X4" s="56">
        <f ca="1">O4</f>
        <v>42500</v>
      </c>
      <c r="Y4" s="55"/>
      <c r="Z4" s="55"/>
      <c r="AA4" s="55"/>
      <c r="AB4" s="54"/>
      <c r="AC4" s="261" t="str">
        <f>AC6&amp;" "&amp;AF6</f>
        <v xml:space="preserve">Gusset Member Section Summary </v>
      </c>
      <c r="AD4" s="262"/>
      <c r="AE4" s="262"/>
      <c r="AF4" s="263"/>
      <c r="AG4" s="56">
        <f ca="1">X4</f>
        <v>42500</v>
      </c>
      <c r="AH4" s="55"/>
      <c r="AI4" s="55"/>
      <c r="AJ4" s="55"/>
      <c r="AK4" s="54"/>
      <c r="AL4" s="261" t="str">
        <f>AL6&amp;" "&amp;AO6</f>
        <v>Gusset Member S1</v>
      </c>
      <c r="AM4" s="262"/>
      <c r="AN4" s="262"/>
      <c r="AO4" s="263"/>
      <c r="AP4" s="56">
        <f ca="1">AG4</f>
        <v>42500</v>
      </c>
      <c r="AQ4" s="55"/>
      <c r="AR4" s="55"/>
      <c r="AS4" s="55"/>
      <c r="AT4" s="54"/>
      <c r="AU4" s="261" t="str">
        <f>AU6&amp;" "&amp;AX6</f>
        <v>Gusset Member S2</v>
      </c>
      <c r="AV4" s="262"/>
      <c r="AW4" s="262"/>
      <c r="AX4" s="263"/>
      <c r="AY4" s="56">
        <f ca="1">AP4</f>
        <v>42500</v>
      </c>
      <c r="AZ4" s="55"/>
      <c r="BA4" s="55"/>
      <c r="BB4" s="55"/>
      <c r="BC4" s="54"/>
      <c r="BD4" s="261" t="str">
        <f>BD6&amp;" "&amp;BG6</f>
        <v>Gusset Member S3</v>
      </c>
      <c r="BE4" s="262"/>
      <c r="BF4" s="262"/>
      <c r="BG4" s="263"/>
      <c r="BH4" s="56">
        <f ca="1">AY4</f>
        <v>42500</v>
      </c>
      <c r="BI4" s="55"/>
      <c r="BJ4" s="55"/>
      <c r="BK4" s="55"/>
      <c r="BL4" s="54"/>
      <c r="BM4" s="261" t="str">
        <f>BM6&amp;" "&amp;BP6</f>
        <v>Gusset Member S4</v>
      </c>
      <c r="BN4" s="262"/>
      <c r="BO4" s="262"/>
      <c r="BP4" s="263"/>
      <c r="BQ4" s="56">
        <f ca="1">BH4</f>
        <v>42500</v>
      </c>
      <c r="BR4" s="55"/>
      <c r="BS4" s="55"/>
      <c r="BT4" s="55"/>
      <c r="BU4" s="54"/>
      <c r="BV4" s="261" t="str">
        <f>BV6&amp;" "&amp;BY6</f>
        <v>Gusset Member S5</v>
      </c>
      <c r="BW4" s="262"/>
      <c r="BX4" s="262"/>
      <c r="BY4" s="263"/>
      <c r="BZ4" s="56">
        <f ca="1">BQ4</f>
        <v>42500</v>
      </c>
      <c r="CA4" s="55"/>
      <c r="CB4" s="55"/>
      <c r="CC4" s="55"/>
      <c r="CD4" s="54"/>
      <c r="CE4" s="261" t="str">
        <f>CE6&amp;" "&amp;CH6</f>
        <v>Gusset Member S6</v>
      </c>
      <c r="CF4" s="262"/>
      <c r="CG4" s="262"/>
      <c r="CH4" s="263"/>
      <c r="CI4" s="56">
        <f ca="1">BZ4</f>
        <v>42500</v>
      </c>
      <c r="CJ4" s="55"/>
      <c r="CK4" s="55"/>
      <c r="CL4" s="55"/>
      <c r="CM4" s="54"/>
      <c r="CN4" s="261" t="str">
        <f>CN6&amp;" "&amp;CQ6</f>
        <v>Gusset Member S7</v>
      </c>
      <c r="CO4" s="262"/>
      <c r="CP4" s="262"/>
      <c r="CQ4" s="263"/>
      <c r="CR4" s="56">
        <f ca="1">CI4</f>
        <v>42500</v>
      </c>
      <c r="CS4" s="55"/>
      <c r="CT4" s="55"/>
      <c r="CU4" s="55"/>
      <c r="CV4" s="54"/>
      <c r="CW4" s="261" t="str">
        <f>CW6&amp;" "&amp;CZ6</f>
        <v>Gusset Member S8</v>
      </c>
      <c r="CX4" s="262"/>
      <c r="CY4" s="262"/>
      <c r="CZ4" s="263"/>
      <c r="DA4" s="56">
        <f ca="1">CR4</f>
        <v>42500</v>
      </c>
      <c r="DB4" s="55"/>
      <c r="DC4" s="55"/>
      <c r="DD4" s="55"/>
      <c r="DE4" s="54"/>
      <c r="DF4" s="261" t="str">
        <f>DF6&amp;" "&amp;DI6</f>
        <v>Gusset Member S9</v>
      </c>
      <c r="DG4" s="262"/>
      <c r="DH4" s="262"/>
      <c r="DI4" s="263"/>
      <c r="DJ4" s="56">
        <f ca="1">DA4</f>
        <v>42500</v>
      </c>
      <c r="DK4" s="55"/>
      <c r="DL4" s="55"/>
      <c r="DM4" s="55"/>
      <c r="DN4" s="54"/>
      <c r="DO4" s="261" t="str">
        <f>DO6&amp;" "&amp;DR6</f>
        <v>Gusset Member S10</v>
      </c>
      <c r="DP4" s="262"/>
      <c r="DQ4" s="262"/>
      <c r="DR4" s="263"/>
      <c r="DS4" s="56">
        <f ca="1">DJ4</f>
        <v>42500</v>
      </c>
      <c r="DT4" s="55"/>
      <c r="DU4" s="55"/>
      <c r="DV4" s="55"/>
      <c r="DW4" s="54"/>
      <c r="DX4" s="261" t="str">
        <f>DX6&amp;" "&amp;EA6</f>
        <v>Gusset Member S11</v>
      </c>
      <c r="DY4" s="262"/>
      <c r="DZ4" s="262"/>
      <c r="EA4" s="263"/>
      <c r="EB4" s="56">
        <f ca="1">DS4</f>
        <v>42500</v>
      </c>
      <c r="EC4" s="55"/>
      <c r="ED4" s="55"/>
      <c r="EE4" s="55"/>
      <c r="EF4" s="54"/>
      <c r="EG4" s="261" t="str">
        <f>EG6&amp;" "&amp;EJ6</f>
        <v>Gusset Member S12</v>
      </c>
      <c r="EH4" s="262"/>
      <c r="EI4" s="262"/>
      <c r="EJ4" s="263"/>
      <c r="EK4" s="56">
        <f ca="1">EB4</f>
        <v>42500</v>
      </c>
      <c r="EL4" s="55"/>
      <c r="EM4" s="55"/>
      <c r="EN4" s="55"/>
      <c r="EO4" s="54"/>
      <c r="EP4" s="261" t="str">
        <f>EP6&amp;" "&amp;ES6</f>
        <v>Gusset Member S13</v>
      </c>
      <c r="EQ4" s="262"/>
      <c r="ER4" s="262"/>
      <c r="ES4" s="263"/>
      <c r="ET4" s="56">
        <f ca="1">EK4</f>
        <v>42500</v>
      </c>
      <c r="EU4" s="55"/>
      <c r="EV4" s="55"/>
      <c r="EW4" s="55"/>
      <c r="EX4" s="54"/>
      <c r="EY4" s="261" t="str">
        <f>EY6&amp;" "&amp;FB6</f>
        <v>Gusset Member S14</v>
      </c>
      <c r="EZ4" s="262"/>
      <c r="FA4" s="262"/>
      <c r="FB4" s="263"/>
      <c r="FC4" s="56">
        <f ca="1">ET4</f>
        <v>42500</v>
      </c>
      <c r="FD4" s="55"/>
      <c r="FE4" s="55"/>
      <c r="FF4" s="55"/>
    </row>
    <row r="5" spans="1:162" s="6" customFormat="1" ht="14.25" customHeight="1">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row>
    <row r="6" spans="1:162" s="6" customFormat="1" ht="14.25" customHeight="1">
      <c r="A6" s="24"/>
      <c r="B6" s="32" t="s">
        <v>169</v>
      </c>
      <c r="G6" s="33" t="s">
        <v>45</v>
      </c>
      <c r="H6" s="33"/>
      <c r="I6" s="33"/>
      <c r="J6" s="35"/>
      <c r="K6" s="32" t="s">
        <v>58</v>
      </c>
      <c r="L6" s="23"/>
      <c r="M6" s="23"/>
      <c r="N6" s="23"/>
      <c r="O6" s="23"/>
      <c r="P6" s="33" t="s">
        <v>45</v>
      </c>
      <c r="Q6" s="33"/>
      <c r="R6" s="33"/>
      <c r="S6" s="35"/>
      <c r="T6" s="32" t="s">
        <v>58</v>
      </c>
      <c r="U6" s="23"/>
      <c r="V6" s="23"/>
      <c r="W6" s="23"/>
      <c r="X6" s="23"/>
      <c r="Y6" s="33" t="s">
        <v>45</v>
      </c>
      <c r="Z6" s="33"/>
      <c r="AA6" s="33"/>
      <c r="AC6" s="32" t="s">
        <v>121</v>
      </c>
      <c r="AD6" s="23"/>
      <c r="AE6" s="23"/>
      <c r="AF6" s="23"/>
      <c r="AG6" s="23"/>
      <c r="AH6" s="33" t="s">
        <v>45</v>
      </c>
      <c r="AI6" s="33"/>
      <c r="AJ6" s="33"/>
      <c r="AL6" s="32" t="s">
        <v>157</v>
      </c>
      <c r="AM6" s="23"/>
      <c r="AN6" s="37" t="s">
        <v>122</v>
      </c>
      <c r="AO6" s="83" t="str">
        <f>AC14</f>
        <v>S1</v>
      </c>
      <c r="AQ6" s="33" t="s">
        <v>45</v>
      </c>
      <c r="AR6" s="33" t="s">
        <v>161</v>
      </c>
      <c r="AS6" s="33"/>
      <c r="AU6" s="32" t="s">
        <v>157</v>
      </c>
      <c r="AV6" s="23"/>
      <c r="AW6" s="37" t="s">
        <v>122</v>
      </c>
      <c r="AX6" s="83" t="str">
        <f>AC15</f>
        <v>S2</v>
      </c>
      <c r="AZ6" s="33" t="s">
        <v>45</v>
      </c>
      <c r="BA6" s="33" t="s">
        <v>161</v>
      </c>
      <c r="BB6" s="33"/>
      <c r="BD6" s="32" t="s">
        <v>157</v>
      </c>
      <c r="BE6" s="23"/>
      <c r="BF6" s="37" t="s">
        <v>122</v>
      </c>
      <c r="BG6" s="83" t="str">
        <f>AC16</f>
        <v>S3</v>
      </c>
      <c r="BI6" s="33" t="s">
        <v>45</v>
      </c>
      <c r="BJ6" s="33" t="s">
        <v>161</v>
      </c>
      <c r="BK6" s="33"/>
      <c r="BM6" s="32" t="s">
        <v>157</v>
      </c>
      <c r="BN6" s="23"/>
      <c r="BO6" s="37" t="s">
        <v>122</v>
      </c>
      <c r="BP6" s="83" t="s">
        <v>113</v>
      </c>
      <c r="BR6" s="33" t="s">
        <v>45</v>
      </c>
      <c r="BS6" s="33" t="s">
        <v>161</v>
      </c>
      <c r="BT6" s="33"/>
      <c r="BV6" s="32" t="s">
        <v>157</v>
      </c>
      <c r="BW6" s="23"/>
      <c r="BX6" s="37" t="s">
        <v>122</v>
      </c>
      <c r="BY6" s="83" t="s">
        <v>114</v>
      </c>
      <c r="CA6" s="33" t="s">
        <v>45</v>
      </c>
      <c r="CB6" s="33" t="s">
        <v>160</v>
      </c>
      <c r="CC6" s="33"/>
      <c r="CE6" s="32" t="s">
        <v>157</v>
      </c>
      <c r="CF6" s="23"/>
      <c r="CG6" s="37" t="s">
        <v>122</v>
      </c>
      <c r="CH6" s="83" t="s">
        <v>116</v>
      </c>
      <c r="CJ6" s="33" t="s">
        <v>45</v>
      </c>
      <c r="CK6" s="33" t="s">
        <v>160</v>
      </c>
      <c r="CL6" s="33"/>
      <c r="CN6" s="32" t="s">
        <v>157</v>
      </c>
      <c r="CO6" s="23"/>
      <c r="CP6" s="37" t="s">
        <v>122</v>
      </c>
      <c r="CQ6" s="83" t="s">
        <v>115</v>
      </c>
      <c r="CS6" s="33" t="s">
        <v>45</v>
      </c>
      <c r="CT6" s="33" t="s">
        <v>160</v>
      </c>
      <c r="CU6" s="33"/>
      <c r="CW6" s="32" t="s">
        <v>157</v>
      </c>
      <c r="CX6" s="23"/>
      <c r="CY6" s="37" t="s">
        <v>122</v>
      </c>
      <c r="CZ6" s="83" t="s">
        <v>117</v>
      </c>
      <c r="DB6" s="33" t="s">
        <v>45</v>
      </c>
      <c r="DC6" s="33" t="s">
        <v>160</v>
      </c>
      <c r="DD6" s="33"/>
      <c r="DF6" s="32" t="s">
        <v>157</v>
      </c>
      <c r="DG6" s="23"/>
      <c r="DH6" s="37" t="s">
        <v>122</v>
      </c>
      <c r="DI6" s="83" t="s">
        <v>118</v>
      </c>
      <c r="DK6" s="33" t="s">
        <v>45</v>
      </c>
      <c r="DL6" s="33" t="s">
        <v>162</v>
      </c>
      <c r="DM6" s="33"/>
      <c r="DO6" s="32" t="s">
        <v>157</v>
      </c>
      <c r="DP6" s="23"/>
      <c r="DQ6" s="37" t="s">
        <v>122</v>
      </c>
      <c r="DR6" s="83" t="s">
        <v>119</v>
      </c>
      <c r="DT6" s="33" t="s">
        <v>45</v>
      </c>
      <c r="DU6" s="33" t="s">
        <v>162</v>
      </c>
      <c r="DV6" s="33"/>
      <c r="DX6" s="32" t="s">
        <v>157</v>
      </c>
      <c r="DY6" s="23"/>
      <c r="DZ6" s="37" t="s">
        <v>122</v>
      </c>
      <c r="EA6" s="83" t="s">
        <v>120</v>
      </c>
      <c r="EC6" s="33" t="s">
        <v>45</v>
      </c>
      <c r="ED6" s="33" t="s">
        <v>162</v>
      </c>
      <c r="EE6" s="33"/>
      <c r="EG6" s="32" t="s">
        <v>157</v>
      </c>
      <c r="EH6" s="23"/>
      <c r="EI6" s="37" t="s">
        <v>122</v>
      </c>
      <c r="EJ6" s="83" t="s">
        <v>123</v>
      </c>
      <c r="EL6" s="33" t="s">
        <v>45</v>
      </c>
      <c r="EM6" s="33" t="s">
        <v>162</v>
      </c>
      <c r="EN6" s="33"/>
      <c r="EP6" s="32" t="s">
        <v>157</v>
      </c>
      <c r="EQ6" s="23"/>
      <c r="ER6" s="37" t="s">
        <v>122</v>
      </c>
      <c r="ES6" s="83" t="s">
        <v>124</v>
      </c>
      <c r="EU6" s="33" t="s">
        <v>45</v>
      </c>
      <c r="EV6" s="33" t="s">
        <v>163</v>
      </c>
      <c r="EW6" s="33"/>
      <c r="EY6" s="32" t="s">
        <v>157</v>
      </c>
      <c r="EZ6" s="23"/>
      <c r="FA6" s="37" t="s">
        <v>122</v>
      </c>
      <c r="FB6" s="83" t="s">
        <v>125</v>
      </c>
      <c r="FD6" s="33" t="s">
        <v>45</v>
      </c>
      <c r="FE6" s="33"/>
      <c r="FF6" s="33"/>
    </row>
    <row r="7" spans="1:162" s="6" customFormat="1" ht="14.25" customHeight="1">
      <c r="A7" s="23"/>
      <c r="H7" s="24"/>
      <c r="I7" s="24"/>
      <c r="J7" s="24"/>
      <c r="Q7" s="24"/>
      <c r="R7" s="24"/>
      <c r="S7" s="24"/>
      <c r="Z7" s="24"/>
      <c r="AA7" s="24"/>
      <c r="AI7" s="24"/>
      <c r="AJ7" s="24"/>
      <c r="AK7" s="24"/>
      <c r="AN7" s="24"/>
      <c r="AO7" s="24"/>
      <c r="AP7" s="24"/>
      <c r="AQ7" s="24"/>
      <c r="AR7" s="24"/>
      <c r="AS7" s="24"/>
      <c r="AT7" s="24"/>
      <c r="AW7" s="24"/>
      <c r="AX7" s="24"/>
      <c r="AY7" s="24"/>
      <c r="AZ7" s="24"/>
      <c r="BA7" s="24"/>
      <c r="BB7" s="24"/>
      <c r="BC7" s="24"/>
      <c r="BF7" s="24"/>
      <c r="BG7" s="24"/>
      <c r="BH7" s="24"/>
      <c r="BI7" s="24"/>
      <c r="BJ7" s="24"/>
      <c r="BK7" s="24"/>
      <c r="BL7" s="24"/>
      <c r="BO7" s="24"/>
      <c r="BP7" s="24"/>
      <c r="BQ7" s="24"/>
      <c r="BR7" s="24"/>
      <c r="BS7" s="24"/>
      <c r="BT7" s="24"/>
      <c r="BU7" s="24"/>
      <c r="BX7" s="24"/>
      <c r="BY7" s="24"/>
      <c r="BZ7" s="24"/>
      <c r="CA7" s="24"/>
      <c r="CB7" s="24"/>
      <c r="CC7" s="24"/>
      <c r="CD7" s="24"/>
      <c r="CG7" s="24"/>
      <c r="CH7" s="24"/>
      <c r="CI7" s="24"/>
      <c r="CJ7" s="24"/>
      <c r="CK7" s="24"/>
      <c r="CL7" s="24"/>
      <c r="CM7" s="24"/>
      <c r="CP7" s="24"/>
      <c r="CQ7" s="24"/>
      <c r="CR7" s="24"/>
      <c r="CS7" s="24"/>
      <c r="CT7" s="24"/>
      <c r="CU7" s="24"/>
      <c r="CV7" s="24"/>
      <c r="CY7" s="24"/>
      <c r="CZ7" s="24"/>
      <c r="DA7" s="24"/>
      <c r="DB7" s="24"/>
      <c r="DC7" s="24"/>
      <c r="DD7" s="24"/>
      <c r="DE7" s="24"/>
      <c r="DH7" s="24"/>
      <c r="DI7" s="24"/>
      <c r="DJ7" s="24"/>
      <c r="DK7" s="24"/>
      <c r="DL7" s="24"/>
      <c r="DM7" s="24"/>
      <c r="DN7" s="24"/>
      <c r="DQ7" s="24"/>
      <c r="DR7" s="24"/>
      <c r="DS7" s="24"/>
      <c r="DT7" s="24"/>
      <c r="DU7" s="24"/>
      <c r="DV7" s="24"/>
      <c r="DW7" s="24"/>
      <c r="DZ7" s="24"/>
      <c r="EA7" s="24"/>
      <c r="EB7" s="24"/>
      <c r="EC7" s="24"/>
      <c r="ED7" s="24"/>
      <c r="EE7" s="24"/>
      <c r="EF7" s="24"/>
      <c r="EI7" s="24"/>
      <c r="EJ7" s="24"/>
      <c r="EK7" s="24"/>
      <c r="EL7" s="24"/>
      <c r="EM7" s="24"/>
      <c r="EN7" s="24"/>
      <c r="EO7" s="24"/>
      <c r="ER7" s="24"/>
      <c r="ES7" s="24"/>
      <c r="ET7" s="24"/>
      <c r="EU7" s="24"/>
      <c r="EV7" s="24"/>
      <c r="EW7" s="24"/>
      <c r="EX7" s="24"/>
      <c r="FA7" s="24"/>
      <c r="FB7" s="24"/>
      <c r="FC7" s="24"/>
      <c r="FD7" s="24"/>
      <c r="FE7" s="24"/>
      <c r="FF7" s="24"/>
    </row>
    <row r="8" spans="1:162" s="6" customFormat="1" ht="14.25" customHeight="1">
      <c r="A8" s="23"/>
      <c r="B8" s="257" t="s">
        <v>166</v>
      </c>
      <c r="C8" s="257"/>
      <c r="D8" s="257"/>
      <c r="E8" s="257"/>
      <c r="F8" s="257"/>
      <c r="G8" s="257"/>
      <c r="H8" s="257"/>
      <c r="I8" s="25"/>
      <c r="J8" s="25"/>
      <c r="K8" s="256" t="s">
        <v>172</v>
      </c>
      <c r="L8" s="257"/>
      <c r="M8" s="257"/>
      <c r="N8" s="257"/>
      <c r="O8" s="257"/>
      <c r="P8" s="257"/>
      <c r="Q8" s="257"/>
      <c r="R8" s="25"/>
      <c r="S8" s="25"/>
      <c r="T8" s="256" t="s">
        <v>172</v>
      </c>
      <c r="U8" s="257"/>
      <c r="V8" s="257"/>
      <c r="W8" s="257"/>
      <c r="X8" s="257"/>
      <c r="Y8" s="257"/>
      <c r="Z8" s="257"/>
      <c r="AA8" s="25"/>
      <c r="AC8" s="256" t="s">
        <v>168</v>
      </c>
      <c r="AD8" s="257"/>
      <c r="AE8" s="257"/>
      <c r="AF8" s="257"/>
      <c r="AG8" s="257"/>
      <c r="AH8" s="257"/>
      <c r="AI8" s="26"/>
      <c r="AJ8" s="25"/>
      <c r="AK8" s="25"/>
      <c r="AN8" s="62" t="s">
        <v>8</v>
      </c>
      <c r="AO8" s="227">
        <f>VLOOKUP(AO6,'Truss Members'!$A$1:$AD$50,7,FALSE)</f>
        <v>21.69728565973173</v>
      </c>
      <c r="AP8" s="63" t="s">
        <v>7</v>
      </c>
      <c r="AQ8" s="62" t="s">
        <v>139</v>
      </c>
      <c r="AR8" s="61">
        <f>VLOOKUP(AO6,'Truss Members'!$A$1:$AD$50,10,FALSE)</f>
        <v>0.5</v>
      </c>
      <c r="AS8" s="63" t="s">
        <v>133</v>
      </c>
      <c r="AT8" s="25"/>
      <c r="AW8" s="62" t="s">
        <v>8</v>
      </c>
      <c r="AX8" s="227">
        <f>VLOOKUP(AX6,'Truss Members'!$A$1:$AD$50,7,FALSE)</f>
        <v>21.675083862454713</v>
      </c>
      <c r="AY8" s="63" t="s">
        <v>7</v>
      </c>
      <c r="AZ8" s="212" t="s">
        <v>139</v>
      </c>
      <c r="BA8" s="210">
        <f>VLOOKUP(AX6,'Truss Members'!$A$1:$AD$50,10,FALSE)</f>
        <v>1.125</v>
      </c>
      <c r="BB8" s="63" t="s">
        <v>133</v>
      </c>
      <c r="BC8" s="25"/>
      <c r="BF8" s="62" t="s">
        <v>8</v>
      </c>
      <c r="BG8" s="227">
        <f>VLOOKUP(BG6,'Truss Members'!$A$1:$AD$50,7,FALSE)</f>
        <v>21.795358896894633</v>
      </c>
      <c r="BH8" s="63" t="s">
        <v>7</v>
      </c>
      <c r="BI8" s="212" t="s">
        <v>139</v>
      </c>
      <c r="BJ8" s="210">
        <f>VLOOKUP(BG6,'Truss Members'!$A$1:$AD$50,10,FALSE)</f>
        <v>1</v>
      </c>
      <c r="BK8" s="63" t="s">
        <v>133</v>
      </c>
      <c r="BL8" s="25"/>
      <c r="BO8" s="62" t="s">
        <v>8</v>
      </c>
      <c r="BP8" s="227">
        <f>VLOOKUP(BP6,'Truss Members'!$A$1:$AD$50,7,FALSE)</f>
        <v>21.910546420489929</v>
      </c>
      <c r="BQ8" s="63" t="s">
        <v>7</v>
      </c>
      <c r="BR8" s="212" t="s">
        <v>139</v>
      </c>
      <c r="BS8" s="210">
        <f>VLOOKUP(BP6,'Truss Members'!$A$1:$AD$50,10,FALSE)</f>
        <v>1.75</v>
      </c>
      <c r="BT8" s="63" t="s">
        <v>133</v>
      </c>
      <c r="BU8" s="25"/>
      <c r="BX8" s="62" t="s">
        <v>8</v>
      </c>
      <c r="BY8" s="227">
        <f>VLOOKUP(BY6,'Truss Members'!$A$1:$AD$50,7,FALSE)</f>
        <v>21.667000000000002</v>
      </c>
      <c r="BZ8" s="63" t="s">
        <v>7</v>
      </c>
      <c r="CA8" s="212" t="s">
        <v>139</v>
      </c>
      <c r="CB8" s="210">
        <f>VLOOKUP(BY6,'Truss Members'!$A$1:$AD$50,10,FALSE)</f>
        <v>0.75</v>
      </c>
      <c r="CC8" s="63" t="s">
        <v>133</v>
      </c>
      <c r="CD8" s="25"/>
      <c r="CG8" s="62" t="s">
        <v>8</v>
      </c>
      <c r="CH8" s="227">
        <f>VLOOKUP(CH6,'Truss Members'!$A$1:$AD$50,7,FALSE)</f>
        <v>21.667000000000005</v>
      </c>
      <c r="CI8" s="63" t="s">
        <v>7</v>
      </c>
      <c r="CJ8" s="212" t="s">
        <v>139</v>
      </c>
      <c r="CK8" s="210">
        <f>VLOOKUP(CH6,'Truss Members'!$A$1:$AD$50,10,FALSE)</f>
        <v>1</v>
      </c>
      <c r="CL8" s="63" t="s">
        <v>133</v>
      </c>
      <c r="CM8" s="25"/>
      <c r="CP8" s="62" t="s">
        <v>8</v>
      </c>
      <c r="CQ8" s="227">
        <f>VLOOKUP(CQ6,'Truss Members'!$A$1:$AD$50,7,FALSE)</f>
        <v>21.667000000000002</v>
      </c>
      <c r="CR8" s="63" t="s">
        <v>7</v>
      </c>
      <c r="CS8" s="212" t="s">
        <v>139</v>
      </c>
      <c r="CT8" s="210">
        <f>VLOOKUP(CQ6,'Truss Members'!$A$1:$AD$50,10,FALSE)</f>
        <v>1.125</v>
      </c>
      <c r="CU8" s="63" t="s">
        <v>133</v>
      </c>
      <c r="CV8" s="25"/>
      <c r="CY8" s="62" t="s">
        <v>8</v>
      </c>
      <c r="CZ8" s="227">
        <f>VLOOKUP(CZ6,'Truss Members'!$A$1:$AD$50,7,FALSE)</f>
        <v>21.667000000000002</v>
      </c>
      <c r="DA8" s="63" t="s">
        <v>7</v>
      </c>
      <c r="DB8" s="212" t="s">
        <v>139</v>
      </c>
      <c r="DC8" s="210">
        <f>VLOOKUP(CZ6,'Truss Members'!$A$1:$AD$50,10,FALSE)</f>
        <v>2.25</v>
      </c>
      <c r="DD8" s="63" t="s">
        <v>133</v>
      </c>
      <c r="DE8" s="25"/>
      <c r="DH8" s="62" t="s">
        <v>8</v>
      </c>
      <c r="DI8" s="227">
        <f>VLOOKUP(DI6,'Truss Members'!$A$1:$AD$50,7,FALSE)</f>
        <v>32.230828944419748</v>
      </c>
      <c r="DJ8" s="63" t="s">
        <v>7</v>
      </c>
      <c r="DK8" s="212" t="s">
        <v>139</v>
      </c>
      <c r="DL8" s="210">
        <f>VLOOKUP(DI6,'Truss Members'!$A$1:$AD$50,10,FALSE)</f>
        <v>1</v>
      </c>
      <c r="DM8" s="63" t="s">
        <v>133</v>
      </c>
      <c r="DN8" s="25"/>
      <c r="DQ8" s="62" t="s">
        <v>8</v>
      </c>
      <c r="DR8" s="227">
        <f>VLOOKUP(DR6,'Truss Members'!$A$1:$AD$50,7,FALSE)</f>
        <v>27.012493426396443</v>
      </c>
      <c r="DS8" s="63" t="s">
        <v>7</v>
      </c>
      <c r="DT8" s="212" t="s">
        <v>139</v>
      </c>
      <c r="DU8" s="210">
        <f>VLOOKUP(DR6,'Truss Members'!$A$1:$AD$50,10,FALSE)</f>
        <v>0.75</v>
      </c>
      <c r="DV8" s="63" t="s">
        <v>133</v>
      </c>
      <c r="DW8" s="25"/>
      <c r="DZ8" s="62" t="s">
        <v>8</v>
      </c>
      <c r="EA8" s="227">
        <f>VLOOKUP(EA6,'Truss Members'!$A$1:$AD$50,7,FALSE)</f>
        <v>26.334406412735248</v>
      </c>
      <c r="EB8" s="63" t="s">
        <v>7</v>
      </c>
      <c r="EC8" s="212" t="s">
        <v>139</v>
      </c>
      <c r="ED8" s="210">
        <f>VLOOKUP(EA6,'Truss Members'!$A$1:$AD$50,10,FALSE)</f>
        <v>0.375</v>
      </c>
      <c r="EE8" s="63" t="s">
        <v>133</v>
      </c>
      <c r="EF8" s="25"/>
      <c r="EI8" s="62" t="s">
        <v>8</v>
      </c>
      <c r="EJ8" s="227">
        <f>VLOOKUP(EJ6,'Truss Members'!$A$1:$AD$50,7,FALSE)</f>
        <v>37.304843565473398</v>
      </c>
      <c r="EK8" s="63" t="s">
        <v>7</v>
      </c>
      <c r="EL8" s="212" t="s">
        <v>139</v>
      </c>
      <c r="EM8" s="210">
        <f>VLOOKUP(EJ6,'Truss Members'!$A$1:$AD$50,10,FALSE)</f>
        <v>1.25</v>
      </c>
      <c r="EN8" s="63" t="s">
        <v>133</v>
      </c>
      <c r="EO8" s="25"/>
      <c r="ER8" s="62" t="s">
        <v>8</v>
      </c>
      <c r="ES8" s="227">
        <f>VLOOKUP(ES6,'Truss Members'!$A$1:$AD$50,7,FALSE)</f>
        <v>30.370000182929061</v>
      </c>
      <c r="ET8" s="63" t="s">
        <v>7</v>
      </c>
      <c r="EU8" s="212" t="s">
        <v>139</v>
      </c>
      <c r="EV8" s="210">
        <f>VLOOKUP(ES6,'Truss Members'!$A$1:$AD$50,10,FALSE)</f>
        <v>0.375</v>
      </c>
      <c r="EW8" s="63" t="s">
        <v>133</v>
      </c>
      <c r="EX8" s="25"/>
      <c r="FA8" s="62" t="s">
        <v>8</v>
      </c>
      <c r="FB8" s="227">
        <f>VLOOKUP(FB6,'Truss Members'!$A$1:$AD$50,7,FALSE)</f>
        <v>21.500000126614989</v>
      </c>
      <c r="FC8" s="63" t="s">
        <v>7</v>
      </c>
      <c r="FD8" s="212" t="s">
        <v>139</v>
      </c>
      <c r="FE8" s="210">
        <f>VLOOKUP(FB6,'Truss Members'!$A$1:$AD$50,10,FALSE)</f>
        <v>0.375</v>
      </c>
      <c r="FF8" s="63" t="s">
        <v>133</v>
      </c>
    </row>
    <row r="9" spans="1:162" s="6" customFormat="1" ht="17.25" customHeight="1">
      <c r="A9" s="23"/>
      <c r="B9" s="257"/>
      <c r="C9" s="257"/>
      <c r="D9" s="257"/>
      <c r="E9" s="257"/>
      <c r="F9" s="257"/>
      <c r="G9" s="257"/>
      <c r="H9" s="257"/>
      <c r="K9" s="257"/>
      <c r="L9" s="257"/>
      <c r="M9" s="257"/>
      <c r="N9" s="257"/>
      <c r="O9" s="257"/>
      <c r="P9" s="257"/>
      <c r="Q9" s="257"/>
      <c r="T9" s="257"/>
      <c r="U9" s="257"/>
      <c r="V9" s="257"/>
      <c r="W9" s="257"/>
      <c r="X9" s="257"/>
      <c r="Y9" s="257"/>
      <c r="Z9" s="257"/>
      <c r="AC9" s="257"/>
      <c r="AD9" s="257"/>
      <c r="AE9" s="257"/>
      <c r="AF9" s="257"/>
      <c r="AG9" s="257"/>
      <c r="AH9" s="257"/>
      <c r="AI9" s="25"/>
      <c r="AN9" s="62" t="s">
        <v>135</v>
      </c>
      <c r="AO9" s="61">
        <f>VLOOKUP(AO6,'Truss Members'!$A$1:$AD$50,8,FALSE)</f>
        <v>23</v>
      </c>
      <c r="AP9" s="63" t="s">
        <v>133</v>
      </c>
      <c r="AQ9" s="62" t="s">
        <v>141</v>
      </c>
      <c r="AR9" s="61">
        <f>VLOOKUP(AO6,'Truss Members'!$A$1:$AD$50,11,FALSE)</f>
        <v>30</v>
      </c>
      <c r="AS9" s="63" t="s">
        <v>133</v>
      </c>
      <c r="AW9" s="62" t="s">
        <v>135</v>
      </c>
      <c r="AX9" s="210">
        <f>VLOOKUP(AX6,'Truss Members'!$A$1:$AD$50,8,FALSE)</f>
        <v>21.5</v>
      </c>
      <c r="AY9" s="63" t="s">
        <v>133</v>
      </c>
      <c r="AZ9" s="212" t="s">
        <v>141</v>
      </c>
      <c r="BA9" s="210">
        <f>VLOOKUP(AX6,'Truss Members'!$A$1:$AD$50,11,FALSE)</f>
        <v>30</v>
      </c>
      <c r="BB9" s="63" t="s">
        <v>133</v>
      </c>
      <c r="BF9" s="62" t="s">
        <v>135</v>
      </c>
      <c r="BG9" s="210">
        <f>VLOOKUP(BG6,'Truss Members'!$A$1:$AD$50,8,FALSE)</f>
        <v>22</v>
      </c>
      <c r="BH9" s="63" t="s">
        <v>133</v>
      </c>
      <c r="BI9" s="212" t="s">
        <v>141</v>
      </c>
      <c r="BJ9" s="210">
        <f>VLOOKUP(BG6,'Truss Members'!$A$1:$AD$50,11,FALSE)</f>
        <v>30</v>
      </c>
      <c r="BK9" s="63" t="s">
        <v>133</v>
      </c>
      <c r="BO9" s="62" t="s">
        <v>135</v>
      </c>
      <c r="BP9" s="210">
        <f>VLOOKUP(BP6,'Truss Members'!$A$1:$AD$50,8,FALSE)</f>
        <v>20.5</v>
      </c>
      <c r="BQ9" s="63" t="s">
        <v>133</v>
      </c>
      <c r="BR9" s="212" t="s">
        <v>141</v>
      </c>
      <c r="BS9" s="210">
        <f>VLOOKUP(BP6,'Truss Members'!$A$1:$AD$50,11,FALSE)</f>
        <v>30</v>
      </c>
      <c r="BT9" s="63" t="s">
        <v>133</v>
      </c>
      <c r="BX9" s="62" t="s">
        <v>135</v>
      </c>
      <c r="BY9" s="210">
        <f>VLOOKUP(BY6,'Truss Members'!$A$1:$AD$50,8,FALSE)</f>
        <v>22.5</v>
      </c>
      <c r="BZ9" s="63" t="s">
        <v>133</v>
      </c>
      <c r="CA9" s="212" t="s">
        <v>141</v>
      </c>
      <c r="CB9" s="210">
        <f>VLOOKUP(BY6,'Truss Members'!$A$1:$AD$50,11,FALSE)</f>
        <v>30</v>
      </c>
      <c r="CC9" s="63" t="s">
        <v>133</v>
      </c>
      <c r="CG9" s="62" t="s">
        <v>135</v>
      </c>
      <c r="CH9" s="210">
        <f>VLOOKUP(CH6,'Truss Members'!$A$1:$AD$50,8,FALSE)</f>
        <v>22</v>
      </c>
      <c r="CI9" s="63" t="s">
        <v>133</v>
      </c>
      <c r="CJ9" s="212" t="s">
        <v>141</v>
      </c>
      <c r="CK9" s="210">
        <f>VLOOKUP(CH6,'Truss Members'!$A$1:$AD$50,11,FALSE)</f>
        <v>30</v>
      </c>
      <c r="CL9" s="63" t="s">
        <v>133</v>
      </c>
      <c r="CP9" s="62" t="s">
        <v>135</v>
      </c>
      <c r="CQ9" s="210">
        <f>VLOOKUP(CQ6,'Truss Members'!$A$1:$AD$50,8,FALSE)</f>
        <v>21.75</v>
      </c>
      <c r="CR9" s="63" t="s">
        <v>133</v>
      </c>
      <c r="CS9" s="212" t="s">
        <v>141</v>
      </c>
      <c r="CT9" s="210">
        <f>VLOOKUP(CQ6,'Truss Members'!$A$1:$AD$50,11,FALSE)</f>
        <v>30</v>
      </c>
      <c r="CU9" s="63" t="s">
        <v>133</v>
      </c>
      <c r="CY9" s="62" t="s">
        <v>135</v>
      </c>
      <c r="CZ9" s="210">
        <f>VLOOKUP(CZ6,'Truss Members'!$A$1:$AD$50,8,FALSE)</f>
        <v>19.5</v>
      </c>
      <c r="DA9" s="63" t="s">
        <v>133</v>
      </c>
      <c r="DB9" s="212" t="s">
        <v>141</v>
      </c>
      <c r="DC9" s="210">
        <f>VLOOKUP(CZ6,'Truss Members'!$A$1:$AD$50,11,FALSE)</f>
        <v>30</v>
      </c>
      <c r="DD9" s="63" t="s">
        <v>133</v>
      </c>
      <c r="DH9" s="62" t="s">
        <v>135</v>
      </c>
      <c r="DI9" s="210">
        <f>VLOOKUP(DI6,'Truss Members'!$A$1:$AD$50,8,FALSE)</f>
        <v>22</v>
      </c>
      <c r="DJ9" s="63" t="s">
        <v>133</v>
      </c>
      <c r="DK9" s="212" t="s">
        <v>141</v>
      </c>
      <c r="DL9" s="210">
        <f>VLOOKUP(DI6,'Truss Members'!$A$1:$AD$50,11,FALSE)</f>
        <v>18</v>
      </c>
      <c r="DM9" s="63" t="s">
        <v>133</v>
      </c>
      <c r="DQ9" s="62" t="s">
        <v>135</v>
      </c>
      <c r="DR9" s="210">
        <f>VLOOKUP(DR6,'Truss Members'!$A$1:$AD$50,8,FALSE)</f>
        <v>22.5</v>
      </c>
      <c r="DS9" s="63" t="s">
        <v>133</v>
      </c>
      <c r="DT9" s="212" t="s">
        <v>141</v>
      </c>
      <c r="DU9" s="210">
        <f>VLOOKUP(DR6,'Truss Members'!$A$1:$AD$50,11,FALSE)</f>
        <v>18</v>
      </c>
      <c r="DV9" s="63" t="s">
        <v>133</v>
      </c>
      <c r="DZ9" s="62" t="s">
        <v>135</v>
      </c>
      <c r="EA9" s="210">
        <f>VLOOKUP(EA6,'Truss Members'!$A$1:$AD$50,8,FALSE)</f>
        <v>23.25</v>
      </c>
      <c r="EB9" s="63" t="s">
        <v>133</v>
      </c>
      <c r="EC9" s="212" t="s">
        <v>141</v>
      </c>
      <c r="ED9" s="210">
        <f>VLOOKUP(EA6,'Truss Members'!$A$1:$AD$50,11,FALSE)</f>
        <v>18</v>
      </c>
      <c r="EE9" s="63" t="s">
        <v>133</v>
      </c>
      <c r="EI9" s="62" t="s">
        <v>135</v>
      </c>
      <c r="EJ9" s="210">
        <f>VLOOKUP(EJ6,'Truss Members'!$A$1:$AD$50,8,FALSE)</f>
        <v>21.5</v>
      </c>
      <c r="EK9" s="63" t="s">
        <v>133</v>
      </c>
      <c r="EL9" s="212" t="s">
        <v>141</v>
      </c>
      <c r="EM9" s="210">
        <f>VLOOKUP(EJ6,'Truss Members'!$A$1:$AD$50,11,FALSE)</f>
        <v>18</v>
      </c>
      <c r="EN9" s="63" t="s">
        <v>133</v>
      </c>
      <c r="ER9" s="62" t="s">
        <v>135</v>
      </c>
      <c r="ES9" s="210">
        <f>VLOOKUP(ES6,'Truss Members'!$A$1:$AD$50,8,FALSE)</f>
        <v>23.25</v>
      </c>
      <c r="ET9" s="63" t="s">
        <v>133</v>
      </c>
      <c r="EU9" s="212" t="s">
        <v>141</v>
      </c>
      <c r="EV9" s="210">
        <f>VLOOKUP(ES6,'Truss Members'!$A$1:$AD$50,11,FALSE)</f>
        <v>18</v>
      </c>
      <c r="EW9" s="63" t="s">
        <v>133</v>
      </c>
      <c r="FA9" s="62" t="s">
        <v>135</v>
      </c>
      <c r="FB9" s="210">
        <f>VLOOKUP(FB6,'Truss Members'!$A$1:$AD$50,8,FALSE)</f>
        <v>23.25</v>
      </c>
      <c r="FC9" s="63" t="s">
        <v>133</v>
      </c>
      <c r="FD9" s="212" t="s">
        <v>141</v>
      </c>
      <c r="FE9" s="210">
        <f>VLOOKUP(FB6,'Truss Members'!$A$1:$AD$50,11,FALSE)</f>
        <v>18</v>
      </c>
      <c r="FF9" s="63" t="s">
        <v>133</v>
      </c>
    </row>
    <row r="10" spans="1:162" s="6" customFormat="1" ht="17.25" customHeight="1">
      <c r="A10" s="23"/>
      <c r="B10" s="257"/>
      <c r="C10" s="257"/>
      <c r="D10" s="257"/>
      <c r="E10" s="257"/>
      <c r="F10" s="257"/>
      <c r="G10" s="257"/>
      <c r="H10" s="257"/>
      <c r="K10" s="257"/>
      <c r="L10" s="257"/>
      <c r="M10" s="257"/>
      <c r="N10" s="257"/>
      <c r="O10" s="257"/>
      <c r="P10" s="257"/>
      <c r="Q10" s="257"/>
      <c r="T10" s="257"/>
      <c r="U10" s="257"/>
      <c r="V10" s="257"/>
      <c r="W10" s="257"/>
      <c r="X10" s="257"/>
      <c r="Y10" s="257"/>
      <c r="Z10" s="257"/>
      <c r="AN10" s="62" t="s">
        <v>137</v>
      </c>
      <c r="AO10" s="61">
        <f>VLOOKUP(AO6,'Truss Members'!$A$1:$AD$50,9,FALSE)</f>
        <v>0.5</v>
      </c>
      <c r="AP10" s="63" t="s">
        <v>133</v>
      </c>
      <c r="AQ10" s="59" t="s">
        <v>143</v>
      </c>
      <c r="AR10" s="39">
        <f>VLOOKUP(AO6,'Truss Members'!$A$1:$AD$50,12,FALSE)</f>
        <v>30</v>
      </c>
      <c r="AS10" s="63" t="s">
        <v>133</v>
      </c>
      <c r="AW10" s="62" t="s">
        <v>137</v>
      </c>
      <c r="AX10" s="210">
        <f>VLOOKUP(AX6,'Truss Members'!$A$1:$AD$50,9,FALSE)</f>
        <v>1</v>
      </c>
      <c r="AY10" s="63" t="s">
        <v>133</v>
      </c>
      <c r="AZ10" s="59" t="s">
        <v>143</v>
      </c>
      <c r="BA10" s="209">
        <f>VLOOKUP(AX6,'Truss Members'!$A$1:$AD$50,12,FALSE)</f>
        <v>30</v>
      </c>
      <c r="BB10" s="63" t="s">
        <v>133</v>
      </c>
      <c r="BF10" s="62" t="s">
        <v>137</v>
      </c>
      <c r="BG10" s="210">
        <f>VLOOKUP(BG6,'Truss Members'!$A$1:$AD$50,9,FALSE)</f>
        <v>0.75</v>
      </c>
      <c r="BH10" s="63" t="s">
        <v>133</v>
      </c>
      <c r="BI10" s="59" t="s">
        <v>143</v>
      </c>
      <c r="BJ10" s="209">
        <f>VLOOKUP(BG6,'Truss Members'!$A$1:$AD$50,12,FALSE)</f>
        <v>30</v>
      </c>
      <c r="BK10" s="63" t="s">
        <v>133</v>
      </c>
      <c r="BO10" s="62" t="s">
        <v>137</v>
      </c>
      <c r="BP10" s="210">
        <f>VLOOKUP(BP6,'Truss Members'!$A$1:$AD$50,9,FALSE)</f>
        <v>1</v>
      </c>
      <c r="BQ10" s="63" t="s">
        <v>133</v>
      </c>
      <c r="BR10" s="59" t="s">
        <v>143</v>
      </c>
      <c r="BS10" s="209">
        <f>VLOOKUP(BP6,'Truss Members'!$A$1:$AD$50,12,FALSE)</f>
        <v>30</v>
      </c>
      <c r="BT10" s="63" t="s">
        <v>133</v>
      </c>
      <c r="BX10" s="62" t="s">
        <v>137</v>
      </c>
      <c r="BY10" s="210">
        <f>VLOOKUP(BY6,'Truss Members'!$A$1:$AD$50,9,FALSE)</f>
        <v>0.625</v>
      </c>
      <c r="BZ10" s="63" t="s">
        <v>133</v>
      </c>
      <c r="CA10" s="59" t="s">
        <v>143</v>
      </c>
      <c r="CB10" s="209">
        <f>VLOOKUP(BY6,'Truss Members'!$A$1:$AD$50,12,FALSE)</f>
        <v>30</v>
      </c>
      <c r="CC10" s="63" t="s">
        <v>133</v>
      </c>
      <c r="CG10" s="62" t="s">
        <v>137</v>
      </c>
      <c r="CH10" s="210">
        <f>VLOOKUP(CH6,'Truss Members'!$A$1:$AD$50,9,FALSE)</f>
        <v>0.75</v>
      </c>
      <c r="CI10" s="63" t="s">
        <v>133</v>
      </c>
      <c r="CJ10" s="59" t="s">
        <v>143</v>
      </c>
      <c r="CK10" s="209">
        <f>VLOOKUP(CH6,'Truss Members'!$A$1:$AD$50,12,FALSE)</f>
        <v>30</v>
      </c>
      <c r="CL10" s="63" t="s">
        <v>133</v>
      </c>
      <c r="CP10" s="62" t="s">
        <v>137</v>
      </c>
      <c r="CQ10" s="210">
        <f>VLOOKUP(CQ6,'Truss Members'!$A$1:$AD$50,9,FALSE)</f>
        <v>1</v>
      </c>
      <c r="CR10" s="63" t="s">
        <v>133</v>
      </c>
      <c r="CS10" s="59" t="s">
        <v>143</v>
      </c>
      <c r="CT10" s="209">
        <f>VLOOKUP(CQ6,'Truss Members'!$A$1:$AD$50,12,FALSE)</f>
        <v>30</v>
      </c>
      <c r="CU10" s="63" t="s">
        <v>133</v>
      </c>
      <c r="CY10" s="62" t="s">
        <v>137</v>
      </c>
      <c r="CZ10" s="210">
        <f>VLOOKUP(CZ6,'Truss Members'!$A$1:$AD$50,9,FALSE)</f>
        <v>1</v>
      </c>
      <c r="DA10" s="63" t="s">
        <v>133</v>
      </c>
      <c r="DB10" s="59" t="s">
        <v>143</v>
      </c>
      <c r="DC10" s="209">
        <f>VLOOKUP(CZ6,'Truss Members'!$A$1:$AD$50,12,FALSE)</f>
        <v>30</v>
      </c>
      <c r="DD10" s="63" t="s">
        <v>133</v>
      </c>
      <c r="DH10" s="62" t="s">
        <v>137</v>
      </c>
      <c r="DI10" s="210">
        <f>VLOOKUP(DI6,'Truss Members'!$A$1:$AD$50,9,FALSE)</f>
        <v>0.875</v>
      </c>
      <c r="DJ10" s="63" t="s">
        <v>133</v>
      </c>
      <c r="DK10" s="59" t="s">
        <v>143</v>
      </c>
      <c r="DL10" s="209">
        <f>VLOOKUP(DI6,'Truss Members'!$A$1:$AD$50,12,FALSE)</f>
        <v>18</v>
      </c>
      <c r="DM10" s="63" t="s">
        <v>133</v>
      </c>
      <c r="DQ10" s="62" t="s">
        <v>137</v>
      </c>
      <c r="DR10" s="210">
        <f>VLOOKUP(DR6,'Truss Members'!$A$1:$AD$50,9,FALSE)</f>
        <v>0.625</v>
      </c>
      <c r="DS10" s="63" t="s">
        <v>133</v>
      </c>
      <c r="DT10" s="59" t="s">
        <v>143</v>
      </c>
      <c r="DU10" s="209">
        <f>VLOOKUP(DR6,'Truss Members'!$A$1:$AD$50,12,FALSE)</f>
        <v>18</v>
      </c>
      <c r="DV10" s="63" t="s">
        <v>133</v>
      </c>
      <c r="DZ10" s="62" t="s">
        <v>137</v>
      </c>
      <c r="EA10" s="210">
        <f>VLOOKUP(EA6,'Truss Members'!$A$1:$AD$50,9,FALSE)</f>
        <v>0.375</v>
      </c>
      <c r="EB10" s="63" t="s">
        <v>133</v>
      </c>
      <c r="EC10" s="59" t="s">
        <v>143</v>
      </c>
      <c r="ED10" s="209">
        <f>VLOOKUP(EA6,'Truss Members'!$A$1:$AD$50,12,FALSE)</f>
        <v>18</v>
      </c>
      <c r="EE10" s="63" t="s">
        <v>133</v>
      </c>
      <c r="EI10" s="62" t="s">
        <v>137</v>
      </c>
      <c r="EJ10" s="210">
        <f>VLOOKUP(EJ6,'Truss Members'!$A$1:$AD$50,9,FALSE)</f>
        <v>1</v>
      </c>
      <c r="EK10" s="63" t="s">
        <v>133</v>
      </c>
      <c r="EL10" s="59" t="s">
        <v>143</v>
      </c>
      <c r="EM10" s="209">
        <f>VLOOKUP(EJ6,'Truss Members'!$A$1:$AD$50,12,FALSE)</f>
        <v>18</v>
      </c>
      <c r="EN10" s="63" t="s">
        <v>133</v>
      </c>
      <c r="ER10" s="62" t="s">
        <v>137</v>
      </c>
      <c r="ES10" s="210">
        <f>VLOOKUP(ES6,'Truss Members'!$A$1:$AD$50,9,FALSE)</f>
        <v>0.625</v>
      </c>
      <c r="ET10" s="63" t="s">
        <v>133</v>
      </c>
      <c r="EU10" s="59" t="s">
        <v>143</v>
      </c>
      <c r="EV10" s="209">
        <f>VLOOKUP(ES6,'Truss Members'!$A$1:$AD$50,12,FALSE)</f>
        <v>18</v>
      </c>
      <c r="EW10" s="63" t="s">
        <v>133</v>
      </c>
      <c r="FA10" s="62" t="s">
        <v>137</v>
      </c>
      <c r="FB10" s="210">
        <f>VLOOKUP(FB6,'Truss Members'!$A$1:$AD$50,9,FALSE)</f>
        <v>0.375</v>
      </c>
      <c r="FC10" s="63" t="s">
        <v>133</v>
      </c>
      <c r="FD10" s="59" t="s">
        <v>143</v>
      </c>
      <c r="FE10" s="209">
        <f>VLOOKUP(FB6,'Truss Members'!$A$1:$AD$50,12,FALSE)</f>
        <v>18</v>
      </c>
      <c r="FF10" s="63" t="s">
        <v>133</v>
      </c>
    </row>
    <row r="11" spans="1:162" s="6" customFormat="1" ht="14.25" customHeight="1">
      <c r="A11" s="23"/>
      <c r="AN11" s="81" t="s">
        <v>324</v>
      </c>
      <c r="AO11" s="80">
        <v>12</v>
      </c>
      <c r="AP11" s="82" t="s">
        <v>133</v>
      </c>
      <c r="AR11" s="38"/>
      <c r="AS11" s="38"/>
      <c r="AW11" s="81" t="s">
        <v>324</v>
      </c>
      <c r="AX11" s="80">
        <v>12</v>
      </c>
      <c r="AY11" s="82" t="s">
        <v>133</v>
      </c>
      <c r="BA11" s="38"/>
      <c r="BB11" s="38"/>
      <c r="BF11" s="81" t="s">
        <v>324</v>
      </c>
      <c r="BG11" s="80">
        <v>12</v>
      </c>
      <c r="BH11" s="82" t="s">
        <v>133</v>
      </c>
      <c r="BJ11" s="38"/>
      <c r="BK11" s="38"/>
      <c r="BO11" s="81" t="s">
        <v>324</v>
      </c>
      <c r="BP11" s="80">
        <v>12</v>
      </c>
      <c r="BQ11" s="82" t="s">
        <v>133</v>
      </c>
      <c r="BS11" s="38"/>
      <c r="BT11" s="38"/>
      <c r="BX11" s="81" t="s">
        <v>324</v>
      </c>
      <c r="BY11" s="80">
        <v>12</v>
      </c>
      <c r="BZ11" s="82" t="s">
        <v>133</v>
      </c>
      <c r="CB11" s="38"/>
      <c r="CC11" s="38"/>
      <c r="CG11" s="81" t="s">
        <v>324</v>
      </c>
      <c r="CH11" s="80">
        <v>12</v>
      </c>
      <c r="CI11" s="82" t="s">
        <v>133</v>
      </c>
      <c r="CK11" s="38"/>
      <c r="CL11" s="38"/>
      <c r="CP11" s="81" t="s">
        <v>324</v>
      </c>
      <c r="CQ11" s="80">
        <v>12</v>
      </c>
      <c r="CR11" s="82" t="s">
        <v>133</v>
      </c>
      <c r="CT11" s="38"/>
      <c r="CU11" s="38"/>
      <c r="CY11" s="81" t="s">
        <v>324</v>
      </c>
      <c r="CZ11" s="80">
        <v>12</v>
      </c>
      <c r="DA11" s="82" t="s">
        <v>133</v>
      </c>
      <c r="DC11" s="38"/>
      <c r="DD11" s="38"/>
      <c r="DH11" s="81" t="s">
        <v>324</v>
      </c>
      <c r="DI11" s="80">
        <v>12</v>
      </c>
      <c r="DJ11" s="82" t="s">
        <v>133</v>
      </c>
      <c r="DL11" s="38"/>
      <c r="DM11" s="38"/>
      <c r="DQ11" s="81" t="s">
        <v>324</v>
      </c>
      <c r="DR11" s="80">
        <v>12</v>
      </c>
      <c r="DS11" s="82" t="s">
        <v>133</v>
      </c>
      <c r="DU11" s="38"/>
      <c r="DV11" s="38"/>
      <c r="DZ11" s="81" t="s">
        <v>324</v>
      </c>
      <c r="EA11" s="80">
        <v>12</v>
      </c>
      <c r="EB11" s="82" t="s">
        <v>133</v>
      </c>
      <c r="ED11" s="38"/>
      <c r="EE11" s="38"/>
      <c r="EI11" s="81" t="s">
        <v>324</v>
      </c>
      <c r="EJ11" s="80">
        <v>12</v>
      </c>
      <c r="EK11" s="82" t="s">
        <v>133</v>
      </c>
      <c r="EM11" s="38"/>
      <c r="EN11" s="38"/>
      <c r="ER11" s="81" t="s">
        <v>324</v>
      </c>
      <c r="ES11" s="80">
        <v>12</v>
      </c>
      <c r="ET11" s="82" t="s">
        <v>133</v>
      </c>
      <c r="EV11" s="38"/>
      <c r="EW11" s="38"/>
      <c r="FA11" s="81" t="s">
        <v>324</v>
      </c>
      <c r="FB11" s="80">
        <v>12</v>
      </c>
      <c r="FC11" s="82" t="s">
        <v>133</v>
      </c>
      <c r="FE11" s="38"/>
      <c r="FF11" s="38"/>
    </row>
    <row r="12" spans="1:162" s="6" customFormat="1" ht="14.25" customHeight="1">
      <c r="A12" s="23"/>
      <c r="B12" s="121" t="s">
        <v>167</v>
      </c>
      <c r="C12" s="122" t="s">
        <v>59</v>
      </c>
      <c r="D12" s="123" t="s">
        <v>60</v>
      </c>
      <c r="E12" s="122" t="s">
        <v>61</v>
      </c>
      <c r="F12" s="122" t="s">
        <v>62</v>
      </c>
      <c r="G12" s="123" t="s">
        <v>63</v>
      </c>
      <c r="K12" s="124" t="s">
        <v>64</v>
      </c>
      <c r="L12" s="143" t="s">
        <v>65</v>
      </c>
      <c r="M12" s="124" t="s">
        <v>40</v>
      </c>
      <c r="N12" s="121" t="s">
        <v>61</v>
      </c>
      <c r="O12" s="121" t="s">
        <v>62</v>
      </c>
      <c r="P12" s="121" t="s">
        <v>63</v>
      </c>
      <c r="Q12" s="121" t="s">
        <v>171</v>
      </c>
      <c r="T12" s="124" t="s">
        <v>64</v>
      </c>
      <c r="U12" s="143" t="s">
        <v>65</v>
      </c>
      <c r="V12" s="125" t="s">
        <v>40</v>
      </c>
      <c r="W12" s="121" t="s">
        <v>61</v>
      </c>
      <c r="X12" s="121" t="s">
        <v>62</v>
      </c>
      <c r="Y12" s="121" t="s">
        <v>63</v>
      </c>
      <c r="Z12" s="121" t="s">
        <v>171</v>
      </c>
      <c r="AC12" s="264" t="s">
        <v>65</v>
      </c>
      <c r="AD12" s="128" t="s">
        <v>126</v>
      </c>
      <c r="AE12" s="129" t="s">
        <v>127</v>
      </c>
      <c r="AF12" s="129" t="s">
        <v>128</v>
      </c>
      <c r="AG12" s="129" t="s">
        <v>130</v>
      </c>
      <c r="AH12" s="130" t="s">
        <v>129</v>
      </c>
    </row>
    <row r="13" spans="1:162" s="6" customFormat="1" ht="14.25" customHeight="1">
      <c r="A13" s="23"/>
      <c r="B13" s="117" t="s">
        <v>104</v>
      </c>
      <c r="C13" s="103">
        <v>0</v>
      </c>
      <c r="D13" s="104">
        <v>0</v>
      </c>
      <c r="E13" s="113">
        <v>73.468817330389655</v>
      </c>
      <c r="F13" s="94">
        <v>42.679079999999985</v>
      </c>
      <c r="G13" s="96">
        <f>'[1]Load Rating'!$BC31</f>
        <v>4.3211076923076917</v>
      </c>
      <c r="K13" s="140" t="s">
        <v>109</v>
      </c>
      <c r="L13" s="144" t="str">
        <f>AC18</f>
        <v>S5</v>
      </c>
      <c r="M13" s="154" t="s">
        <v>67</v>
      </c>
      <c r="N13" s="163">
        <v>6.9000000000000006E-2</v>
      </c>
      <c r="O13" s="163">
        <v>3.9E-2</v>
      </c>
      <c r="P13" s="166">
        <v>3.0000000000000001E-3</v>
      </c>
      <c r="Q13" s="163">
        <v>0.157</v>
      </c>
      <c r="T13" s="140" t="s">
        <v>164</v>
      </c>
      <c r="U13" s="144" t="str">
        <f>AC22</f>
        <v>S9</v>
      </c>
      <c r="V13" s="86" t="s">
        <v>90</v>
      </c>
      <c r="W13" s="150">
        <v>852.36099999999999</v>
      </c>
      <c r="X13" s="150">
        <v>484.95699999999999</v>
      </c>
      <c r="Y13" s="166">
        <v>36.835999999999999</v>
      </c>
      <c r="Z13" s="150">
        <v>1493.998</v>
      </c>
      <c r="AA13" s="170" t="s">
        <v>175</v>
      </c>
      <c r="AC13" s="265"/>
      <c r="AD13" s="126" t="s">
        <v>131</v>
      </c>
      <c r="AE13" s="126" t="s">
        <v>132</v>
      </c>
      <c r="AF13" s="126" t="s">
        <v>132</v>
      </c>
      <c r="AG13" s="126" t="s">
        <v>133</v>
      </c>
      <c r="AH13" s="131" t="s">
        <v>133</v>
      </c>
      <c r="AO13" s="39"/>
      <c r="AP13" s="74" t="s">
        <v>59</v>
      </c>
      <c r="AQ13" s="75" t="s">
        <v>60</v>
      </c>
      <c r="AR13" s="76" t="s">
        <v>134</v>
      </c>
      <c r="AX13" s="39"/>
      <c r="AY13" s="74" t="s">
        <v>59</v>
      </c>
      <c r="AZ13" s="75" t="s">
        <v>60</v>
      </c>
      <c r="BA13" s="76" t="s">
        <v>134</v>
      </c>
      <c r="BG13" s="39"/>
      <c r="BH13" s="74" t="s">
        <v>59</v>
      </c>
      <c r="BI13" s="75" t="s">
        <v>60</v>
      </c>
      <c r="BJ13" s="76" t="s">
        <v>134</v>
      </c>
      <c r="BP13" s="39"/>
      <c r="BQ13" s="74" t="s">
        <v>59</v>
      </c>
      <c r="BR13" s="75" t="s">
        <v>60</v>
      </c>
      <c r="BS13" s="76" t="s">
        <v>134</v>
      </c>
      <c r="BY13" s="39"/>
      <c r="BZ13" s="74" t="s">
        <v>59</v>
      </c>
      <c r="CA13" s="75" t="s">
        <v>60</v>
      </c>
      <c r="CB13" s="76" t="s">
        <v>134</v>
      </c>
      <c r="CH13" s="39"/>
      <c r="CI13" s="74" t="s">
        <v>59</v>
      </c>
      <c r="CJ13" s="75" t="s">
        <v>60</v>
      </c>
      <c r="CK13" s="76" t="s">
        <v>134</v>
      </c>
      <c r="CQ13" s="39"/>
      <c r="CR13" s="74" t="s">
        <v>59</v>
      </c>
      <c r="CS13" s="75" t="s">
        <v>60</v>
      </c>
      <c r="CT13" s="76" t="s">
        <v>134</v>
      </c>
      <c r="CZ13" s="39"/>
      <c r="DA13" s="74" t="s">
        <v>59</v>
      </c>
      <c r="DB13" s="75" t="s">
        <v>60</v>
      </c>
      <c r="DC13" s="76" t="s">
        <v>134</v>
      </c>
      <c r="DI13" s="39"/>
      <c r="DJ13" s="74" t="s">
        <v>59</v>
      </c>
      <c r="DK13" s="75" t="s">
        <v>60</v>
      </c>
      <c r="DL13" s="76" t="s">
        <v>134</v>
      </c>
      <c r="DR13" s="39"/>
      <c r="DS13" s="74" t="s">
        <v>59</v>
      </c>
      <c r="DT13" s="75" t="s">
        <v>60</v>
      </c>
      <c r="DU13" s="76" t="s">
        <v>134</v>
      </c>
      <c r="EA13" s="39"/>
      <c r="EB13" s="74" t="s">
        <v>59</v>
      </c>
      <c r="EC13" s="75" t="s">
        <v>60</v>
      </c>
      <c r="ED13" s="76" t="s">
        <v>134</v>
      </c>
      <c r="EJ13" s="39"/>
      <c r="EK13" s="74" t="s">
        <v>59</v>
      </c>
      <c r="EL13" s="75" t="s">
        <v>60</v>
      </c>
      <c r="EM13" s="76" t="s">
        <v>134</v>
      </c>
      <c r="ES13" s="39"/>
      <c r="ET13" s="74" t="s">
        <v>59</v>
      </c>
      <c r="EU13" s="75" t="s">
        <v>60</v>
      </c>
      <c r="EV13" s="76" t="s">
        <v>134</v>
      </c>
      <c r="FB13" s="39"/>
      <c r="FC13" s="74" t="s">
        <v>59</v>
      </c>
      <c r="FD13" s="75" t="s">
        <v>60</v>
      </c>
      <c r="FE13" s="76" t="s">
        <v>134</v>
      </c>
    </row>
    <row r="14" spans="1:162" s="6" customFormat="1" ht="14.25" customHeight="1">
      <c r="A14" s="23"/>
      <c r="B14" s="118" t="s">
        <v>20</v>
      </c>
      <c r="C14" s="105">
        <v>21.666666666666668</v>
      </c>
      <c r="D14" s="106">
        <v>0</v>
      </c>
      <c r="E14" s="114">
        <v>143.97342707377749</v>
      </c>
      <c r="F14" s="93">
        <v>85.35815999999997</v>
      </c>
      <c r="G14" s="97">
        <f>'[1]Load Rating'!$BC32</f>
        <v>6.7679999999999998</v>
      </c>
      <c r="K14" s="141" t="s">
        <v>109</v>
      </c>
      <c r="L14" s="145" t="str">
        <f>AC19</f>
        <v>S6</v>
      </c>
      <c r="M14" s="153" t="s">
        <v>68</v>
      </c>
      <c r="N14" s="164">
        <v>1191.674</v>
      </c>
      <c r="O14" s="164">
        <v>678.03399999999999</v>
      </c>
      <c r="P14" s="164">
        <v>51.470999999999997</v>
      </c>
      <c r="Q14" s="164">
        <v>2088.924</v>
      </c>
      <c r="T14" s="141" t="s">
        <v>164</v>
      </c>
      <c r="U14" s="145" t="str">
        <f>AC23</f>
        <v>S10</v>
      </c>
      <c r="V14" s="87" t="s">
        <v>46</v>
      </c>
      <c r="W14" s="151">
        <v>-656.94600000000003</v>
      </c>
      <c r="X14" s="151">
        <v>-373.79899999999998</v>
      </c>
      <c r="Y14" s="167">
        <v>-28.355</v>
      </c>
      <c r="Z14" s="151">
        <v>-1155.1990000000001</v>
      </c>
      <c r="AA14" s="170" t="s">
        <v>175</v>
      </c>
      <c r="AC14" s="173" t="s">
        <v>66</v>
      </c>
      <c r="AD14" s="136">
        <f>AN27</f>
        <v>41</v>
      </c>
      <c r="AE14" s="137">
        <f>AQ15</f>
        <v>3910.4288617886182</v>
      </c>
      <c r="AF14" s="137">
        <f>AP15</f>
        <v>4643.4166666666661</v>
      </c>
      <c r="AG14" s="138">
        <f>AR10</f>
        <v>30</v>
      </c>
      <c r="AH14" s="139">
        <f>AO9</f>
        <v>23</v>
      </c>
      <c r="AO14" s="77" t="s">
        <v>136</v>
      </c>
      <c r="AP14" s="42">
        <f>AO37</f>
        <v>11.634146341463415</v>
      </c>
      <c r="AQ14" s="42">
        <f>AO27</f>
        <v>15</v>
      </c>
      <c r="AR14" s="60"/>
      <c r="AX14" s="77" t="s">
        <v>136</v>
      </c>
      <c r="AY14" s="42">
        <f>AX37</f>
        <v>10.997109826589595</v>
      </c>
      <c r="AZ14" s="42">
        <f>AX27</f>
        <v>15</v>
      </c>
      <c r="BA14" s="60"/>
      <c r="BG14" s="77" t="s">
        <v>136</v>
      </c>
      <c r="BH14" s="42">
        <f>BG37</f>
        <v>11.2</v>
      </c>
      <c r="BI14" s="42">
        <f>BG27</f>
        <v>15</v>
      </c>
      <c r="BJ14" s="60"/>
      <c r="BP14" s="77" t="s">
        <v>136</v>
      </c>
      <c r="BQ14" s="42">
        <f>BP37</f>
        <v>10.493852459016393</v>
      </c>
      <c r="BR14" s="42">
        <f>BP27</f>
        <v>15</v>
      </c>
      <c r="BS14" s="60"/>
      <c r="BY14" s="77" t="s">
        <v>136</v>
      </c>
      <c r="BZ14" s="42">
        <f>BY37</f>
        <v>11.485714285714286</v>
      </c>
      <c r="CA14" s="42">
        <f>BY27</f>
        <v>16.678571428571427</v>
      </c>
      <c r="CB14" s="60"/>
      <c r="CH14" s="77" t="s">
        <v>136</v>
      </c>
      <c r="CI14" s="42">
        <f>CH37</f>
        <v>11.285714285714286</v>
      </c>
      <c r="CJ14" s="42">
        <f>CH27</f>
        <v>16.566964285714285</v>
      </c>
      <c r="CK14" s="60"/>
      <c r="CQ14" s="77" t="s">
        <v>136</v>
      </c>
      <c r="CR14" s="42">
        <f>CQ37</f>
        <v>11.232954545454545</v>
      </c>
      <c r="CS14" s="42">
        <f>CQ27</f>
        <v>16.757575757575758</v>
      </c>
      <c r="CT14" s="60"/>
      <c r="CZ14" s="77" t="s">
        <v>136</v>
      </c>
      <c r="DA14" s="42">
        <f>CZ37</f>
        <v>10.125</v>
      </c>
      <c r="DB14" s="42">
        <f>CZ27</f>
        <v>16.074074074074073</v>
      </c>
      <c r="DC14" s="60"/>
      <c r="DI14" s="77" t="s">
        <v>136</v>
      </c>
      <c r="DJ14" s="42">
        <f>DI37</f>
        <v>11.327102803738319</v>
      </c>
      <c r="DK14" s="42">
        <f>DI27</f>
        <v>9</v>
      </c>
      <c r="DL14" s="60"/>
      <c r="DR14" s="77" t="s">
        <v>136</v>
      </c>
      <c r="DS14" s="42">
        <f>DR37</f>
        <v>11.495327102803738</v>
      </c>
      <c r="DT14" s="42">
        <f>DR27</f>
        <v>9</v>
      </c>
      <c r="DU14" s="60"/>
      <c r="EA14" s="77" t="s">
        <v>136</v>
      </c>
      <c r="EB14" s="42">
        <f>EA37</f>
        <v>11.76923076923077</v>
      </c>
      <c r="EC14" s="42">
        <f>EA27</f>
        <v>9</v>
      </c>
      <c r="ED14" s="60"/>
      <c r="EJ14" s="77" t="s">
        <v>136</v>
      </c>
      <c r="EK14" s="42">
        <f>EJ37</f>
        <v>11.12109375</v>
      </c>
      <c r="EL14" s="42">
        <f>EJ27</f>
        <v>9</v>
      </c>
      <c r="EM14" s="60"/>
      <c r="ES14" s="77" t="s">
        <v>136</v>
      </c>
      <c r="ET14" s="42">
        <f>ES37</f>
        <v>11.816326530612244</v>
      </c>
      <c r="EU14" s="42">
        <f>ES27</f>
        <v>9</v>
      </c>
      <c r="EV14" s="60"/>
      <c r="FB14" s="77" t="s">
        <v>136</v>
      </c>
      <c r="FC14" s="42">
        <f>FB37</f>
        <v>11.76923076923077</v>
      </c>
      <c r="FD14" s="42">
        <f>FB27</f>
        <v>9</v>
      </c>
      <c r="FE14" s="60"/>
    </row>
    <row r="15" spans="1:162" s="6" customFormat="1" ht="14.25" customHeight="1">
      <c r="B15" s="117" t="s">
        <v>21</v>
      </c>
      <c r="C15" s="107">
        <v>43.333666666666673</v>
      </c>
      <c r="D15" s="104">
        <v>0</v>
      </c>
      <c r="E15" s="113">
        <v>141.3893544922413</v>
      </c>
      <c r="F15" s="94">
        <v>85.35815999999997</v>
      </c>
      <c r="G15" s="96">
        <f>'[1]Load Rating'!$BC33</f>
        <v>6.7679999999999998</v>
      </c>
      <c r="K15" s="141" t="s">
        <v>109</v>
      </c>
      <c r="L15" s="145" t="str">
        <f>L14</f>
        <v>S6</v>
      </c>
      <c r="M15" s="153" t="s">
        <v>69</v>
      </c>
      <c r="N15" s="164">
        <v>1191.501</v>
      </c>
      <c r="O15" s="164">
        <v>677.93200000000002</v>
      </c>
      <c r="P15" s="164">
        <v>51.463000000000001</v>
      </c>
      <c r="Q15" s="164">
        <v>2088.6210000000001</v>
      </c>
      <c r="T15" s="141" t="s">
        <v>164</v>
      </c>
      <c r="U15" s="145" t="str">
        <f>U14</f>
        <v>S10</v>
      </c>
      <c r="V15" s="87" t="s">
        <v>47</v>
      </c>
      <c r="W15" s="151">
        <v>397.495</v>
      </c>
      <c r="X15" s="151">
        <v>226.85900000000001</v>
      </c>
      <c r="Y15" s="167">
        <v>17.228000000000002</v>
      </c>
      <c r="Z15" s="151">
        <v>702.423</v>
      </c>
      <c r="AA15" s="170" t="s">
        <v>175</v>
      </c>
      <c r="AC15" s="173" t="s">
        <v>111</v>
      </c>
      <c r="AD15" s="114">
        <f>AW27</f>
        <v>86.5</v>
      </c>
      <c r="AE15" s="132">
        <f>AZ15</f>
        <v>7174.2779232899802</v>
      </c>
      <c r="AF15" s="132">
        <f>AY15</f>
        <v>9058.8333333333339</v>
      </c>
      <c r="AG15" s="133">
        <f>BA10</f>
        <v>30</v>
      </c>
      <c r="AH15" s="88">
        <f>AX9</f>
        <v>21.5</v>
      </c>
      <c r="AO15" s="78" t="s">
        <v>138</v>
      </c>
      <c r="AP15" s="42">
        <f>AS27</f>
        <v>4643.4166666666661</v>
      </c>
      <c r="AQ15" s="42">
        <f>AS37</f>
        <v>3910.4288617886182</v>
      </c>
      <c r="AR15" s="43">
        <f>SQRT(AP15^2+AQ15^2)</f>
        <v>6070.6484186936077</v>
      </c>
      <c r="AX15" s="78" t="s">
        <v>138</v>
      </c>
      <c r="AY15" s="42">
        <f>BB27</f>
        <v>9058.8333333333339</v>
      </c>
      <c r="AZ15" s="42">
        <f>BB37</f>
        <v>7174.2779232899802</v>
      </c>
      <c r="BA15" s="43">
        <f>SQRT(AY15^2+AZ15^2)</f>
        <v>11555.636074302318</v>
      </c>
      <c r="BG15" s="78" t="s">
        <v>138</v>
      </c>
      <c r="BH15" s="42">
        <f>BK27</f>
        <v>7709.0625</v>
      </c>
      <c r="BI15" s="42">
        <f>BK37</f>
        <v>6757.0000000000009</v>
      </c>
      <c r="BJ15" s="43">
        <f>SQRT(BH15^2+BI15^2)</f>
        <v>10251.180109085308</v>
      </c>
      <c r="BP15" s="78" t="s">
        <v>138</v>
      </c>
      <c r="BQ15" s="42">
        <f>BT27</f>
        <v>11450.666666666666</v>
      </c>
      <c r="BR15" s="42">
        <f>BT37</f>
        <v>9402.4745560109295</v>
      </c>
      <c r="BS15" s="43">
        <f>SQRT(BQ15^2+BR15^2)</f>
        <v>14816.352280083787</v>
      </c>
      <c r="BY15" s="78" t="s">
        <v>138</v>
      </c>
      <c r="BZ15" s="42">
        <f>CC27</f>
        <v>7576.6499920280621</v>
      </c>
      <c r="CA15" s="42">
        <f>CC37</f>
        <v>5985.5725446428569</v>
      </c>
      <c r="CB15" s="43">
        <f>SQRT(BZ15^2+CA15^2)</f>
        <v>9655.7083525177586</v>
      </c>
      <c r="CH15" s="78" t="s">
        <v>138</v>
      </c>
      <c r="CI15" s="42">
        <f>CL27</f>
        <v>9439.1150749362241</v>
      </c>
      <c r="CJ15" s="42">
        <f>CL37</f>
        <v>7365.1428571428569</v>
      </c>
      <c r="CK15" s="43">
        <f>SQRT(CI15^2+CJ15^2)</f>
        <v>11972.561242441432</v>
      </c>
      <c r="CQ15" s="78" t="s">
        <v>138</v>
      </c>
      <c r="CR15" s="42">
        <f>CU27</f>
        <v>11360.794596038473</v>
      </c>
      <c r="CS15" s="42">
        <f>CU37</f>
        <v>8147.432173295455</v>
      </c>
      <c r="CT15" s="43">
        <f>SQRT(CR15^2+CS15^2)</f>
        <v>13980.282717879023</v>
      </c>
      <c r="CZ15" s="78" t="s">
        <v>138</v>
      </c>
      <c r="DA15" s="42">
        <f>DD27</f>
        <v>15747.753137434956</v>
      </c>
      <c r="DB15" s="42">
        <f>DD37</f>
        <v>10866.65625</v>
      </c>
      <c r="DC15" s="43">
        <f>SQRT(DA15^2+DB15^2)</f>
        <v>19133.111271647813</v>
      </c>
      <c r="DI15" s="78" t="s">
        <v>138</v>
      </c>
      <c r="DJ15" s="42">
        <f>DM27</f>
        <v>3156.9190779320979</v>
      </c>
      <c r="DK15" s="42">
        <f>DM37</f>
        <v>4129.6090342679126</v>
      </c>
      <c r="DL15" s="43">
        <f>SQRT(DJ15^2+DK15^2)</f>
        <v>5198.0581797935665</v>
      </c>
      <c r="DR15" s="78" t="s">
        <v>138</v>
      </c>
      <c r="DS15" s="42">
        <f>DV27</f>
        <v>1720.005859375</v>
      </c>
      <c r="DT15" s="42">
        <f>DV37</f>
        <v>3319.9913113317757</v>
      </c>
      <c r="DU15" s="43">
        <f>SQRT(DS15^2+DT15^2)</f>
        <v>3739.0857791180474</v>
      </c>
      <c r="EA15" s="78" t="s">
        <v>138</v>
      </c>
      <c r="EB15" s="42">
        <f>EE27</f>
        <v>1019.8564453125</v>
      </c>
      <c r="EC15" s="42">
        <f>EE37</f>
        <v>1855.8991135817309</v>
      </c>
      <c r="ED15" s="43">
        <f>SQRT(EB15^2+EC15^2)</f>
        <v>2117.6564142558404</v>
      </c>
      <c r="EJ15" s="78" t="s">
        <v>138</v>
      </c>
      <c r="EK15" s="42">
        <f>EN27</f>
        <v>2589.333333333333</v>
      </c>
      <c r="EL15" s="42">
        <f>EN37</f>
        <v>4782.832356770833</v>
      </c>
      <c r="EM15" s="43">
        <f>SQRT(EK15^2+EL15^2)</f>
        <v>5438.7620341475822</v>
      </c>
      <c r="ES15" s="78" t="s">
        <v>138</v>
      </c>
      <c r="ET15" s="42">
        <f>EW27</f>
        <v>1426.2919921875</v>
      </c>
      <c r="EU15" s="42">
        <f>EW37</f>
        <v>1915.4637077487246</v>
      </c>
      <c r="EV15" s="43">
        <f>SQRT(ET15^2+EU15^2)</f>
        <v>2388.1603929972289</v>
      </c>
      <c r="FB15" s="78" t="s">
        <v>138</v>
      </c>
      <c r="FC15" s="42">
        <f>FF27</f>
        <v>1019.8564453125</v>
      </c>
      <c r="FD15" s="42">
        <f>FF37</f>
        <v>1855.8991135817309</v>
      </c>
      <c r="FE15" s="43">
        <f>SQRT(FC15^2+FD15^2)</f>
        <v>2117.6564142558404</v>
      </c>
    </row>
    <row r="16" spans="1:162" s="6" customFormat="1" ht="14.25" customHeight="1">
      <c r="B16" s="118" t="s">
        <v>22</v>
      </c>
      <c r="C16" s="105">
        <f>C15+$C$14</f>
        <v>65.000333333333344</v>
      </c>
      <c r="D16" s="106">
        <v>0</v>
      </c>
      <c r="E16" s="114">
        <v>143.02071039105493</v>
      </c>
      <c r="F16" s="93">
        <v>85.35815999999997</v>
      </c>
      <c r="G16" s="97">
        <f>'[1]Load Rating'!$BC34</f>
        <v>6.7679999999999998</v>
      </c>
      <c r="K16" s="141" t="s">
        <v>109</v>
      </c>
      <c r="L16" s="145" t="str">
        <f>AC20</f>
        <v>S7</v>
      </c>
      <c r="M16" s="153" t="s">
        <v>70</v>
      </c>
      <c r="N16" s="164">
        <v>1606.3209999999999</v>
      </c>
      <c r="O16" s="164">
        <v>914.21299999999997</v>
      </c>
      <c r="P16" s="164">
        <v>69.405000000000001</v>
      </c>
      <c r="Q16" s="164">
        <v>2821.3249999999998</v>
      </c>
      <c r="T16" s="141" t="s">
        <v>164</v>
      </c>
      <c r="U16" s="145" t="str">
        <f>AC24</f>
        <v>S11</v>
      </c>
      <c r="V16" s="87" t="s">
        <v>48</v>
      </c>
      <c r="W16" s="151">
        <v>-113.321</v>
      </c>
      <c r="X16" s="151">
        <v>-64.11</v>
      </c>
      <c r="Y16" s="167">
        <v>-4.867</v>
      </c>
      <c r="Z16" s="151">
        <v>-202.05600000000001</v>
      </c>
      <c r="AA16" s="170" t="s">
        <v>175</v>
      </c>
      <c r="AC16" s="173" t="s">
        <v>112</v>
      </c>
      <c r="AD16" s="114">
        <f>BF27</f>
        <v>75</v>
      </c>
      <c r="AE16" s="93">
        <f>BI15</f>
        <v>6757.0000000000009</v>
      </c>
      <c r="AF16" s="93">
        <f>BH15</f>
        <v>7709.0625</v>
      </c>
      <c r="AG16" s="93">
        <f>BJ9</f>
        <v>30</v>
      </c>
      <c r="AH16" s="134">
        <f>BG9</f>
        <v>22</v>
      </c>
      <c r="AO16" s="78" t="s">
        <v>140</v>
      </c>
      <c r="AP16" s="42">
        <f>AP15/AQ14</f>
        <v>309.56111111111107</v>
      </c>
      <c r="AQ16" s="42">
        <f>AQ15/AP14</f>
        <v>336.11652690426274</v>
      </c>
      <c r="AR16" s="60"/>
      <c r="AX16" s="78" t="s">
        <v>140</v>
      </c>
      <c r="AY16" s="42">
        <f>AY15/AZ14</f>
        <v>603.92222222222222</v>
      </c>
      <c r="AZ16" s="42">
        <f>AZ15/AY14</f>
        <v>652.37849184187473</v>
      </c>
      <c r="BA16" s="60"/>
      <c r="BG16" s="78" t="s">
        <v>140</v>
      </c>
      <c r="BH16" s="42">
        <f>BH15/BI14</f>
        <v>513.9375</v>
      </c>
      <c r="BI16" s="42">
        <f>BI15/BH14</f>
        <v>603.30357142857156</v>
      </c>
      <c r="BJ16" s="60"/>
      <c r="BP16" s="78" t="s">
        <v>140</v>
      </c>
      <c r="BQ16" s="42">
        <f>BQ15/BR14</f>
        <v>763.37777777777774</v>
      </c>
      <c r="BR16" s="42">
        <f>BR15/BQ14</f>
        <v>895.9983564407994</v>
      </c>
      <c r="BS16" s="60"/>
      <c r="BY16" s="78" t="s">
        <v>140</v>
      </c>
      <c r="BZ16" s="42">
        <f>BZ15/CA14</f>
        <v>454.27451772331</v>
      </c>
      <c r="CA16" s="42">
        <f>CA15/BZ14</f>
        <v>521.13193796641792</v>
      </c>
      <c r="CB16" s="60"/>
      <c r="CH16" s="78" t="s">
        <v>140</v>
      </c>
      <c r="CI16" s="42">
        <f>CI15/CJ14</f>
        <v>569.75526186626632</v>
      </c>
      <c r="CJ16" s="42">
        <f>CJ15/CI14</f>
        <v>652.60759493670878</v>
      </c>
      <c r="CK16" s="60"/>
      <c r="CQ16" s="78" t="s">
        <v>140</v>
      </c>
      <c r="CR16" s="42">
        <f>CR15/CS14</f>
        <v>677.94976793719638</v>
      </c>
      <c r="CS16" s="42">
        <f>CS15/CR14</f>
        <v>725.31515553869508</v>
      </c>
      <c r="CT16" s="60"/>
      <c r="CZ16" s="78" t="s">
        <v>140</v>
      </c>
      <c r="DA16" s="42">
        <f>DA15/DB14</f>
        <v>979.69892790493975</v>
      </c>
      <c r="DB16" s="42">
        <f>DB15/DA14</f>
        <v>1073.25</v>
      </c>
      <c r="DC16" s="60"/>
      <c r="DI16" s="78" t="s">
        <v>140</v>
      </c>
      <c r="DJ16" s="42">
        <f>DJ15/DK14</f>
        <v>350.76878643689975</v>
      </c>
      <c r="DK16" s="42">
        <f>DK15/DJ14</f>
        <v>364.57769526952694</v>
      </c>
      <c r="DL16" s="60"/>
      <c r="DR16" s="78" t="s">
        <v>140</v>
      </c>
      <c r="DS16" s="42">
        <f>DS15/DT14</f>
        <v>191.11176215277777</v>
      </c>
      <c r="DT16" s="42">
        <f>DT15/DS14</f>
        <v>288.81225228658536</v>
      </c>
      <c r="DU16" s="60"/>
      <c r="EA16" s="78" t="s">
        <v>140</v>
      </c>
      <c r="EB16" s="42">
        <f>EB15/EC14</f>
        <v>113.3173828125</v>
      </c>
      <c r="EC16" s="42">
        <f>EC15/EB14</f>
        <v>157.69077435661765</v>
      </c>
      <c r="ED16" s="60"/>
      <c r="EJ16" s="78" t="s">
        <v>140</v>
      </c>
      <c r="EK16" s="42">
        <f>EK15/EL14</f>
        <v>287.7037037037037</v>
      </c>
      <c r="EL16" s="42">
        <f>EL15/EK14</f>
        <v>430.06852242126212</v>
      </c>
      <c r="EM16" s="60"/>
      <c r="ES16" s="78" t="s">
        <v>140</v>
      </c>
      <c r="ET16" s="42">
        <f>ET15/EU14</f>
        <v>158.47688802083334</v>
      </c>
      <c r="EU16" s="42">
        <f>EU15/ET14</f>
        <v>162.10314625161919</v>
      </c>
      <c r="EV16" s="60"/>
      <c r="FB16" s="78" t="s">
        <v>140</v>
      </c>
      <c r="FC16" s="42">
        <f>FC15/FD14</f>
        <v>113.3173828125</v>
      </c>
      <c r="FD16" s="42">
        <f>FD15/FC14</f>
        <v>157.69077435661765</v>
      </c>
      <c r="FE16" s="60"/>
    </row>
    <row r="17" spans="1:162" s="6" customFormat="1" ht="14.25" customHeight="1">
      <c r="A17" s="23"/>
      <c r="B17" s="117" t="s">
        <v>23</v>
      </c>
      <c r="C17" s="107">
        <f t="shared" ref="C17:C25" si="0">C16+$C$14</f>
        <v>86.667000000000016</v>
      </c>
      <c r="D17" s="104">
        <v>0</v>
      </c>
      <c r="E17" s="113">
        <v>141.38158943893998</v>
      </c>
      <c r="F17" s="94">
        <v>85.35815999999997</v>
      </c>
      <c r="G17" s="96">
        <f>'[1]Load Rating'!$BC35</f>
        <v>6.7679999999999998</v>
      </c>
      <c r="K17" s="141" t="s">
        <v>109</v>
      </c>
      <c r="L17" s="145" t="str">
        <f>L16</f>
        <v>S7</v>
      </c>
      <c r="M17" s="153" t="s">
        <v>71</v>
      </c>
      <c r="N17" s="164">
        <v>1605.9449999999999</v>
      </c>
      <c r="O17" s="164">
        <v>913.995</v>
      </c>
      <c r="P17" s="164">
        <v>69.388999999999996</v>
      </c>
      <c r="Q17" s="164">
        <v>2820.6709999999998</v>
      </c>
      <c r="T17" s="141" t="s">
        <v>164</v>
      </c>
      <c r="U17" s="145" t="str">
        <f>U16</f>
        <v>S11</v>
      </c>
      <c r="V17" s="87" t="s">
        <v>49</v>
      </c>
      <c r="W17" s="151">
        <v>-216.37700000000001</v>
      </c>
      <c r="X17" s="151">
        <v>-123.473</v>
      </c>
      <c r="Y17" s="167">
        <v>-9.3719999999999999</v>
      </c>
      <c r="Z17" s="151">
        <v>-378.42500000000001</v>
      </c>
      <c r="AA17" s="170" t="s">
        <v>175</v>
      </c>
      <c r="AC17" s="173" t="s">
        <v>113</v>
      </c>
      <c r="AD17" s="114">
        <f>BO27</f>
        <v>122</v>
      </c>
      <c r="AE17" s="93">
        <f>BR15</f>
        <v>9402.4745560109295</v>
      </c>
      <c r="AF17" s="93">
        <f>BQ15</f>
        <v>11450.666666666666</v>
      </c>
      <c r="AG17" s="93">
        <f>BS9</f>
        <v>30</v>
      </c>
      <c r="AH17" s="134">
        <f>BP9</f>
        <v>20.5</v>
      </c>
      <c r="AK17" s="53" t="s">
        <v>280</v>
      </c>
      <c r="AL17" s="63" t="str">
        <f>AO6&amp;" Beam Cross-Section"</f>
        <v>S1 Beam Cross-Section</v>
      </c>
      <c r="AM17" s="38"/>
      <c r="AO17" s="79" t="s">
        <v>142</v>
      </c>
      <c r="AP17" s="45">
        <f>SQRT(AP15/AN27)</f>
        <v>10.642089317453147</v>
      </c>
      <c r="AQ17" s="45">
        <f>SQRT(AQ15/AN27)</f>
        <v>9.7660797509625858</v>
      </c>
      <c r="AR17" s="64"/>
      <c r="AT17" s="53" t="s">
        <v>281</v>
      </c>
      <c r="AU17" s="63" t="str">
        <f>AX6&amp;" Beam Cross-Section"</f>
        <v>S2 Beam Cross-Section</v>
      </c>
      <c r="AV17" s="38"/>
      <c r="AX17" s="79" t="s">
        <v>142</v>
      </c>
      <c r="AY17" s="45">
        <f>SQRT(AY15/AW27)</f>
        <v>10.233591594213069</v>
      </c>
      <c r="AZ17" s="45">
        <f>SQRT(AZ15/AW27)</f>
        <v>9.107119696752779</v>
      </c>
      <c r="BA17" s="64"/>
      <c r="BC17" s="53" t="s">
        <v>282</v>
      </c>
      <c r="BD17" s="63" t="str">
        <f>BG6&amp;" Beam Cross-Section"</f>
        <v>S3 Beam Cross-Section</v>
      </c>
      <c r="BE17" s="38"/>
      <c r="BG17" s="79" t="s">
        <v>142</v>
      </c>
      <c r="BH17" s="45">
        <f>SQRT(BH15/BF27)</f>
        <v>10.138417036204419</v>
      </c>
      <c r="BI17" s="45">
        <f>SQRT(BI15/BF27)</f>
        <v>9.4917508044266174</v>
      </c>
      <c r="BJ17" s="64"/>
      <c r="BL17" s="53" t="s">
        <v>283</v>
      </c>
      <c r="BM17" s="63" t="str">
        <f>BP6&amp;" Beam Cross-Section"</f>
        <v>S4 Beam Cross-Section</v>
      </c>
      <c r="BN17" s="38"/>
      <c r="BP17" s="79" t="s">
        <v>142</v>
      </c>
      <c r="BQ17" s="45">
        <f>SQRT(BQ15/BO27)</f>
        <v>9.6880299079465964</v>
      </c>
      <c r="BR17" s="45">
        <f>SQRT(BR15/BO27)</f>
        <v>8.7789215495902493</v>
      </c>
      <c r="BS17" s="64"/>
      <c r="BU17" s="53" t="s">
        <v>284</v>
      </c>
      <c r="BV17" s="63" t="str">
        <f>BY6&amp;" Beam Cross-Section"</f>
        <v>S5 Beam Cross-Section</v>
      </c>
      <c r="BW17" s="38"/>
      <c r="BY17" s="79" t="s">
        <v>142</v>
      </c>
      <c r="BZ17" s="45">
        <f>SQRT(BZ15/BX27)</f>
        <v>10.744939002350694</v>
      </c>
      <c r="CA17" s="45">
        <f>SQRT(CA15/BX27)</f>
        <v>9.550325883957882</v>
      </c>
      <c r="CB17" s="64"/>
      <c r="CD17" s="53" t="s">
        <v>285</v>
      </c>
      <c r="CE17" s="63" t="str">
        <f>CH6&amp;" Beam Cross-Section"</f>
        <v>S6 Beam Cross-Section</v>
      </c>
      <c r="CF17" s="38"/>
      <c r="CH17" s="79" t="s">
        <v>142</v>
      </c>
      <c r="CI17" s="45">
        <f>SQRT(CI15/CG27)</f>
        <v>10.60049138289186</v>
      </c>
      <c r="CJ17" s="45">
        <f>SQRT(CJ15/CG27)</f>
        <v>9.3637744584565645</v>
      </c>
      <c r="CK17" s="64"/>
      <c r="CM17" s="53" t="s">
        <v>286</v>
      </c>
      <c r="CN17" s="63" t="str">
        <f>CQ6&amp;" Beam Cross-Section"</f>
        <v>S7 Beam Cross-Section</v>
      </c>
      <c r="CO17" s="38"/>
      <c r="CQ17" s="79" t="s">
        <v>142</v>
      </c>
      <c r="CR17" s="45">
        <f>SQRT(CR15/CP27)</f>
        <v>10.712399403032245</v>
      </c>
      <c r="CS17" s="45">
        <f>SQRT(CS15/CP27)</f>
        <v>9.0717856389881746</v>
      </c>
      <c r="CT17" s="64"/>
      <c r="CV17" s="53" t="s">
        <v>287</v>
      </c>
      <c r="CW17" s="63" t="str">
        <f>CZ6&amp;" Beam Cross-Section"</f>
        <v>S8 Beam Cross-Section</v>
      </c>
      <c r="CX17" s="38"/>
      <c r="CZ17" s="79" t="s">
        <v>142</v>
      </c>
      <c r="DA17" s="45">
        <f>SQRT(DA15/CY27)</f>
        <v>9.8594296336155161</v>
      </c>
      <c r="DB17" s="45">
        <f>SQRT(DB15/CY27)</f>
        <v>8.1901236254405827</v>
      </c>
      <c r="DC17" s="64"/>
      <c r="DE17" s="53" t="s">
        <v>288</v>
      </c>
      <c r="DF17" s="63" t="str">
        <f>DI6&amp;" Beam Cross-Section"</f>
        <v>S9 Beam Cross-Section</v>
      </c>
      <c r="DG17" s="38"/>
      <c r="DI17" s="79" t="s">
        <v>142</v>
      </c>
      <c r="DJ17" s="45">
        <f>SQRT(DJ15/DH27)</f>
        <v>7.6816556309415267</v>
      </c>
      <c r="DK17" s="45">
        <f>SQRT(DK15/DH27)</f>
        <v>8.7857244386305311</v>
      </c>
      <c r="DL17" s="64"/>
      <c r="DN17" s="53" t="s">
        <v>289</v>
      </c>
      <c r="DO17" s="63" t="str">
        <f>DR6&amp;" Beam Cross-Section"</f>
        <v>S10 Beam Cross-Section</v>
      </c>
      <c r="DP17" s="38"/>
      <c r="DR17" s="79" t="s">
        <v>142</v>
      </c>
      <c r="DS17" s="45">
        <f>SQRT(DS15/DQ27)</f>
        <v>6.5472276302068915</v>
      </c>
      <c r="DT17" s="45">
        <f>SQRT(DT15/DQ27)</f>
        <v>9.0962199006943969</v>
      </c>
      <c r="DU17" s="64"/>
      <c r="DW17" s="53" t="s">
        <v>290</v>
      </c>
      <c r="DX17" s="63" t="str">
        <f>EA6&amp;" Beam Cross-Section"</f>
        <v>S11 Beam Cross-Section</v>
      </c>
      <c r="DY17" s="38"/>
      <c r="EA17" s="79" t="s">
        <v>142</v>
      </c>
      <c r="EB17" s="45">
        <f>SQRT(EB15/DZ27)</f>
        <v>6.8182976388764152</v>
      </c>
      <c r="EC17" s="45">
        <f>SQRT(EC15/DZ27)</f>
        <v>9.1977926587252128</v>
      </c>
      <c r="ED17" s="64"/>
      <c r="EF17" s="53" t="s">
        <v>291</v>
      </c>
      <c r="EG17" s="63" t="str">
        <f>EJ6&amp;" Beam Cross-Section"</f>
        <v>S12 Beam Cross-Section</v>
      </c>
      <c r="EH17" s="38"/>
      <c r="EJ17" s="79" t="s">
        <v>142</v>
      </c>
      <c r="EK17" s="45">
        <f>SQRT(EK15/EI27)</f>
        <v>6.3606865457537936</v>
      </c>
      <c r="EL17" s="45">
        <f>SQRT(EL15/EI27)</f>
        <v>8.6447530661404244</v>
      </c>
      <c r="EM17" s="64"/>
      <c r="EO17" s="53" t="s">
        <v>292</v>
      </c>
      <c r="EP17" s="63" t="str">
        <f>ES6&amp;" Beam Cross-Section"</f>
        <v>S13 Beam Cross-Section</v>
      </c>
      <c r="EQ17" s="38"/>
      <c r="ES17" s="79" t="s">
        <v>142</v>
      </c>
      <c r="ET17" s="45">
        <f>SQRT(ET15/ER27)</f>
        <v>7.1935773626276402</v>
      </c>
      <c r="EU17" s="45">
        <f>SQRT(EU15/ER27)</f>
        <v>8.3363830234572323</v>
      </c>
      <c r="EV17" s="64"/>
      <c r="EX17" s="53" t="s">
        <v>293</v>
      </c>
      <c r="EY17" s="63" t="str">
        <f>FB6&amp;" Beam Cross-Section"</f>
        <v>S14 Beam Cross-Section</v>
      </c>
      <c r="EZ17" s="38"/>
      <c r="FB17" s="79" t="s">
        <v>142</v>
      </c>
      <c r="FC17" s="45">
        <f>SQRT(FC15/FA27)</f>
        <v>6.8182976388764152</v>
      </c>
      <c r="FD17" s="45">
        <f>SQRT(FD15/FA27)</f>
        <v>9.1977926587252128</v>
      </c>
      <c r="FE17" s="64"/>
    </row>
    <row r="18" spans="1:162" s="6" customFormat="1" ht="14.25" customHeight="1">
      <c r="A18" s="23"/>
      <c r="B18" s="118" t="s">
        <v>24</v>
      </c>
      <c r="C18" s="105">
        <f t="shared" si="0"/>
        <v>108.33366666666669</v>
      </c>
      <c r="D18" s="106">
        <v>0</v>
      </c>
      <c r="E18" s="114">
        <v>143.01800419198739</v>
      </c>
      <c r="F18" s="93">
        <v>85.35815999999997</v>
      </c>
      <c r="G18" s="97">
        <f>'[1]Load Rating'!$BC36</f>
        <v>6.7679999999999998</v>
      </c>
      <c r="K18" s="141" t="s">
        <v>109</v>
      </c>
      <c r="L18" s="145" t="str">
        <f>L14</f>
        <v>S6</v>
      </c>
      <c r="M18" s="153" t="s">
        <v>72</v>
      </c>
      <c r="N18" s="164">
        <v>1041.9190000000001</v>
      </c>
      <c r="O18" s="164">
        <v>591.69000000000005</v>
      </c>
      <c r="P18" s="164">
        <v>44.923000000000002</v>
      </c>
      <c r="Q18" s="164">
        <v>1830.903</v>
      </c>
      <c r="T18" s="141" t="s">
        <v>164</v>
      </c>
      <c r="U18" s="145" t="str">
        <f>U14</f>
        <v>S10</v>
      </c>
      <c r="V18" s="87" t="s">
        <v>50</v>
      </c>
      <c r="W18" s="151">
        <v>479.86599999999999</v>
      </c>
      <c r="X18" s="151">
        <v>274.39100000000002</v>
      </c>
      <c r="Y18" s="167">
        <v>20.829000000000001</v>
      </c>
      <c r="Z18" s="151">
        <v>841.05700000000002</v>
      </c>
      <c r="AA18" s="170" t="s">
        <v>175</v>
      </c>
      <c r="AC18" s="173" t="s">
        <v>114</v>
      </c>
      <c r="AD18" s="114">
        <f>BX27</f>
        <v>65.625</v>
      </c>
      <c r="AE18" s="93">
        <f>CA15</f>
        <v>5985.5725446428569</v>
      </c>
      <c r="AF18" s="93">
        <f>BZ15</f>
        <v>7576.6499920280621</v>
      </c>
      <c r="AG18" s="93">
        <f>CB9</f>
        <v>30</v>
      </c>
      <c r="AH18" s="134">
        <f>BY9</f>
        <v>22.5</v>
      </c>
    </row>
    <row r="19" spans="1:162" s="6" customFormat="1" ht="14.25" customHeight="1">
      <c r="A19" s="23"/>
      <c r="B19" s="117" t="s">
        <v>25</v>
      </c>
      <c r="C19" s="107">
        <f t="shared" si="0"/>
        <v>130.00033333333334</v>
      </c>
      <c r="D19" s="104">
        <v>0</v>
      </c>
      <c r="E19" s="113">
        <v>141.39981472010942</v>
      </c>
      <c r="F19" s="94">
        <v>85.35815999999997</v>
      </c>
      <c r="G19" s="96">
        <f>'[1]Load Rating'!$BC37</f>
        <v>6.7679999999999998</v>
      </c>
      <c r="H19" s="29"/>
      <c r="K19" s="141" t="s">
        <v>109</v>
      </c>
      <c r="L19" s="145" t="str">
        <f>L14</f>
        <v>S6</v>
      </c>
      <c r="M19" s="153" t="s">
        <v>73</v>
      </c>
      <c r="N19" s="164">
        <v>1041.636</v>
      </c>
      <c r="O19" s="164">
        <v>591.52599999999995</v>
      </c>
      <c r="P19" s="164">
        <v>44.91</v>
      </c>
      <c r="Q19" s="164">
        <v>1830.413</v>
      </c>
      <c r="T19" s="141" t="s">
        <v>164</v>
      </c>
      <c r="U19" s="145" t="str">
        <f>U14</f>
        <v>S10</v>
      </c>
      <c r="V19" s="87" t="s">
        <v>51</v>
      </c>
      <c r="W19" s="151">
        <v>-702.66300000000001</v>
      </c>
      <c r="X19" s="151">
        <v>-400.23200000000003</v>
      </c>
      <c r="Y19" s="167">
        <v>-30.382000000000001</v>
      </c>
      <c r="Z19" s="151">
        <v>-1233.0119999999999</v>
      </c>
      <c r="AA19" s="170" t="s">
        <v>175</v>
      </c>
      <c r="AC19" s="173" t="s">
        <v>116</v>
      </c>
      <c r="AD19" s="114">
        <f>CG27</f>
        <v>84</v>
      </c>
      <c r="AE19" s="93">
        <f>CJ15</f>
        <v>7365.1428571428569</v>
      </c>
      <c r="AF19" s="93">
        <f>CI15</f>
        <v>9439.1150749362241</v>
      </c>
      <c r="AG19" s="93">
        <f>CK9</f>
        <v>30</v>
      </c>
      <c r="AH19" s="134">
        <f>CH9</f>
        <v>22</v>
      </c>
      <c r="AK19" s="53" t="s">
        <v>294</v>
      </c>
      <c r="AL19" s="208" t="s">
        <v>326</v>
      </c>
      <c r="AM19" s="38"/>
      <c r="AN19" s="38"/>
      <c r="AO19" s="38"/>
      <c r="AP19" s="38"/>
      <c r="AQ19" s="38"/>
      <c r="AR19" s="38"/>
      <c r="AS19" s="38"/>
      <c r="AT19" s="53" t="s">
        <v>296</v>
      </c>
      <c r="AU19" s="208" t="s">
        <v>326</v>
      </c>
      <c r="AV19" s="38"/>
      <c r="AW19" s="38"/>
      <c r="AX19" s="38"/>
      <c r="AY19" s="38"/>
      <c r="AZ19" s="38"/>
      <c r="BA19" s="38"/>
      <c r="BB19" s="38"/>
      <c r="BC19" s="53" t="s">
        <v>298</v>
      </c>
      <c r="BD19" s="208" t="s">
        <v>326</v>
      </c>
      <c r="BE19" s="38"/>
      <c r="BF19" s="38"/>
      <c r="BG19" s="38"/>
      <c r="BH19" s="38"/>
      <c r="BI19" s="38"/>
      <c r="BJ19" s="38"/>
      <c r="BK19" s="38"/>
      <c r="BL19" s="53" t="s">
        <v>300</v>
      </c>
      <c r="BM19" s="208" t="s">
        <v>326</v>
      </c>
      <c r="BN19" s="38"/>
      <c r="BO19" s="38"/>
      <c r="BP19" s="38"/>
      <c r="BQ19" s="38"/>
      <c r="BR19" s="38"/>
      <c r="BS19" s="38"/>
      <c r="BT19" s="38"/>
      <c r="BU19" s="53" t="s">
        <v>302</v>
      </c>
      <c r="BV19" s="208" t="s">
        <v>326</v>
      </c>
      <c r="BW19" s="38"/>
      <c r="BX19" s="38"/>
      <c r="BY19" s="38"/>
      <c r="BZ19" s="38"/>
      <c r="CA19" s="38"/>
      <c r="CB19" s="38"/>
      <c r="CC19" s="38"/>
      <c r="CD19" s="53" t="s">
        <v>304</v>
      </c>
      <c r="CE19" s="208" t="s">
        <v>326</v>
      </c>
      <c r="CF19" s="38"/>
      <c r="CG19" s="38"/>
      <c r="CH19" s="38"/>
      <c r="CI19" s="38"/>
      <c r="CJ19" s="38"/>
      <c r="CK19" s="38"/>
      <c r="CL19" s="38"/>
      <c r="CM19" s="53" t="s">
        <v>306</v>
      </c>
      <c r="CN19" s="208" t="s">
        <v>326</v>
      </c>
      <c r="CO19" s="38"/>
      <c r="CP19" s="38"/>
      <c r="CQ19" s="38"/>
      <c r="CR19" s="38"/>
      <c r="CS19" s="38"/>
      <c r="CT19" s="38"/>
      <c r="CU19" s="38"/>
      <c r="CV19" s="53" t="s">
        <v>308</v>
      </c>
      <c r="CW19" s="208" t="s">
        <v>326</v>
      </c>
      <c r="CX19" s="38"/>
      <c r="CY19" s="38"/>
      <c r="CZ19" s="38"/>
      <c r="DA19" s="38"/>
      <c r="DB19" s="38"/>
      <c r="DC19" s="38"/>
      <c r="DD19" s="38"/>
      <c r="DE19" s="53" t="s">
        <v>310</v>
      </c>
      <c r="DF19" s="208" t="s">
        <v>326</v>
      </c>
      <c r="DG19" s="38"/>
      <c r="DH19" s="38"/>
      <c r="DI19" s="38"/>
      <c r="DJ19" s="38"/>
      <c r="DK19" s="38"/>
      <c r="DL19" s="38"/>
      <c r="DM19" s="38"/>
      <c r="DN19" s="53" t="s">
        <v>312</v>
      </c>
      <c r="DO19" s="208" t="s">
        <v>326</v>
      </c>
      <c r="DP19" s="38"/>
      <c r="DQ19" s="38"/>
      <c r="DR19" s="38"/>
      <c r="DS19" s="38"/>
      <c r="DT19" s="38"/>
      <c r="DU19" s="38"/>
      <c r="DV19" s="38"/>
      <c r="DW19" s="53" t="s">
        <v>314</v>
      </c>
      <c r="DX19" s="208" t="s">
        <v>326</v>
      </c>
      <c r="DY19" s="38"/>
      <c r="DZ19" s="38"/>
      <c r="EA19" s="38"/>
      <c r="EB19" s="38"/>
      <c r="EC19" s="38"/>
      <c r="ED19" s="38"/>
      <c r="EE19" s="38"/>
      <c r="EF19" s="53" t="s">
        <v>316</v>
      </c>
      <c r="EG19" s="208" t="s">
        <v>326</v>
      </c>
      <c r="EH19" s="38"/>
      <c r="EI19" s="38"/>
      <c r="EJ19" s="38"/>
      <c r="EK19" s="38"/>
      <c r="EL19" s="38"/>
      <c r="EM19" s="38"/>
      <c r="EN19" s="38"/>
      <c r="EO19" s="53" t="s">
        <v>318</v>
      </c>
      <c r="EP19" s="208" t="s">
        <v>326</v>
      </c>
      <c r="EQ19" s="38"/>
      <c r="ER19" s="38"/>
      <c r="ES19" s="38"/>
      <c r="ET19" s="38"/>
      <c r="EU19" s="38"/>
      <c r="EV19" s="38"/>
      <c r="EW19" s="38"/>
      <c r="EX19" s="53" t="s">
        <v>320</v>
      </c>
      <c r="EY19" s="208" t="s">
        <v>326</v>
      </c>
      <c r="EZ19" s="38"/>
      <c r="FA19" s="38"/>
      <c r="FB19" s="38"/>
      <c r="FC19" s="38"/>
      <c r="FD19" s="38"/>
      <c r="FE19" s="38"/>
      <c r="FF19" s="38"/>
    </row>
    <row r="20" spans="1:162" s="6" customFormat="1" ht="14.25" customHeight="1">
      <c r="A20" s="23"/>
      <c r="B20" s="118" t="s">
        <v>26</v>
      </c>
      <c r="C20" s="105">
        <f t="shared" si="0"/>
        <v>151.667</v>
      </c>
      <c r="D20" s="106">
        <v>0</v>
      </c>
      <c r="E20" s="114">
        <v>144.24563099796674</v>
      </c>
      <c r="F20" s="93">
        <v>85.35815999999997</v>
      </c>
      <c r="G20" s="97">
        <f>'[1]Load Rating'!$BC38</f>
        <v>6.7679999999999998</v>
      </c>
      <c r="K20" s="141" t="s">
        <v>109</v>
      </c>
      <c r="L20" s="145" t="str">
        <f>L13</f>
        <v>S5</v>
      </c>
      <c r="M20" s="153" t="s">
        <v>57</v>
      </c>
      <c r="N20" s="164">
        <v>-173.00800000000001</v>
      </c>
      <c r="O20" s="164">
        <v>-100.095</v>
      </c>
      <c r="P20" s="164">
        <v>-7.593</v>
      </c>
      <c r="Q20" s="164">
        <v>-302.80099999999999</v>
      </c>
      <c r="T20" s="141" t="s">
        <v>164</v>
      </c>
      <c r="U20" s="145" t="str">
        <f>U13</f>
        <v>S9</v>
      </c>
      <c r="V20" s="87" t="s">
        <v>52</v>
      </c>
      <c r="W20" s="151">
        <v>867.93200000000002</v>
      </c>
      <c r="X20" s="151">
        <v>494.06599999999997</v>
      </c>
      <c r="Y20" s="167">
        <v>37.506999999999998</v>
      </c>
      <c r="Z20" s="151">
        <v>1521.366</v>
      </c>
      <c r="AA20" s="170" t="s">
        <v>175</v>
      </c>
      <c r="AC20" s="173" t="s">
        <v>115</v>
      </c>
      <c r="AD20" s="114">
        <f>CP27</f>
        <v>99</v>
      </c>
      <c r="AE20" s="93">
        <f>CS15</f>
        <v>8147.432173295455</v>
      </c>
      <c r="AF20" s="93">
        <f>CR15</f>
        <v>11360.794596038473</v>
      </c>
      <c r="AG20" s="93">
        <f>CT9</f>
        <v>30</v>
      </c>
      <c r="AH20" s="134">
        <f>CQ9</f>
        <v>21.75</v>
      </c>
    </row>
    <row r="21" spans="1:162" s="6" customFormat="1" ht="19.5" customHeight="1">
      <c r="A21" s="25"/>
      <c r="B21" s="117" t="s">
        <v>27</v>
      </c>
      <c r="C21" s="107">
        <f t="shared" si="0"/>
        <v>173.33366666666666</v>
      </c>
      <c r="D21" s="104">
        <v>0</v>
      </c>
      <c r="E21" s="113">
        <v>141.66784337722478</v>
      </c>
      <c r="F21" s="94">
        <v>85.35815999999997</v>
      </c>
      <c r="G21" s="96">
        <f>'[1]Load Rating'!$BC39</f>
        <v>6.7679999999999998</v>
      </c>
      <c r="K21" s="141" t="s">
        <v>109</v>
      </c>
      <c r="L21" s="145" t="str">
        <f>L13</f>
        <v>S5</v>
      </c>
      <c r="M21" s="153" t="s">
        <v>74</v>
      </c>
      <c r="N21" s="164">
        <v>-173.154</v>
      </c>
      <c r="O21" s="164">
        <v>-100.182</v>
      </c>
      <c r="P21" s="164">
        <v>-7.6</v>
      </c>
      <c r="Q21" s="164">
        <v>-303.053</v>
      </c>
      <c r="T21" s="141" t="s">
        <v>164</v>
      </c>
      <c r="U21" s="145" t="str">
        <f>U13</f>
        <v>S9</v>
      </c>
      <c r="V21" s="87" t="s">
        <v>53</v>
      </c>
      <c r="W21" s="151">
        <v>-909.76599999999996</v>
      </c>
      <c r="X21" s="151">
        <v>-516.36300000000006</v>
      </c>
      <c r="Y21" s="167">
        <v>-39.195999999999998</v>
      </c>
      <c r="Z21" s="151">
        <v>-1594.6410000000001</v>
      </c>
      <c r="AA21" s="170" t="s">
        <v>175</v>
      </c>
      <c r="AC21" s="173" t="s">
        <v>117</v>
      </c>
      <c r="AD21" s="114">
        <f>CY27</f>
        <v>162</v>
      </c>
      <c r="AE21" s="93">
        <f>DB15</f>
        <v>10866.65625</v>
      </c>
      <c r="AF21" s="93">
        <f>DA15</f>
        <v>15747.753137434956</v>
      </c>
      <c r="AG21" s="93">
        <f>DC9</f>
        <v>30</v>
      </c>
      <c r="AH21" s="134">
        <f>CZ9</f>
        <v>19.5</v>
      </c>
      <c r="AK21" s="38"/>
      <c r="AL21" s="68" t="s">
        <v>144</v>
      </c>
      <c r="AM21" s="69" t="s">
        <v>145</v>
      </c>
      <c r="AN21" s="69" t="s">
        <v>146</v>
      </c>
      <c r="AO21" s="69" t="s">
        <v>147</v>
      </c>
      <c r="AP21" s="69" t="s">
        <v>148</v>
      </c>
      <c r="AQ21" s="69" t="s">
        <v>149</v>
      </c>
      <c r="AR21" s="69" t="s">
        <v>150</v>
      </c>
      <c r="AS21" s="70" t="s">
        <v>128</v>
      </c>
      <c r="AT21" s="38"/>
      <c r="AU21" s="68" t="s">
        <v>144</v>
      </c>
      <c r="AV21" s="69" t="s">
        <v>145</v>
      </c>
      <c r="AW21" s="69" t="s">
        <v>146</v>
      </c>
      <c r="AX21" s="69" t="s">
        <v>147</v>
      </c>
      <c r="AY21" s="69" t="s">
        <v>148</v>
      </c>
      <c r="AZ21" s="69" t="s">
        <v>149</v>
      </c>
      <c r="BA21" s="69" t="s">
        <v>150</v>
      </c>
      <c r="BB21" s="70" t="s">
        <v>128</v>
      </c>
      <c r="BC21" s="38"/>
      <c r="BD21" s="68" t="s">
        <v>144</v>
      </c>
      <c r="BE21" s="69" t="s">
        <v>145</v>
      </c>
      <c r="BF21" s="69" t="s">
        <v>146</v>
      </c>
      <c r="BG21" s="69" t="s">
        <v>147</v>
      </c>
      <c r="BH21" s="69" t="s">
        <v>148</v>
      </c>
      <c r="BI21" s="69" t="s">
        <v>149</v>
      </c>
      <c r="BJ21" s="69" t="s">
        <v>150</v>
      </c>
      <c r="BK21" s="70" t="s">
        <v>128</v>
      </c>
      <c r="BL21" s="38"/>
      <c r="BM21" s="68" t="s">
        <v>144</v>
      </c>
      <c r="BN21" s="69" t="s">
        <v>145</v>
      </c>
      <c r="BO21" s="69" t="s">
        <v>146</v>
      </c>
      <c r="BP21" s="69" t="s">
        <v>147</v>
      </c>
      <c r="BQ21" s="69" t="s">
        <v>148</v>
      </c>
      <c r="BR21" s="69" t="s">
        <v>149</v>
      </c>
      <c r="BS21" s="69" t="s">
        <v>150</v>
      </c>
      <c r="BT21" s="70" t="s">
        <v>128</v>
      </c>
      <c r="BU21" s="38"/>
      <c r="BV21" s="68" t="s">
        <v>144</v>
      </c>
      <c r="BW21" s="69" t="s">
        <v>145</v>
      </c>
      <c r="BX21" s="69" t="s">
        <v>146</v>
      </c>
      <c r="BY21" s="69" t="s">
        <v>147</v>
      </c>
      <c r="BZ21" s="69" t="s">
        <v>148</v>
      </c>
      <c r="CA21" s="69" t="s">
        <v>149</v>
      </c>
      <c r="CB21" s="69" t="s">
        <v>150</v>
      </c>
      <c r="CC21" s="70" t="s">
        <v>128</v>
      </c>
      <c r="CD21" s="38"/>
      <c r="CE21" s="68" t="s">
        <v>144</v>
      </c>
      <c r="CF21" s="69" t="s">
        <v>145</v>
      </c>
      <c r="CG21" s="69" t="s">
        <v>146</v>
      </c>
      <c r="CH21" s="69" t="s">
        <v>147</v>
      </c>
      <c r="CI21" s="69" t="s">
        <v>148</v>
      </c>
      <c r="CJ21" s="69" t="s">
        <v>149</v>
      </c>
      <c r="CK21" s="69" t="s">
        <v>150</v>
      </c>
      <c r="CL21" s="70" t="s">
        <v>128</v>
      </c>
      <c r="CM21" s="38"/>
      <c r="CN21" s="68" t="s">
        <v>144</v>
      </c>
      <c r="CO21" s="69" t="s">
        <v>145</v>
      </c>
      <c r="CP21" s="69" t="s">
        <v>146</v>
      </c>
      <c r="CQ21" s="69" t="s">
        <v>147</v>
      </c>
      <c r="CR21" s="69" t="s">
        <v>148</v>
      </c>
      <c r="CS21" s="69" t="s">
        <v>149</v>
      </c>
      <c r="CT21" s="69" t="s">
        <v>150</v>
      </c>
      <c r="CU21" s="70" t="s">
        <v>128</v>
      </c>
      <c r="CV21" s="38"/>
      <c r="CW21" s="68" t="s">
        <v>144</v>
      </c>
      <c r="CX21" s="69" t="s">
        <v>145</v>
      </c>
      <c r="CY21" s="69" t="s">
        <v>146</v>
      </c>
      <c r="CZ21" s="69" t="s">
        <v>147</v>
      </c>
      <c r="DA21" s="69" t="s">
        <v>148</v>
      </c>
      <c r="DB21" s="69" t="s">
        <v>149</v>
      </c>
      <c r="DC21" s="69" t="s">
        <v>150</v>
      </c>
      <c r="DD21" s="70" t="s">
        <v>128</v>
      </c>
      <c r="DE21" s="38"/>
      <c r="DF21" s="68" t="s">
        <v>144</v>
      </c>
      <c r="DG21" s="69" t="s">
        <v>145</v>
      </c>
      <c r="DH21" s="69" t="s">
        <v>146</v>
      </c>
      <c r="DI21" s="69" t="s">
        <v>147</v>
      </c>
      <c r="DJ21" s="69" t="s">
        <v>148</v>
      </c>
      <c r="DK21" s="69" t="s">
        <v>149</v>
      </c>
      <c r="DL21" s="69" t="s">
        <v>150</v>
      </c>
      <c r="DM21" s="70" t="s">
        <v>128</v>
      </c>
      <c r="DN21" s="38"/>
      <c r="DO21" s="68" t="s">
        <v>144</v>
      </c>
      <c r="DP21" s="69" t="s">
        <v>145</v>
      </c>
      <c r="DQ21" s="69" t="s">
        <v>146</v>
      </c>
      <c r="DR21" s="69" t="s">
        <v>147</v>
      </c>
      <c r="DS21" s="69" t="s">
        <v>148</v>
      </c>
      <c r="DT21" s="69" t="s">
        <v>149</v>
      </c>
      <c r="DU21" s="69" t="s">
        <v>150</v>
      </c>
      <c r="DV21" s="70" t="s">
        <v>128</v>
      </c>
      <c r="DW21" s="38"/>
      <c r="DX21" s="68" t="s">
        <v>144</v>
      </c>
      <c r="DY21" s="69" t="s">
        <v>145</v>
      </c>
      <c r="DZ21" s="69" t="s">
        <v>146</v>
      </c>
      <c r="EA21" s="69" t="s">
        <v>147</v>
      </c>
      <c r="EB21" s="69" t="s">
        <v>148</v>
      </c>
      <c r="EC21" s="69" t="s">
        <v>149</v>
      </c>
      <c r="ED21" s="69" t="s">
        <v>150</v>
      </c>
      <c r="EE21" s="70" t="s">
        <v>128</v>
      </c>
      <c r="EF21" s="38"/>
      <c r="EG21" s="68" t="s">
        <v>144</v>
      </c>
      <c r="EH21" s="69" t="s">
        <v>145</v>
      </c>
      <c r="EI21" s="69" t="s">
        <v>146</v>
      </c>
      <c r="EJ21" s="69" t="s">
        <v>147</v>
      </c>
      <c r="EK21" s="69" t="s">
        <v>148</v>
      </c>
      <c r="EL21" s="69" t="s">
        <v>149</v>
      </c>
      <c r="EM21" s="69" t="s">
        <v>150</v>
      </c>
      <c r="EN21" s="70" t="s">
        <v>128</v>
      </c>
      <c r="EO21" s="38"/>
      <c r="EP21" s="68" t="s">
        <v>144</v>
      </c>
      <c r="EQ21" s="69" t="s">
        <v>145</v>
      </c>
      <c r="ER21" s="69" t="s">
        <v>146</v>
      </c>
      <c r="ES21" s="69" t="s">
        <v>147</v>
      </c>
      <c r="ET21" s="69" t="s">
        <v>148</v>
      </c>
      <c r="EU21" s="69" t="s">
        <v>149</v>
      </c>
      <c r="EV21" s="69" t="s">
        <v>150</v>
      </c>
      <c r="EW21" s="70" t="s">
        <v>128</v>
      </c>
      <c r="EX21" s="38"/>
      <c r="EY21" s="68" t="s">
        <v>144</v>
      </c>
      <c r="EZ21" s="69" t="s">
        <v>145</v>
      </c>
      <c r="FA21" s="69" t="s">
        <v>146</v>
      </c>
      <c r="FB21" s="69" t="s">
        <v>147</v>
      </c>
      <c r="FC21" s="69" t="s">
        <v>148</v>
      </c>
      <c r="FD21" s="69" t="s">
        <v>149</v>
      </c>
      <c r="FE21" s="69" t="s">
        <v>150</v>
      </c>
      <c r="FF21" s="69" t="s">
        <v>128</v>
      </c>
    </row>
    <row r="22" spans="1:162" s="6" customFormat="1" ht="14.25" customHeight="1">
      <c r="A22" s="23"/>
      <c r="B22" s="118" t="s">
        <v>105</v>
      </c>
      <c r="C22" s="105">
        <f t="shared" si="0"/>
        <v>195.00033333333332</v>
      </c>
      <c r="D22" s="106">
        <v>0</v>
      </c>
      <c r="E22" s="114">
        <v>145.47538139097162</v>
      </c>
      <c r="F22" s="93">
        <v>85.35815999999997</v>
      </c>
      <c r="G22" s="97">
        <f>'[1]Load Rating'!$BC40</f>
        <v>6.7679999999999998</v>
      </c>
      <c r="H22" s="25"/>
      <c r="I22" s="23"/>
      <c r="J22" s="23"/>
      <c r="K22" s="141" t="s">
        <v>109</v>
      </c>
      <c r="L22" s="145" t="str">
        <f>L16</f>
        <v>S7</v>
      </c>
      <c r="M22" s="153" t="s">
        <v>75</v>
      </c>
      <c r="N22" s="164">
        <v>-1537.2719999999999</v>
      </c>
      <c r="O22" s="164">
        <v>-873.53</v>
      </c>
      <c r="P22" s="164">
        <v>-66.314999999999998</v>
      </c>
      <c r="Q22" s="164">
        <v>-2698.2829999999999</v>
      </c>
      <c r="T22" s="141" t="s">
        <v>164</v>
      </c>
      <c r="U22" s="145" t="str">
        <f>AC25</f>
        <v>S12</v>
      </c>
      <c r="V22" s="87" t="s">
        <v>54</v>
      </c>
      <c r="W22" s="151">
        <v>1014.721</v>
      </c>
      <c r="X22" s="151">
        <v>574.62099999999998</v>
      </c>
      <c r="Y22" s="167">
        <v>43.637</v>
      </c>
      <c r="Z22" s="151">
        <v>1778.614</v>
      </c>
      <c r="AA22" s="170"/>
      <c r="AC22" s="173" t="s">
        <v>118</v>
      </c>
      <c r="AD22" s="114">
        <f>DH27</f>
        <v>53.5</v>
      </c>
      <c r="AE22" s="93">
        <f>DK15</f>
        <v>4129.6090342679126</v>
      </c>
      <c r="AF22" s="93">
        <f>DJ15</f>
        <v>3156.9190779320979</v>
      </c>
      <c r="AG22" s="93">
        <f>DL9</f>
        <v>18</v>
      </c>
      <c r="AH22" s="134">
        <f>DI9</f>
        <v>22</v>
      </c>
      <c r="AK22" s="38"/>
      <c r="AL22" s="71" t="s">
        <v>133</v>
      </c>
      <c r="AM22" s="72" t="s">
        <v>133</v>
      </c>
      <c r="AN22" s="72" t="s">
        <v>131</v>
      </c>
      <c r="AO22" s="72" t="s">
        <v>133</v>
      </c>
      <c r="AP22" s="72" t="s">
        <v>151</v>
      </c>
      <c r="AQ22" s="72" t="s">
        <v>132</v>
      </c>
      <c r="AR22" s="72" t="s">
        <v>132</v>
      </c>
      <c r="AS22" s="73" t="s">
        <v>132</v>
      </c>
      <c r="AT22" s="38"/>
      <c r="AU22" s="71" t="s">
        <v>133</v>
      </c>
      <c r="AV22" s="72" t="s">
        <v>133</v>
      </c>
      <c r="AW22" s="72" t="s">
        <v>131</v>
      </c>
      <c r="AX22" s="72" t="s">
        <v>133</v>
      </c>
      <c r="AY22" s="72" t="s">
        <v>151</v>
      </c>
      <c r="AZ22" s="72" t="s">
        <v>132</v>
      </c>
      <c r="BA22" s="72" t="s">
        <v>132</v>
      </c>
      <c r="BB22" s="73" t="s">
        <v>132</v>
      </c>
      <c r="BC22" s="38"/>
      <c r="BD22" s="71" t="s">
        <v>133</v>
      </c>
      <c r="BE22" s="72" t="s">
        <v>133</v>
      </c>
      <c r="BF22" s="72" t="s">
        <v>131</v>
      </c>
      <c r="BG22" s="72" t="s">
        <v>133</v>
      </c>
      <c r="BH22" s="72" t="s">
        <v>151</v>
      </c>
      <c r="BI22" s="72" t="s">
        <v>132</v>
      </c>
      <c r="BJ22" s="72" t="s">
        <v>132</v>
      </c>
      <c r="BK22" s="73" t="s">
        <v>132</v>
      </c>
      <c r="BL22" s="38"/>
      <c r="BM22" s="71" t="s">
        <v>133</v>
      </c>
      <c r="BN22" s="72" t="s">
        <v>133</v>
      </c>
      <c r="BO22" s="72" t="s">
        <v>131</v>
      </c>
      <c r="BP22" s="72" t="s">
        <v>133</v>
      </c>
      <c r="BQ22" s="72" t="s">
        <v>151</v>
      </c>
      <c r="BR22" s="72" t="s">
        <v>132</v>
      </c>
      <c r="BS22" s="72" t="s">
        <v>132</v>
      </c>
      <c r="BT22" s="73" t="s">
        <v>132</v>
      </c>
      <c r="BU22" s="38"/>
      <c r="BV22" s="71" t="s">
        <v>133</v>
      </c>
      <c r="BW22" s="72" t="s">
        <v>133</v>
      </c>
      <c r="BX22" s="72" t="s">
        <v>131</v>
      </c>
      <c r="BY22" s="72" t="s">
        <v>133</v>
      </c>
      <c r="BZ22" s="72" t="s">
        <v>151</v>
      </c>
      <c r="CA22" s="72" t="s">
        <v>132</v>
      </c>
      <c r="CB22" s="72" t="s">
        <v>132</v>
      </c>
      <c r="CC22" s="73" t="s">
        <v>132</v>
      </c>
      <c r="CD22" s="38"/>
      <c r="CE22" s="71" t="s">
        <v>133</v>
      </c>
      <c r="CF22" s="72" t="s">
        <v>133</v>
      </c>
      <c r="CG22" s="72" t="s">
        <v>131</v>
      </c>
      <c r="CH22" s="72" t="s">
        <v>133</v>
      </c>
      <c r="CI22" s="72" t="s">
        <v>151</v>
      </c>
      <c r="CJ22" s="72" t="s">
        <v>132</v>
      </c>
      <c r="CK22" s="72" t="s">
        <v>132</v>
      </c>
      <c r="CL22" s="73" t="s">
        <v>132</v>
      </c>
      <c r="CM22" s="38"/>
      <c r="CN22" s="71" t="s">
        <v>133</v>
      </c>
      <c r="CO22" s="72" t="s">
        <v>133</v>
      </c>
      <c r="CP22" s="72" t="s">
        <v>131</v>
      </c>
      <c r="CQ22" s="72" t="s">
        <v>133</v>
      </c>
      <c r="CR22" s="72" t="s">
        <v>151</v>
      </c>
      <c r="CS22" s="72" t="s">
        <v>132</v>
      </c>
      <c r="CT22" s="72" t="s">
        <v>132</v>
      </c>
      <c r="CU22" s="73" t="s">
        <v>132</v>
      </c>
      <c r="CV22" s="38"/>
      <c r="CW22" s="71" t="s">
        <v>133</v>
      </c>
      <c r="CX22" s="72" t="s">
        <v>133</v>
      </c>
      <c r="CY22" s="72" t="s">
        <v>131</v>
      </c>
      <c r="CZ22" s="72" t="s">
        <v>133</v>
      </c>
      <c r="DA22" s="72" t="s">
        <v>151</v>
      </c>
      <c r="DB22" s="72" t="s">
        <v>132</v>
      </c>
      <c r="DC22" s="72" t="s">
        <v>132</v>
      </c>
      <c r="DD22" s="73" t="s">
        <v>132</v>
      </c>
      <c r="DE22" s="38"/>
      <c r="DF22" s="71" t="s">
        <v>133</v>
      </c>
      <c r="DG22" s="72" t="s">
        <v>133</v>
      </c>
      <c r="DH22" s="72" t="s">
        <v>131</v>
      </c>
      <c r="DI22" s="72" t="s">
        <v>133</v>
      </c>
      <c r="DJ22" s="72" t="s">
        <v>151</v>
      </c>
      <c r="DK22" s="72" t="s">
        <v>132</v>
      </c>
      <c r="DL22" s="72" t="s">
        <v>132</v>
      </c>
      <c r="DM22" s="73" t="s">
        <v>132</v>
      </c>
      <c r="DN22" s="38"/>
      <c r="DO22" s="71" t="s">
        <v>133</v>
      </c>
      <c r="DP22" s="72" t="s">
        <v>133</v>
      </c>
      <c r="DQ22" s="72" t="s">
        <v>131</v>
      </c>
      <c r="DR22" s="72" t="s">
        <v>133</v>
      </c>
      <c r="DS22" s="72" t="s">
        <v>151</v>
      </c>
      <c r="DT22" s="72" t="s">
        <v>132</v>
      </c>
      <c r="DU22" s="72" t="s">
        <v>132</v>
      </c>
      <c r="DV22" s="73" t="s">
        <v>132</v>
      </c>
      <c r="DW22" s="38"/>
      <c r="DX22" s="71" t="s">
        <v>133</v>
      </c>
      <c r="DY22" s="72" t="s">
        <v>133</v>
      </c>
      <c r="DZ22" s="72" t="s">
        <v>131</v>
      </c>
      <c r="EA22" s="72" t="s">
        <v>133</v>
      </c>
      <c r="EB22" s="72" t="s">
        <v>151</v>
      </c>
      <c r="EC22" s="72" t="s">
        <v>132</v>
      </c>
      <c r="ED22" s="72" t="s">
        <v>132</v>
      </c>
      <c r="EE22" s="73" t="s">
        <v>132</v>
      </c>
      <c r="EF22" s="38"/>
      <c r="EG22" s="71" t="s">
        <v>133</v>
      </c>
      <c r="EH22" s="72" t="s">
        <v>133</v>
      </c>
      <c r="EI22" s="72" t="s">
        <v>131</v>
      </c>
      <c r="EJ22" s="72" t="s">
        <v>133</v>
      </c>
      <c r="EK22" s="72" t="s">
        <v>151</v>
      </c>
      <c r="EL22" s="72" t="s">
        <v>132</v>
      </c>
      <c r="EM22" s="72" t="s">
        <v>132</v>
      </c>
      <c r="EN22" s="73" t="s">
        <v>132</v>
      </c>
      <c r="EO22" s="38"/>
      <c r="EP22" s="71" t="s">
        <v>133</v>
      </c>
      <c r="EQ22" s="72" t="s">
        <v>133</v>
      </c>
      <c r="ER22" s="72" t="s">
        <v>131</v>
      </c>
      <c r="ES22" s="72" t="s">
        <v>133</v>
      </c>
      <c r="ET22" s="72" t="s">
        <v>151</v>
      </c>
      <c r="EU22" s="72" t="s">
        <v>132</v>
      </c>
      <c r="EV22" s="72" t="s">
        <v>132</v>
      </c>
      <c r="EW22" s="73" t="s">
        <v>132</v>
      </c>
      <c r="EX22" s="38"/>
      <c r="EY22" s="71" t="s">
        <v>133</v>
      </c>
      <c r="EZ22" s="72" t="s">
        <v>133</v>
      </c>
      <c r="FA22" s="72" t="s">
        <v>131</v>
      </c>
      <c r="FB22" s="72" t="s">
        <v>133</v>
      </c>
      <c r="FC22" s="72" t="s">
        <v>151</v>
      </c>
      <c r="FD22" s="72" t="s">
        <v>132</v>
      </c>
      <c r="FE22" s="72" t="s">
        <v>132</v>
      </c>
      <c r="FF22" s="72" t="s">
        <v>132</v>
      </c>
    </row>
    <row r="23" spans="1:162" s="6" customFormat="1" ht="14.25" customHeight="1">
      <c r="A23" s="23"/>
      <c r="B23" s="117" t="s">
        <v>106</v>
      </c>
      <c r="C23" s="107">
        <f t="shared" si="0"/>
        <v>216.66699999999997</v>
      </c>
      <c r="D23" s="104">
        <v>0</v>
      </c>
      <c r="E23" s="113">
        <v>142.55200745074126</v>
      </c>
      <c r="F23" s="94">
        <v>85.35815999999997</v>
      </c>
      <c r="G23" s="96">
        <f>'[1]Load Rating'!$BC41</f>
        <v>6.7679999999999998</v>
      </c>
      <c r="I23" s="28"/>
      <c r="J23" s="28"/>
      <c r="K23" s="141" t="s">
        <v>109</v>
      </c>
      <c r="L23" s="145" t="str">
        <f>L16</f>
        <v>S7</v>
      </c>
      <c r="M23" s="153" t="s">
        <v>76</v>
      </c>
      <c r="N23" s="164">
        <v>-1537.385</v>
      </c>
      <c r="O23" s="164">
        <v>-873.6</v>
      </c>
      <c r="P23" s="164">
        <v>-66.322000000000003</v>
      </c>
      <c r="Q23" s="164">
        <v>-2698.4749999999999</v>
      </c>
      <c r="T23" s="141" t="s">
        <v>164</v>
      </c>
      <c r="U23" s="145" t="str">
        <f>U13</f>
        <v>S9</v>
      </c>
      <c r="V23" s="87" t="s">
        <v>55</v>
      </c>
      <c r="W23" s="151">
        <v>-918.601</v>
      </c>
      <c r="X23" s="151">
        <v>-518.06500000000005</v>
      </c>
      <c r="Y23" s="167">
        <v>-39.264000000000003</v>
      </c>
      <c r="Z23" s="151">
        <v>-1617.18</v>
      </c>
      <c r="AA23" s="170"/>
      <c r="AC23" s="173" t="s">
        <v>119</v>
      </c>
      <c r="AD23" s="114">
        <f>DQ27</f>
        <v>40.125</v>
      </c>
      <c r="AE23" s="93">
        <f>DT15</f>
        <v>3319.9913113317757</v>
      </c>
      <c r="AF23" s="93">
        <f>DS15</f>
        <v>1720.005859375</v>
      </c>
      <c r="AG23" s="93">
        <f>DU9</f>
        <v>18</v>
      </c>
      <c r="AH23" s="134">
        <f>DR9</f>
        <v>22.5</v>
      </c>
      <c r="AK23" s="65" t="s">
        <v>152</v>
      </c>
      <c r="AL23" s="41">
        <f>AO9-AO11</f>
        <v>11</v>
      </c>
      <c r="AM23" s="41">
        <f>AO10</f>
        <v>0.5</v>
      </c>
      <c r="AN23" s="57">
        <f>AL23*AM23</f>
        <v>5.5</v>
      </c>
      <c r="AO23" s="42">
        <f>AM24-AM23/2</f>
        <v>29.75</v>
      </c>
      <c r="AP23" s="42">
        <f>AN23*AO23</f>
        <v>163.625</v>
      </c>
      <c r="AQ23" s="42">
        <f>AN23*(AO23-$AO$27)^2</f>
        <v>1196.59375</v>
      </c>
      <c r="AR23" s="42">
        <f>AN23*AM23^2/12</f>
        <v>0.11458333333333333</v>
      </c>
      <c r="AS23" s="43">
        <f>AQ23+AR23</f>
        <v>1196.7083333333333</v>
      </c>
      <c r="AT23" s="65" t="s">
        <v>152</v>
      </c>
      <c r="AU23" s="41">
        <f>AX9-AX11</f>
        <v>9.5</v>
      </c>
      <c r="AV23" s="41">
        <f>AX10</f>
        <v>1</v>
      </c>
      <c r="AW23" s="57">
        <f>AU23*AV23</f>
        <v>9.5</v>
      </c>
      <c r="AX23" s="42">
        <f>AV24-AV23/2</f>
        <v>29.5</v>
      </c>
      <c r="AY23" s="42">
        <f>AW23*AX23</f>
        <v>280.25</v>
      </c>
      <c r="AZ23" s="42">
        <f>AW23*(AX23-AX$27)^2</f>
        <v>1997.375</v>
      </c>
      <c r="BA23" s="42">
        <f>AW23*AV23^2/12</f>
        <v>0.79166666666666663</v>
      </c>
      <c r="BB23" s="43">
        <f>AZ23+BA23</f>
        <v>1998.1666666666667</v>
      </c>
      <c r="BC23" s="65" t="s">
        <v>152</v>
      </c>
      <c r="BD23" s="41">
        <f>BG9-BG11</f>
        <v>10</v>
      </c>
      <c r="BE23" s="41">
        <f>BG10</f>
        <v>0.75</v>
      </c>
      <c r="BF23" s="57">
        <f>BD23*BE23</f>
        <v>7.5</v>
      </c>
      <c r="BG23" s="42">
        <f>BE24-BE23/2</f>
        <v>29.625</v>
      </c>
      <c r="BH23" s="42">
        <f>BF23*BG23</f>
        <v>222.1875</v>
      </c>
      <c r="BI23" s="42">
        <f>BF23*(BG23-BG$27)^2</f>
        <v>1604.1796875</v>
      </c>
      <c r="BJ23" s="42">
        <f>BF23*BE23^2/12</f>
        <v>0.3515625</v>
      </c>
      <c r="BK23" s="43">
        <f>BI23+BJ23</f>
        <v>1604.53125</v>
      </c>
      <c r="BL23" s="65" t="s">
        <v>152</v>
      </c>
      <c r="BM23" s="41">
        <f>BP9-BP11</f>
        <v>8.5</v>
      </c>
      <c r="BN23" s="41">
        <f>BP10</f>
        <v>1</v>
      </c>
      <c r="BO23" s="57">
        <f>BM23*BN23</f>
        <v>8.5</v>
      </c>
      <c r="BP23" s="42">
        <f>BN24-BN23/2</f>
        <v>29.5</v>
      </c>
      <c r="BQ23" s="42">
        <f>BO23*BP23</f>
        <v>250.75</v>
      </c>
      <c r="BR23" s="42">
        <f>BO23*(BP23-BP$27)^2</f>
        <v>1787.125</v>
      </c>
      <c r="BS23" s="42">
        <f>BO23*BN23^2/12</f>
        <v>0.70833333333333337</v>
      </c>
      <c r="BT23" s="43">
        <f>BR23+BS23</f>
        <v>1787.8333333333333</v>
      </c>
      <c r="BU23" s="65" t="s">
        <v>152</v>
      </c>
      <c r="BV23" s="41">
        <f>BY9</f>
        <v>22.5</v>
      </c>
      <c r="BW23" s="41">
        <f>BY10</f>
        <v>0.625</v>
      </c>
      <c r="BX23" s="57">
        <f>BV23*BW23</f>
        <v>14.0625</v>
      </c>
      <c r="BY23" s="42">
        <f>BW24-BW23/2</f>
        <v>29.6875</v>
      </c>
      <c r="BZ23" s="42">
        <f>BX23*BY23</f>
        <v>417.48046875</v>
      </c>
      <c r="CA23" s="42">
        <f>BX23*(BY23-BY$27)^2</f>
        <v>2379.8281299824625</v>
      </c>
      <c r="CB23" s="42">
        <f>BX23*BW23^2/12</f>
        <v>0.457763671875</v>
      </c>
      <c r="CC23" s="43">
        <f>CA23+CB23</f>
        <v>2380.2858936543375</v>
      </c>
      <c r="CD23" s="65" t="s">
        <v>152</v>
      </c>
      <c r="CE23" s="41">
        <f>CH9</f>
        <v>22</v>
      </c>
      <c r="CF23" s="41">
        <f>CH10</f>
        <v>0.75</v>
      </c>
      <c r="CG23" s="57">
        <f>CE23*CF23</f>
        <v>16.5</v>
      </c>
      <c r="CH23" s="42">
        <f>CF24-CF23/2</f>
        <v>29.625</v>
      </c>
      <c r="CI23" s="42">
        <f>CG23*CH23</f>
        <v>488.8125</v>
      </c>
      <c r="CJ23" s="42">
        <f>CG23*(CH23-CH$27)^2</f>
        <v>2813.4528958067608</v>
      </c>
      <c r="CK23" s="42">
        <f>CG23*CF23^2/12</f>
        <v>0.7734375</v>
      </c>
      <c r="CL23" s="43">
        <f>CJ23+CK23</f>
        <v>2814.2263333067608</v>
      </c>
      <c r="CM23" s="65" t="s">
        <v>152</v>
      </c>
      <c r="CN23" s="41">
        <f>CQ9</f>
        <v>21.75</v>
      </c>
      <c r="CO23" s="41">
        <f>CQ10</f>
        <v>1</v>
      </c>
      <c r="CP23" s="57">
        <f>CN23*CO23</f>
        <v>21.75</v>
      </c>
      <c r="CQ23" s="42">
        <f>CO24-CO23/2</f>
        <v>29.5</v>
      </c>
      <c r="CR23" s="42">
        <f>CP23*CQ23</f>
        <v>641.625</v>
      </c>
      <c r="CS23" s="42">
        <f>CP23*(CQ23-CQ$27)^2</f>
        <v>3531.5339187327822</v>
      </c>
      <c r="CT23" s="42">
        <f>CP23*CO23^2/12</f>
        <v>1.8125</v>
      </c>
      <c r="CU23" s="43">
        <f>CS23+CT23</f>
        <v>3533.3464187327822</v>
      </c>
      <c r="CV23" s="65" t="s">
        <v>152</v>
      </c>
      <c r="CW23" s="41">
        <f>CZ9</f>
        <v>19.5</v>
      </c>
      <c r="CX23" s="41">
        <f>CZ10</f>
        <v>1</v>
      </c>
      <c r="CY23" s="57">
        <f>CW23*CX23</f>
        <v>19.5</v>
      </c>
      <c r="CZ23" s="42">
        <f>CX24-CX23/2</f>
        <v>29.5</v>
      </c>
      <c r="DA23" s="42">
        <f>CY23*CZ23</f>
        <v>575.25</v>
      </c>
      <c r="DB23" s="42">
        <f>CY23*(CZ23-CZ$27)^2</f>
        <v>3514.9819958847743</v>
      </c>
      <c r="DC23" s="42">
        <f>CY23*CX23^2/12</f>
        <v>1.625</v>
      </c>
      <c r="DD23" s="43">
        <f>DB23+DC23</f>
        <v>3516.6069958847743</v>
      </c>
      <c r="DE23" s="65" t="s">
        <v>152</v>
      </c>
      <c r="DF23" s="41">
        <f>DI9-DI11</f>
        <v>10</v>
      </c>
      <c r="DG23" s="41">
        <f>DI10</f>
        <v>0.875</v>
      </c>
      <c r="DH23" s="57">
        <f>DF23*DG23</f>
        <v>8.75</v>
      </c>
      <c r="DI23" s="42">
        <f>DG24-DG23/2</f>
        <v>17.5625</v>
      </c>
      <c r="DJ23" s="42">
        <f>DH23*DI23</f>
        <v>153.671875</v>
      </c>
      <c r="DK23" s="42">
        <f>DH23*(DI23-DI$27)^2</f>
        <v>641.5185546875</v>
      </c>
      <c r="DL23" s="42">
        <f>DH23*DG23^2/12</f>
        <v>0.55826822916666663</v>
      </c>
      <c r="DM23" s="43">
        <f>DK23+DL23</f>
        <v>642.07682291666663</v>
      </c>
      <c r="DN23" s="65" t="s">
        <v>152</v>
      </c>
      <c r="DO23" s="41">
        <f>DR9-DR11</f>
        <v>10.5</v>
      </c>
      <c r="DP23" s="41">
        <f>DR10</f>
        <v>0.625</v>
      </c>
      <c r="DQ23" s="57">
        <f>DO23*DP23</f>
        <v>6.5625</v>
      </c>
      <c r="DR23" s="42">
        <f>DP24-DP23/2</f>
        <v>17.6875</v>
      </c>
      <c r="DS23" s="42">
        <f>DQ23*DR23</f>
        <v>116.07421875</v>
      </c>
      <c r="DT23" s="42">
        <f>DQ23*(DR23-DR$27)^2</f>
        <v>495.289306640625</v>
      </c>
      <c r="DU23" s="42">
        <f>DQ23*DP23^2/12</f>
        <v>0.213623046875</v>
      </c>
      <c r="DV23" s="43">
        <f>DT23+DU23</f>
        <v>495.5029296875</v>
      </c>
      <c r="DW23" s="65" t="s">
        <v>152</v>
      </c>
      <c r="DX23" s="41">
        <f>EA9-EA11</f>
        <v>11.25</v>
      </c>
      <c r="DY23" s="41">
        <f>EA10</f>
        <v>0.375</v>
      </c>
      <c r="DZ23" s="57">
        <f>DX23*DY23</f>
        <v>4.21875</v>
      </c>
      <c r="EA23" s="42">
        <f>DY24-DY23/2</f>
        <v>17.8125</v>
      </c>
      <c r="EB23" s="42">
        <f>DZ23*EA23</f>
        <v>75.146484375</v>
      </c>
      <c r="EC23" s="42">
        <f>DZ23*(EA23-EA$27)^2</f>
        <v>327.6287841796875</v>
      </c>
      <c r="ED23" s="42">
        <f>DZ23*DY23^2/12</f>
        <v>4.94384765625E-2</v>
      </c>
      <c r="EE23" s="43">
        <f>EC23+ED23</f>
        <v>327.67822265625</v>
      </c>
      <c r="EF23" s="65" t="s">
        <v>152</v>
      </c>
      <c r="EG23" s="41">
        <f>EJ9-EJ11</f>
        <v>9.5</v>
      </c>
      <c r="EH23" s="41">
        <f>EJ10</f>
        <v>1</v>
      </c>
      <c r="EI23" s="57">
        <f>EG23*EH23</f>
        <v>9.5</v>
      </c>
      <c r="EJ23" s="42">
        <f>EH24-EH23/2</f>
        <v>17.5</v>
      </c>
      <c r="EK23" s="42">
        <f>EI23*EJ23</f>
        <v>166.25</v>
      </c>
      <c r="EL23" s="42">
        <f>EI23*(EJ23-EJ$27)^2</f>
        <v>686.375</v>
      </c>
      <c r="EM23" s="42">
        <f>EI23*EH23^2/12</f>
        <v>0.79166666666666663</v>
      </c>
      <c r="EN23" s="43">
        <f>EL23+EM23</f>
        <v>687.16666666666663</v>
      </c>
      <c r="EO23" s="65" t="s">
        <v>152</v>
      </c>
      <c r="EP23" s="41">
        <f>ES9-ES11</f>
        <v>11.25</v>
      </c>
      <c r="EQ23" s="41">
        <f>ES10</f>
        <v>0.625</v>
      </c>
      <c r="ER23" s="57">
        <f>EP23*EQ23</f>
        <v>7.03125</v>
      </c>
      <c r="ES23" s="42">
        <f>EQ24-EQ23/2</f>
        <v>17.6875</v>
      </c>
      <c r="ET23" s="42">
        <f>ER23*ES23</f>
        <v>124.365234375</v>
      </c>
      <c r="EU23" s="42">
        <f>ER23*(ES23-ES$27)^2</f>
        <v>530.6671142578125</v>
      </c>
      <c r="EV23" s="42">
        <f>ER23*EQ23^2/12</f>
        <v>0.2288818359375</v>
      </c>
      <c r="EW23" s="43">
        <f>EU23+EV23</f>
        <v>530.89599609375</v>
      </c>
      <c r="EX23" s="65" t="s">
        <v>152</v>
      </c>
      <c r="EY23" s="41">
        <f>FB9-FB11</f>
        <v>11.25</v>
      </c>
      <c r="EZ23" s="41">
        <f>FB10</f>
        <v>0.375</v>
      </c>
      <c r="FA23" s="57">
        <f>EY23*EZ23</f>
        <v>4.21875</v>
      </c>
      <c r="FB23" s="42">
        <f>EZ24-EZ23/2</f>
        <v>17.8125</v>
      </c>
      <c r="FC23" s="42">
        <f>FA23*FB23</f>
        <v>75.146484375</v>
      </c>
      <c r="FD23" s="42">
        <f>FA23*(FB23-FB$27)^2</f>
        <v>327.6287841796875</v>
      </c>
      <c r="FE23" s="42">
        <f>FA23*EZ23^2/12</f>
        <v>4.94384765625E-2</v>
      </c>
      <c r="FF23" s="42">
        <f>FD23+FE23</f>
        <v>327.67822265625</v>
      </c>
    </row>
    <row r="24" spans="1:162" s="6" customFormat="1" ht="14.25" customHeight="1">
      <c r="A24" s="23"/>
      <c r="B24" s="118" t="s">
        <v>107</v>
      </c>
      <c r="C24" s="105">
        <f t="shared" si="0"/>
        <v>238.33366666666663</v>
      </c>
      <c r="D24" s="106">
        <v>0</v>
      </c>
      <c r="E24" s="114">
        <v>147.90047759054957</v>
      </c>
      <c r="F24" s="93">
        <v>85.35815999999997</v>
      </c>
      <c r="G24" s="97">
        <f>'[1]Load Rating'!$BC42</f>
        <v>6.7679999999999998</v>
      </c>
      <c r="I24" s="23"/>
      <c r="J24" s="23"/>
      <c r="K24" s="141" t="s">
        <v>109</v>
      </c>
      <c r="L24" s="145" t="str">
        <f>AC21</f>
        <v>S8</v>
      </c>
      <c r="M24" s="153" t="s">
        <v>77</v>
      </c>
      <c r="N24" s="164">
        <v>-2732.0479999999998</v>
      </c>
      <c r="O24" s="164">
        <v>-1545.971</v>
      </c>
      <c r="P24" s="164">
        <v>-117.417</v>
      </c>
      <c r="Q24" s="164">
        <v>-4810.9560000000001</v>
      </c>
      <c r="T24" s="141" t="s">
        <v>164</v>
      </c>
      <c r="U24" s="145" t="str">
        <f>U22</f>
        <v>S12</v>
      </c>
      <c r="V24" s="87" t="s">
        <v>56</v>
      </c>
      <c r="W24" s="151">
        <v>995.1</v>
      </c>
      <c r="X24" s="151">
        <v>558.85299999999995</v>
      </c>
      <c r="Y24" s="167">
        <v>42.593000000000004</v>
      </c>
      <c r="Z24" s="151">
        <v>1759.8109999999999</v>
      </c>
      <c r="AA24" s="170"/>
      <c r="AC24" s="173" t="s">
        <v>120</v>
      </c>
      <c r="AD24" s="114">
        <f>DZ27</f>
        <v>21.9375</v>
      </c>
      <c r="AE24" s="93">
        <f>EC15</f>
        <v>1855.8991135817309</v>
      </c>
      <c r="AF24" s="93">
        <f>EB15</f>
        <v>1019.8564453125</v>
      </c>
      <c r="AG24" s="93">
        <f>ED9</f>
        <v>18</v>
      </c>
      <c r="AH24" s="134">
        <f>EA9</f>
        <v>23.25</v>
      </c>
      <c r="AK24" s="66" t="s">
        <v>158</v>
      </c>
      <c r="AL24" s="41">
        <f>AR8</f>
        <v>0.5</v>
      </c>
      <c r="AM24" s="41">
        <f>AR9</f>
        <v>30</v>
      </c>
      <c r="AN24" s="57">
        <f t="shared" ref="AN24:AN26" si="1">AL24*AM24</f>
        <v>15</v>
      </c>
      <c r="AO24" s="42">
        <f>AM24/2</f>
        <v>15</v>
      </c>
      <c r="AP24" s="42">
        <f t="shared" ref="AP24:AP26" si="2">AN24*AO24</f>
        <v>225</v>
      </c>
      <c r="AQ24" s="42">
        <f>AN24*(AO24-$AO$27)^2</f>
        <v>0</v>
      </c>
      <c r="AR24" s="42">
        <f t="shared" ref="AR24:AR26" si="3">AN24*AM24^2/12</f>
        <v>1125</v>
      </c>
      <c r="AS24" s="43">
        <f t="shared" ref="AS24:AS26" si="4">AQ24+AR24</f>
        <v>1125</v>
      </c>
      <c r="AT24" s="66" t="s">
        <v>158</v>
      </c>
      <c r="AU24" s="41">
        <f>BA8</f>
        <v>1.125</v>
      </c>
      <c r="AV24" s="41">
        <f>BA9</f>
        <v>30</v>
      </c>
      <c r="AW24" s="57">
        <f t="shared" ref="AW24:AW26" si="5">AU24*AV24</f>
        <v>33.75</v>
      </c>
      <c r="AX24" s="42">
        <f>AV24/2</f>
        <v>15</v>
      </c>
      <c r="AY24" s="42">
        <f t="shared" ref="AY24:AY26" si="6">AW24*AX24</f>
        <v>506.25</v>
      </c>
      <c r="AZ24" s="42">
        <f>AW24*(AX24-AX27)^2</f>
        <v>0</v>
      </c>
      <c r="BA24" s="42">
        <f t="shared" ref="BA24:BA26" si="7">AW24*AV24^2/12</f>
        <v>2531.25</v>
      </c>
      <c r="BB24" s="43">
        <f t="shared" ref="BB24:BB26" si="8">AZ24+BA24</f>
        <v>2531.25</v>
      </c>
      <c r="BC24" s="66" t="s">
        <v>158</v>
      </c>
      <c r="BD24" s="41">
        <f>BJ8</f>
        <v>1</v>
      </c>
      <c r="BE24" s="41">
        <f>BJ9</f>
        <v>30</v>
      </c>
      <c r="BF24" s="57">
        <f t="shared" ref="BF24:BF26" si="9">BD24*BE24</f>
        <v>30</v>
      </c>
      <c r="BG24" s="42">
        <f>BE24/2</f>
        <v>15</v>
      </c>
      <c r="BH24" s="42">
        <f t="shared" ref="BH24:BH26" si="10">BF24*BG24</f>
        <v>450</v>
      </c>
      <c r="BI24" s="42">
        <f>BF24*(BG24-BG27)^2</f>
        <v>0</v>
      </c>
      <c r="BJ24" s="42">
        <f t="shared" ref="BJ24:BJ26" si="11">BF24*BE24^2/12</f>
        <v>2250</v>
      </c>
      <c r="BK24" s="43">
        <f t="shared" ref="BK24:BK26" si="12">BI24+BJ24</f>
        <v>2250</v>
      </c>
      <c r="BL24" s="66" t="s">
        <v>158</v>
      </c>
      <c r="BM24" s="41">
        <f>BS8</f>
        <v>1.75</v>
      </c>
      <c r="BN24" s="41">
        <f>BS9</f>
        <v>30</v>
      </c>
      <c r="BO24" s="57">
        <f t="shared" ref="BO24:BO26" si="13">BM24*BN24</f>
        <v>52.5</v>
      </c>
      <c r="BP24" s="42">
        <f>BN24/2</f>
        <v>15</v>
      </c>
      <c r="BQ24" s="42">
        <f t="shared" ref="BQ24:BQ26" si="14">BO24*BP24</f>
        <v>787.5</v>
      </c>
      <c r="BR24" s="42">
        <f>BO24*(BP24-BP27)^2</f>
        <v>0</v>
      </c>
      <c r="BS24" s="42">
        <f t="shared" ref="BS24:BS26" si="15">BO24*BN24^2/12</f>
        <v>3937.5</v>
      </c>
      <c r="BT24" s="43">
        <f t="shared" ref="BT24:BT26" si="16">BR24+BS24</f>
        <v>3937.5</v>
      </c>
      <c r="BU24" s="66" t="s">
        <v>158</v>
      </c>
      <c r="BV24" s="41">
        <f>CB8</f>
        <v>0.75</v>
      </c>
      <c r="BW24" s="41">
        <f>CB9</f>
        <v>30</v>
      </c>
      <c r="BX24" s="57">
        <f t="shared" ref="BX24:BX26" si="17">BV24*BW24</f>
        <v>22.5</v>
      </c>
      <c r="BY24" s="42">
        <f>BW24/2</f>
        <v>15</v>
      </c>
      <c r="BZ24" s="42">
        <f t="shared" ref="BZ24:BZ26" si="18">BX24*BY24</f>
        <v>337.5</v>
      </c>
      <c r="CA24" s="42">
        <f>BX24*(BY24-BY27)^2</f>
        <v>63.396045918367228</v>
      </c>
      <c r="CB24" s="42">
        <f t="shared" ref="CB24:CB26" si="19">BX24*BW24^2/12</f>
        <v>1687.5</v>
      </c>
      <c r="CC24" s="43">
        <f t="shared" ref="CC24:CC26" si="20">CA24+CB24</f>
        <v>1750.8960459183672</v>
      </c>
      <c r="CD24" s="66" t="s">
        <v>158</v>
      </c>
      <c r="CE24" s="41">
        <f>CK8</f>
        <v>1</v>
      </c>
      <c r="CF24" s="41">
        <f>CK9</f>
        <v>30</v>
      </c>
      <c r="CG24" s="57">
        <f t="shared" ref="CG24:CG26" si="21">CE24*CF24</f>
        <v>30</v>
      </c>
      <c r="CH24" s="42">
        <f>CF24/2</f>
        <v>15</v>
      </c>
      <c r="CI24" s="42">
        <f t="shared" ref="CI24:CI26" si="22">CG24*CH24</f>
        <v>450</v>
      </c>
      <c r="CJ24" s="42">
        <f>CG24*(CH24-CH27)^2</f>
        <v>73.661312181122341</v>
      </c>
      <c r="CK24" s="42">
        <f t="shared" ref="CK24:CK26" si="23">CG24*CF24^2/12</f>
        <v>2250</v>
      </c>
      <c r="CL24" s="43">
        <f t="shared" ref="CL24:CL26" si="24">CJ24+CK24</f>
        <v>2323.6613121811224</v>
      </c>
      <c r="CM24" s="66" t="s">
        <v>158</v>
      </c>
      <c r="CN24" s="41">
        <f>CT8</f>
        <v>1.125</v>
      </c>
      <c r="CO24" s="41">
        <f>CT9</f>
        <v>30</v>
      </c>
      <c r="CP24" s="57">
        <f t="shared" ref="CP24:CP26" si="25">CN24*CO24</f>
        <v>33.75</v>
      </c>
      <c r="CQ24" s="42">
        <f>CO24/2</f>
        <v>15</v>
      </c>
      <c r="CR24" s="42">
        <f t="shared" ref="CR24:CR26" si="26">CP24*CQ24</f>
        <v>506.25</v>
      </c>
      <c r="CS24" s="42">
        <f>CP24*(CQ24-CQ27)^2</f>
        <v>104.25619834710746</v>
      </c>
      <c r="CT24" s="42">
        <f t="shared" ref="CT24:CT26" si="27">CP24*CO24^2/12</f>
        <v>2531.25</v>
      </c>
      <c r="CU24" s="43">
        <f t="shared" ref="CU24:CU26" si="28">CS24+CT24</f>
        <v>2635.5061983471073</v>
      </c>
      <c r="CV24" s="66" t="s">
        <v>158</v>
      </c>
      <c r="CW24" s="41">
        <f>DC8</f>
        <v>2.25</v>
      </c>
      <c r="CX24" s="41">
        <f>DC9</f>
        <v>30</v>
      </c>
      <c r="CY24" s="57">
        <f t="shared" ref="CY24:CY26" si="29">CW24*CX24</f>
        <v>67.5</v>
      </c>
      <c r="CZ24" s="42">
        <f>CX24/2</f>
        <v>15</v>
      </c>
      <c r="DA24" s="42">
        <f t="shared" ref="DA24:DA26" si="30">CY24*CZ24</f>
        <v>1012.5</v>
      </c>
      <c r="DB24" s="42">
        <f>CY24*(CZ24-CZ27)^2</f>
        <v>77.870370370370168</v>
      </c>
      <c r="DC24" s="42">
        <f t="shared" ref="DC24:DC26" si="31">CY24*CX24^2/12</f>
        <v>5062.5</v>
      </c>
      <c r="DD24" s="43">
        <f t="shared" ref="DD24:DD26" si="32">DB24+DC24</f>
        <v>5140.3703703703704</v>
      </c>
      <c r="DE24" s="66" t="s">
        <v>158</v>
      </c>
      <c r="DF24" s="41">
        <f>DL8</f>
        <v>1</v>
      </c>
      <c r="DG24" s="41">
        <f>DL9</f>
        <v>18</v>
      </c>
      <c r="DH24" s="57">
        <f t="shared" ref="DH24:DH26" si="33">DF24*DG24</f>
        <v>18</v>
      </c>
      <c r="DI24" s="42">
        <f>DG24/2</f>
        <v>9</v>
      </c>
      <c r="DJ24" s="42">
        <f t="shared" ref="DJ24:DJ26" si="34">DH24*DI24</f>
        <v>162</v>
      </c>
      <c r="DK24" s="42">
        <f>DH24*(DI24-DI27)^2</f>
        <v>0</v>
      </c>
      <c r="DL24" s="42">
        <f t="shared" ref="DL24:DL26" si="35">DH24*DG24^2/12</f>
        <v>486</v>
      </c>
      <c r="DM24" s="43">
        <f t="shared" ref="DM24:DM26" si="36">DK24+DL24</f>
        <v>486</v>
      </c>
      <c r="DN24" s="66" t="s">
        <v>158</v>
      </c>
      <c r="DO24" s="41">
        <f>DU8</f>
        <v>0.75</v>
      </c>
      <c r="DP24" s="41">
        <f>DU9</f>
        <v>18</v>
      </c>
      <c r="DQ24" s="57">
        <f t="shared" ref="DQ24:DQ26" si="37">DO24*DP24</f>
        <v>13.5</v>
      </c>
      <c r="DR24" s="42">
        <f>DP24/2</f>
        <v>9</v>
      </c>
      <c r="DS24" s="42">
        <f t="shared" ref="DS24:DS26" si="38">DQ24*DR24</f>
        <v>121.5</v>
      </c>
      <c r="DT24" s="42">
        <f>DQ24*(DR24-DR27)^2</f>
        <v>0</v>
      </c>
      <c r="DU24" s="42">
        <f t="shared" ref="DU24:DU26" si="39">DQ24*DP24^2/12</f>
        <v>364.5</v>
      </c>
      <c r="DV24" s="43">
        <f t="shared" ref="DV24:DV26" si="40">DT24+DU24</f>
        <v>364.5</v>
      </c>
      <c r="DW24" s="66" t="s">
        <v>158</v>
      </c>
      <c r="DX24" s="41">
        <f>ED8</f>
        <v>0.375</v>
      </c>
      <c r="DY24" s="41">
        <f>ED9</f>
        <v>18</v>
      </c>
      <c r="DZ24" s="57">
        <f t="shared" ref="DZ24:DZ26" si="41">DX24*DY24</f>
        <v>6.75</v>
      </c>
      <c r="EA24" s="42">
        <f>DY24/2</f>
        <v>9</v>
      </c>
      <c r="EB24" s="42">
        <f t="shared" ref="EB24:EB26" si="42">DZ24*EA24</f>
        <v>60.75</v>
      </c>
      <c r="EC24" s="42">
        <f>DZ24*(EA24-EA27)^2</f>
        <v>0</v>
      </c>
      <c r="ED24" s="42">
        <f t="shared" ref="ED24:ED26" si="43">DZ24*DY24^2/12</f>
        <v>182.25</v>
      </c>
      <c r="EE24" s="43">
        <f t="shared" ref="EE24:EE26" si="44">EC24+ED24</f>
        <v>182.25</v>
      </c>
      <c r="EF24" s="66" t="s">
        <v>158</v>
      </c>
      <c r="EG24" s="41">
        <f>EM8</f>
        <v>1.25</v>
      </c>
      <c r="EH24" s="41">
        <f>EM9</f>
        <v>18</v>
      </c>
      <c r="EI24" s="57">
        <f t="shared" ref="EI24:EI26" si="45">EG24*EH24</f>
        <v>22.5</v>
      </c>
      <c r="EJ24" s="42">
        <f>EH24/2</f>
        <v>9</v>
      </c>
      <c r="EK24" s="42">
        <f t="shared" ref="EK24:EK26" si="46">EI24*EJ24</f>
        <v>202.5</v>
      </c>
      <c r="EL24" s="42">
        <f>EI24*(EJ24-EJ27)^2</f>
        <v>0</v>
      </c>
      <c r="EM24" s="42">
        <f t="shared" ref="EM24:EM26" si="47">EI24*EH24^2/12</f>
        <v>607.5</v>
      </c>
      <c r="EN24" s="43">
        <f t="shared" ref="EN24:EN26" si="48">EL24+EM24</f>
        <v>607.5</v>
      </c>
      <c r="EO24" s="66" t="s">
        <v>158</v>
      </c>
      <c r="EP24" s="41">
        <f>EV8</f>
        <v>0.375</v>
      </c>
      <c r="EQ24" s="41">
        <f>EV9</f>
        <v>18</v>
      </c>
      <c r="ER24" s="57">
        <f t="shared" ref="ER24:ER26" si="49">EP24*EQ24</f>
        <v>6.75</v>
      </c>
      <c r="ES24" s="42">
        <f>EQ24/2</f>
        <v>9</v>
      </c>
      <c r="ET24" s="42">
        <f t="shared" ref="ET24:ET26" si="50">ER24*ES24</f>
        <v>60.75</v>
      </c>
      <c r="EU24" s="42">
        <f>ER24*(ES24-ES27)^2</f>
        <v>0</v>
      </c>
      <c r="EV24" s="42">
        <f t="shared" ref="EV24:EV26" si="51">ER24*EQ24^2/12</f>
        <v>182.25</v>
      </c>
      <c r="EW24" s="43">
        <f t="shared" ref="EW24:EW26" si="52">EU24+EV24</f>
        <v>182.25</v>
      </c>
      <c r="EX24" s="66" t="s">
        <v>158</v>
      </c>
      <c r="EY24" s="41">
        <f>FE8</f>
        <v>0.375</v>
      </c>
      <c r="EZ24" s="41">
        <f>FE9</f>
        <v>18</v>
      </c>
      <c r="FA24" s="57">
        <f t="shared" ref="FA24:FA26" si="53">EY24*EZ24</f>
        <v>6.75</v>
      </c>
      <c r="FB24" s="42">
        <f>EZ24/2</f>
        <v>9</v>
      </c>
      <c r="FC24" s="42">
        <f t="shared" ref="FC24:FC26" si="54">FA24*FB24</f>
        <v>60.75</v>
      </c>
      <c r="FD24" s="42">
        <f>FA24*(FB24-FB27)^2</f>
        <v>0</v>
      </c>
      <c r="FE24" s="42">
        <f t="shared" ref="FE24:FE26" si="55">FA24*EZ24^2/12</f>
        <v>182.25</v>
      </c>
      <c r="FF24" s="42">
        <f t="shared" ref="FF24:FF26" si="56">FD24+FE24</f>
        <v>182.25</v>
      </c>
    </row>
    <row r="25" spans="1:162" s="6" customFormat="1" ht="18" customHeight="1">
      <c r="A25" s="23"/>
      <c r="B25" s="117" t="s">
        <v>108</v>
      </c>
      <c r="C25" s="107">
        <f t="shared" si="0"/>
        <v>260.00033333333329</v>
      </c>
      <c r="D25" s="104">
        <v>0</v>
      </c>
      <c r="E25" s="113">
        <v>75.868221210283608</v>
      </c>
      <c r="F25" s="94">
        <v>42.679079999999985</v>
      </c>
      <c r="G25" s="96">
        <f>'[1]Load Rating'!$BC43</f>
        <v>6.7679999999999998</v>
      </c>
      <c r="I25" s="25"/>
      <c r="J25" s="25"/>
      <c r="K25" s="141" t="s">
        <v>110</v>
      </c>
      <c r="L25" s="145" t="str">
        <f>AC14</f>
        <v>S1</v>
      </c>
      <c r="M25" s="153" t="s">
        <v>78</v>
      </c>
      <c r="N25" s="164">
        <v>-654.46799999999996</v>
      </c>
      <c r="O25" s="164">
        <v>-372.36399999999998</v>
      </c>
      <c r="P25" s="164">
        <v>-28.283999999999999</v>
      </c>
      <c r="Q25" s="164">
        <v>-1145.231</v>
      </c>
      <c r="R25" s="169" t="s">
        <v>175</v>
      </c>
      <c r="T25" s="141" t="s">
        <v>165</v>
      </c>
      <c r="U25" s="145" t="str">
        <f>AC26</f>
        <v>S13</v>
      </c>
      <c r="V25" s="87" t="s">
        <v>91</v>
      </c>
      <c r="W25" s="151">
        <v>77.387</v>
      </c>
      <c r="X25" s="151">
        <v>44.881</v>
      </c>
      <c r="Y25" s="167">
        <v>6.6349999999999998</v>
      </c>
      <c r="Z25" s="151">
        <v>131.56299999999999</v>
      </c>
      <c r="AA25" s="170" t="s">
        <v>174</v>
      </c>
      <c r="AC25" s="173" t="s">
        <v>123</v>
      </c>
      <c r="AD25" s="114">
        <f>EI27</f>
        <v>64</v>
      </c>
      <c r="AE25" s="93">
        <f>EL15</f>
        <v>4782.832356770833</v>
      </c>
      <c r="AF25" s="93">
        <f>EK15</f>
        <v>2589.333333333333</v>
      </c>
      <c r="AG25" s="93">
        <f>EM9</f>
        <v>18</v>
      </c>
      <c r="AH25" s="134">
        <f>EJ9</f>
        <v>21.5</v>
      </c>
      <c r="AK25" s="66" t="s">
        <v>159</v>
      </c>
      <c r="AL25" s="41">
        <f>AL24</f>
        <v>0.5</v>
      </c>
      <c r="AM25" s="41">
        <f>AM24</f>
        <v>30</v>
      </c>
      <c r="AN25" s="57">
        <f t="shared" si="1"/>
        <v>15</v>
      </c>
      <c r="AO25" s="42">
        <f>AM25/2</f>
        <v>15</v>
      </c>
      <c r="AP25" s="42">
        <f t="shared" si="2"/>
        <v>225</v>
      </c>
      <c r="AQ25" s="42">
        <f>AN25*(AO25-$AO$27)^2</f>
        <v>0</v>
      </c>
      <c r="AR25" s="42">
        <f t="shared" si="3"/>
        <v>1125</v>
      </c>
      <c r="AS25" s="43">
        <f t="shared" si="4"/>
        <v>1125</v>
      </c>
      <c r="AT25" s="66" t="s">
        <v>159</v>
      </c>
      <c r="AU25" s="41">
        <f>AU24</f>
        <v>1.125</v>
      </c>
      <c r="AV25" s="41">
        <f>AV24</f>
        <v>30</v>
      </c>
      <c r="AW25" s="57">
        <f t="shared" si="5"/>
        <v>33.75</v>
      </c>
      <c r="AX25" s="42">
        <f>AV25/2</f>
        <v>15</v>
      </c>
      <c r="AY25" s="42">
        <f t="shared" si="6"/>
        <v>506.25</v>
      </c>
      <c r="AZ25" s="42">
        <f>AW25*(AX25-AO27)^2</f>
        <v>0</v>
      </c>
      <c r="BA25" s="42">
        <f t="shared" si="7"/>
        <v>2531.25</v>
      </c>
      <c r="BB25" s="43">
        <f t="shared" si="8"/>
        <v>2531.25</v>
      </c>
      <c r="BC25" s="66" t="s">
        <v>159</v>
      </c>
      <c r="BD25" s="41">
        <f>BD24</f>
        <v>1</v>
      </c>
      <c r="BE25" s="41">
        <f>BE24</f>
        <v>30</v>
      </c>
      <c r="BF25" s="57">
        <f t="shared" si="9"/>
        <v>30</v>
      </c>
      <c r="BG25" s="42">
        <f>BE25/2</f>
        <v>15</v>
      </c>
      <c r="BH25" s="42">
        <f t="shared" si="10"/>
        <v>450</v>
      </c>
      <c r="BI25" s="42">
        <f>BF25*(BG25-AX27)^2</f>
        <v>0</v>
      </c>
      <c r="BJ25" s="42">
        <f t="shared" si="11"/>
        <v>2250</v>
      </c>
      <c r="BK25" s="43">
        <f t="shared" si="12"/>
        <v>2250</v>
      </c>
      <c r="BL25" s="66" t="s">
        <v>159</v>
      </c>
      <c r="BM25" s="41">
        <f>BM24</f>
        <v>1.75</v>
      </c>
      <c r="BN25" s="41">
        <f>BN24</f>
        <v>30</v>
      </c>
      <c r="BO25" s="57">
        <f t="shared" si="13"/>
        <v>52.5</v>
      </c>
      <c r="BP25" s="42">
        <f>BN25/2</f>
        <v>15</v>
      </c>
      <c r="BQ25" s="42">
        <f t="shared" si="14"/>
        <v>787.5</v>
      </c>
      <c r="BR25" s="42">
        <f>BO25*(BP25-BG27)^2</f>
        <v>0</v>
      </c>
      <c r="BS25" s="42">
        <f t="shared" si="15"/>
        <v>3937.5</v>
      </c>
      <c r="BT25" s="43">
        <f t="shared" si="16"/>
        <v>3937.5</v>
      </c>
      <c r="BU25" s="66" t="s">
        <v>159</v>
      </c>
      <c r="BV25" s="41">
        <f>BV24</f>
        <v>0.75</v>
      </c>
      <c r="BW25" s="41">
        <f>BW24</f>
        <v>30</v>
      </c>
      <c r="BX25" s="57">
        <f t="shared" si="17"/>
        <v>22.5</v>
      </c>
      <c r="BY25" s="42">
        <f>BW25/2</f>
        <v>15</v>
      </c>
      <c r="BZ25" s="42">
        <f t="shared" si="18"/>
        <v>337.5</v>
      </c>
      <c r="CA25" s="42">
        <f>BX25*(BY25-BP27)^2</f>
        <v>0</v>
      </c>
      <c r="CB25" s="42">
        <f t="shared" si="19"/>
        <v>1687.5</v>
      </c>
      <c r="CC25" s="43">
        <f t="shared" si="20"/>
        <v>1687.5</v>
      </c>
      <c r="CD25" s="66" t="s">
        <v>159</v>
      </c>
      <c r="CE25" s="41">
        <f>CE24</f>
        <v>1</v>
      </c>
      <c r="CF25" s="41">
        <f>CF24</f>
        <v>30</v>
      </c>
      <c r="CG25" s="57">
        <f t="shared" si="21"/>
        <v>30</v>
      </c>
      <c r="CH25" s="42">
        <f>CF25/2</f>
        <v>15</v>
      </c>
      <c r="CI25" s="42">
        <f t="shared" si="22"/>
        <v>450</v>
      </c>
      <c r="CJ25" s="42">
        <f>CG25*(CH25-BY27)^2</f>
        <v>84.528061224489647</v>
      </c>
      <c r="CK25" s="42">
        <f t="shared" si="23"/>
        <v>2250</v>
      </c>
      <c r="CL25" s="43">
        <f t="shared" si="24"/>
        <v>2334.5280612244896</v>
      </c>
      <c r="CM25" s="66" t="s">
        <v>159</v>
      </c>
      <c r="CN25" s="41">
        <f>CN24</f>
        <v>1.125</v>
      </c>
      <c r="CO25" s="41">
        <f>CO24</f>
        <v>30</v>
      </c>
      <c r="CP25" s="57">
        <f t="shared" si="25"/>
        <v>33.75</v>
      </c>
      <c r="CQ25" s="42">
        <f>CO25/2</f>
        <v>15</v>
      </c>
      <c r="CR25" s="42">
        <f t="shared" si="26"/>
        <v>506.25</v>
      </c>
      <c r="CS25" s="42">
        <f>CP25*(CQ25-CH27)^2</f>
        <v>82.868976203762642</v>
      </c>
      <c r="CT25" s="42">
        <f t="shared" si="27"/>
        <v>2531.25</v>
      </c>
      <c r="CU25" s="43">
        <f t="shared" si="28"/>
        <v>2614.1189762037625</v>
      </c>
      <c r="CV25" s="66" t="s">
        <v>159</v>
      </c>
      <c r="CW25" s="41">
        <f>CW24</f>
        <v>2.25</v>
      </c>
      <c r="CX25" s="41">
        <f>CX24</f>
        <v>30</v>
      </c>
      <c r="CY25" s="57">
        <f t="shared" si="29"/>
        <v>67.5</v>
      </c>
      <c r="CZ25" s="42">
        <f>CX25/2</f>
        <v>15</v>
      </c>
      <c r="DA25" s="42">
        <f t="shared" si="30"/>
        <v>1012.5</v>
      </c>
      <c r="DB25" s="42">
        <f>CY25*(CZ25-CQ27)^2</f>
        <v>208.51239669421491</v>
      </c>
      <c r="DC25" s="42">
        <f t="shared" si="31"/>
        <v>5062.5</v>
      </c>
      <c r="DD25" s="43">
        <f t="shared" si="32"/>
        <v>5271.0123966942147</v>
      </c>
      <c r="DE25" s="66" t="s">
        <v>159</v>
      </c>
      <c r="DF25" s="41">
        <f>DF24</f>
        <v>1</v>
      </c>
      <c r="DG25" s="41">
        <f>DG24</f>
        <v>18</v>
      </c>
      <c r="DH25" s="57">
        <f t="shared" si="33"/>
        <v>18</v>
      </c>
      <c r="DI25" s="42">
        <f>DG25/2</f>
        <v>9</v>
      </c>
      <c r="DJ25" s="42">
        <f t="shared" si="34"/>
        <v>162</v>
      </c>
      <c r="DK25" s="42">
        <f>DH25*(DI25-CZ27)^2</f>
        <v>900.76543209876502</v>
      </c>
      <c r="DL25" s="42">
        <f t="shared" si="35"/>
        <v>486</v>
      </c>
      <c r="DM25" s="43">
        <f t="shared" si="36"/>
        <v>1386.7654320987649</v>
      </c>
      <c r="DN25" s="66" t="s">
        <v>159</v>
      </c>
      <c r="DO25" s="41">
        <f>DO24</f>
        <v>0.75</v>
      </c>
      <c r="DP25" s="41">
        <f>DP24</f>
        <v>18</v>
      </c>
      <c r="DQ25" s="57">
        <f t="shared" si="37"/>
        <v>13.5</v>
      </c>
      <c r="DR25" s="42">
        <f>DP25/2</f>
        <v>9</v>
      </c>
      <c r="DS25" s="42">
        <f t="shared" si="38"/>
        <v>121.5</v>
      </c>
      <c r="DT25" s="42">
        <f>DQ25*(DR25-DI27)^2</f>
        <v>0</v>
      </c>
      <c r="DU25" s="42">
        <f t="shared" si="39"/>
        <v>364.5</v>
      </c>
      <c r="DV25" s="43">
        <f t="shared" si="40"/>
        <v>364.5</v>
      </c>
      <c r="DW25" s="66" t="s">
        <v>159</v>
      </c>
      <c r="DX25" s="41">
        <f>DX24</f>
        <v>0.375</v>
      </c>
      <c r="DY25" s="41">
        <f>DY24</f>
        <v>18</v>
      </c>
      <c r="DZ25" s="57">
        <f t="shared" si="41"/>
        <v>6.75</v>
      </c>
      <c r="EA25" s="42">
        <f>DY25/2</f>
        <v>9</v>
      </c>
      <c r="EB25" s="42">
        <f t="shared" si="42"/>
        <v>60.75</v>
      </c>
      <c r="EC25" s="42">
        <f>DZ25*(EA25-DR27)^2</f>
        <v>0</v>
      </c>
      <c r="ED25" s="42">
        <f t="shared" si="43"/>
        <v>182.25</v>
      </c>
      <c r="EE25" s="43">
        <f t="shared" si="44"/>
        <v>182.25</v>
      </c>
      <c r="EF25" s="66" t="s">
        <v>159</v>
      </c>
      <c r="EG25" s="41">
        <f>EG24</f>
        <v>1.25</v>
      </c>
      <c r="EH25" s="41">
        <f>EH24</f>
        <v>18</v>
      </c>
      <c r="EI25" s="57">
        <f t="shared" si="45"/>
        <v>22.5</v>
      </c>
      <c r="EJ25" s="42">
        <f>EH25/2</f>
        <v>9</v>
      </c>
      <c r="EK25" s="42">
        <f t="shared" si="46"/>
        <v>202.5</v>
      </c>
      <c r="EL25" s="42">
        <f>EI25*(EJ25-EA27)^2</f>
        <v>0</v>
      </c>
      <c r="EM25" s="42">
        <f t="shared" si="47"/>
        <v>607.5</v>
      </c>
      <c r="EN25" s="43">
        <f t="shared" si="48"/>
        <v>607.5</v>
      </c>
      <c r="EO25" s="66" t="s">
        <v>159</v>
      </c>
      <c r="EP25" s="41">
        <f>EP24</f>
        <v>0.375</v>
      </c>
      <c r="EQ25" s="41">
        <f>EQ24</f>
        <v>18</v>
      </c>
      <c r="ER25" s="57">
        <f t="shared" si="49"/>
        <v>6.75</v>
      </c>
      <c r="ES25" s="42">
        <f>EQ25/2</f>
        <v>9</v>
      </c>
      <c r="ET25" s="42">
        <f t="shared" si="50"/>
        <v>60.75</v>
      </c>
      <c r="EU25" s="42">
        <f>ER25*(ES25-EJ27)^2</f>
        <v>0</v>
      </c>
      <c r="EV25" s="42">
        <f t="shared" si="51"/>
        <v>182.25</v>
      </c>
      <c r="EW25" s="43">
        <f t="shared" si="52"/>
        <v>182.25</v>
      </c>
      <c r="EX25" s="66" t="s">
        <v>159</v>
      </c>
      <c r="EY25" s="41">
        <f>EY24</f>
        <v>0.375</v>
      </c>
      <c r="EZ25" s="41">
        <f>EZ24</f>
        <v>18</v>
      </c>
      <c r="FA25" s="57">
        <f t="shared" si="53"/>
        <v>6.75</v>
      </c>
      <c r="FB25" s="42">
        <f>EZ25/2</f>
        <v>9</v>
      </c>
      <c r="FC25" s="42">
        <f t="shared" si="54"/>
        <v>60.75</v>
      </c>
      <c r="FD25" s="42">
        <f>FA25*(FB25-ES27)^2</f>
        <v>0</v>
      </c>
      <c r="FE25" s="42">
        <f t="shared" si="55"/>
        <v>182.25</v>
      </c>
      <c r="FF25" s="42">
        <f t="shared" si="56"/>
        <v>182.25</v>
      </c>
    </row>
    <row r="26" spans="1:162" s="6" customFormat="1" ht="14.25" customHeight="1">
      <c r="A26" s="23"/>
      <c r="B26" s="118" t="s">
        <v>19</v>
      </c>
      <c r="C26" s="105">
        <v>0</v>
      </c>
      <c r="D26" s="108">
        <v>-17.797000000000001</v>
      </c>
      <c r="E26" s="114">
        <v>9.345621640732789</v>
      </c>
      <c r="F26" s="85"/>
      <c r="G26" s="98"/>
      <c r="I26" s="24"/>
      <c r="J26" s="24"/>
      <c r="K26" s="141" t="s">
        <v>110</v>
      </c>
      <c r="L26" s="145" t="str">
        <f>L25</f>
        <v>S1</v>
      </c>
      <c r="M26" s="153" t="s">
        <v>79</v>
      </c>
      <c r="N26" s="164">
        <v>-654.46799999999996</v>
      </c>
      <c r="O26" s="164">
        <v>-372.36399999999998</v>
      </c>
      <c r="P26" s="164">
        <v>-28.283999999999999</v>
      </c>
      <c r="Q26" s="164">
        <v>-1145.231</v>
      </c>
      <c r="R26" s="169" t="s">
        <v>175</v>
      </c>
      <c r="T26" s="141" t="s">
        <v>165</v>
      </c>
      <c r="U26" s="145" t="str">
        <f>AC27</f>
        <v>S14</v>
      </c>
      <c r="V26" s="87" t="s">
        <v>92</v>
      </c>
      <c r="W26" s="151">
        <v>-6.26</v>
      </c>
      <c r="X26" s="151">
        <v>0</v>
      </c>
      <c r="Y26" s="167">
        <v>0</v>
      </c>
      <c r="Z26" s="151">
        <v>-11.92</v>
      </c>
      <c r="AA26" s="170"/>
      <c r="AC26" s="173" t="s">
        <v>124</v>
      </c>
      <c r="AD26" s="114">
        <f>ER27</f>
        <v>27.5625</v>
      </c>
      <c r="AE26" s="93">
        <f>EU15</f>
        <v>1915.4637077487246</v>
      </c>
      <c r="AF26" s="93">
        <f>ET15</f>
        <v>1426.2919921875</v>
      </c>
      <c r="AG26" s="93">
        <f>EV9</f>
        <v>18</v>
      </c>
      <c r="AH26" s="134">
        <f>ES9</f>
        <v>23.25</v>
      </c>
      <c r="AK26" s="67" t="s">
        <v>154</v>
      </c>
      <c r="AL26" s="44">
        <f>AL23</f>
        <v>11</v>
      </c>
      <c r="AM26" s="44">
        <f>AM23</f>
        <v>0.5</v>
      </c>
      <c r="AN26" s="58">
        <f t="shared" si="1"/>
        <v>5.5</v>
      </c>
      <c r="AO26" s="45">
        <f>AM26/2</f>
        <v>0.25</v>
      </c>
      <c r="AP26" s="45">
        <f t="shared" si="2"/>
        <v>1.375</v>
      </c>
      <c r="AQ26" s="45">
        <f>AN26*(AO26-$AO$27)^2</f>
        <v>1196.59375</v>
      </c>
      <c r="AR26" s="45">
        <f t="shared" si="3"/>
        <v>0.11458333333333333</v>
      </c>
      <c r="AS26" s="46">
        <f t="shared" si="4"/>
        <v>1196.7083333333333</v>
      </c>
      <c r="AT26" s="67" t="s">
        <v>154</v>
      </c>
      <c r="AU26" s="44">
        <f>AU23</f>
        <v>9.5</v>
      </c>
      <c r="AV26" s="44">
        <f>AV23</f>
        <v>1</v>
      </c>
      <c r="AW26" s="58">
        <f t="shared" si="5"/>
        <v>9.5</v>
      </c>
      <c r="AX26" s="45">
        <f>AV26/2</f>
        <v>0.5</v>
      </c>
      <c r="AY26" s="45">
        <f t="shared" si="6"/>
        <v>4.75</v>
      </c>
      <c r="AZ26" s="45">
        <f>AW26*(AX26-AX27)^2</f>
        <v>1997.375</v>
      </c>
      <c r="BA26" s="45">
        <f t="shared" si="7"/>
        <v>0.79166666666666663</v>
      </c>
      <c r="BB26" s="46">
        <f t="shared" si="8"/>
        <v>1998.1666666666667</v>
      </c>
      <c r="BC26" s="67" t="s">
        <v>154</v>
      </c>
      <c r="BD26" s="44">
        <f>BD23</f>
        <v>10</v>
      </c>
      <c r="BE26" s="44">
        <f>BE23</f>
        <v>0.75</v>
      </c>
      <c r="BF26" s="58">
        <f t="shared" si="9"/>
        <v>7.5</v>
      </c>
      <c r="BG26" s="45">
        <f>BE26/2</f>
        <v>0.375</v>
      </c>
      <c r="BH26" s="45">
        <f t="shared" si="10"/>
        <v>2.8125</v>
      </c>
      <c r="BI26" s="45">
        <f>BF26*(BG26-BG27)^2</f>
        <v>1604.1796875</v>
      </c>
      <c r="BJ26" s="45">
        <f t="shared" si="11"/>
        <v>0.3515625</v>
      </c>
      <c r="BK26" s="46">
        <f t="shared" si="12"/>
        <v>1604.53125</v>
      </c>
      <c r="BL26" s="67" t="s">
        <v>154</v>
      </c>
      <c r="BM26" s="44">
        <f>BM23</f>
        <v>8.5</v>
      </c>
      <c r="BN26" s="44">
        <f>BN23</f>
        <v>1</v>
      </c>
      <c r="BO26" s="58">
        <f t="shared" si="13"/>
        <v>8.5</v>
      </c>
      <c r="BP26" s="45">
        <f>BN26/2</f>
        <v>0.5</v>
      </c>
      <c r="BQ26" s="45">
        <f t="shared" si="14"/>
        <v>4.25</v>
      </c>
      <c r="BR26" s="45">
        <f>BO26*(BP26-BP27)^2</f>
        <v>1787.125</v>
      </c>
      <c r="BS26" s="45">
        <f t="shared" si="15"/>
        <v>0.70833333333333337</v>
      </c>
      <c r="BT26" s="46">
        <f t="shared" si="16"/>
        <v>1787.8333333333333</v>
      </c>
      <c r="BU26" s="67" t="s">
        <v>154</v>
      </c>
      <c r="BV26" s="44">
        <f>BY9-BY11</f>
        <v>10.5</v>
      </c>
      <c r="BW26" s="44">
        <f>BW23</f>
        <v>0.625</v>
      </c>
      <c r="BX26" s="58">
        <f t="shared" si="17"/>
        <v>6.5625</v>
      </c>
      <c r="BY26" s="45">
        <f>BW26/2</f>
        <v>0.3125</v>
      </c>
      <c r="BZ26" s="45">
        <f t="shared" si="18"/>
        <v>2.05078125</v>
      </c>
      <c r="CA26" s="45">
        <f>BX26*(BY26-BY27)^2</f>
        <v>1757.7544294084819</v>
      </c>
      <c r="CB26" s="45">
        <f t="shared" si="19"/>
        <v>0.213623046875</v>
      </c>
      <c r="CC26" s="46">
        <f t="shared" si="20"/>
        <v>1757.9680524553569</v>
      </c>
      <c r="CD26" s="67" t="s">
        <v>154</v>
      </c>
      <c r="CE26" s="44">
        <f>CH9-CH11</f>
        <v>10</v>
      </c>
      <c r="CF26" s="44">
        <f>CF23</f>
        <v>0.75</v>
      </c>
      <c r="CG26" s="58">
        <f t="shared" si="21"/>
        <v>7.5</v>
      </c>
      <c r="CH26" s="45">
        <f>CF26/2</f>
        <v>0.375</v>
      </c>
      <c r="CI26" s="45">
        <f t="shared" si="22"/>
        <v>2.8125</v>
      </c>
      <c r="CJ26" s="45">
        <f>CG26*(CH26-CH27)^2</f>
        <v>1966.3478057238519</v>
      </c>
      <c r="CK26" s="45">
        <f t="shared" si="23"/>
        <v>0.3515625</v>
      </c>
      <c r="CL26" s="46">
        <f t="shared" si="24"/>
        <v>1966.6993682238519</v>
      </c>
      <c r="CM26" s="67" t="s">
        <v>154</v>
      </c>
      <c r="CN26" s="44">
        <f>CQ9-CQ11</f>
        <v>9.75</v>
      </c>
      <c r="CO26" s="44">
        <f>CO23</f>
        <v>1</v>
      </c>
      <c r="CP26" s="58">
        <f t="shared" si="25"/>
        <v>9.75</v>
      </c>
      <c r="CQ26" s="45">
        <f>CO26/2</f>
        <v>0.5</v>
      </c>
      <c r="CR26" s="45">
        <f t="shared" si="26"/>
        <v>4.875</v>
      </c>
      <c r="CS26" s="45">
        <f>CP26*(CQ26-CQ27)^2</f>
        <v>2577.0105027548211</v>
      </c>
      <c r="CT26" s="45">
        <f t="shared" si="27"/>
        <v>0.8125</v>
      </c>
      <c r="CU26" s="46">
        <f t="shared" si="28"/>
        <v>2577.8230027548211</v>
      </c>
      <c r="CV26" s="67" t="s">
        <v>154</v>
      </c>
      <c r="CW26" s="44">
        <f>CZ9-CZ11</f>
        <v>7.5</v>
      </c>
      <c r="CX26" s="44">
        <f>CX23</f>
        <v>1</v>
      </c>
      <c r="CY26" s="58">
        <f t="shared" si="29"/>
        <v>7.5</v>
      </c>
      <c r="CZ26" s="45">
        <f>CX26/2</f>
        <v>0.5</v>
      </c>
      <c r="DA26" s="45">
        <f t="shared" si="30"/>
        <v>3.75</v>
      </c>
      <c r="DB26" s="45">
        <f>CY26*(CZ26-CZ27)^2</f>
        <v>1819.1383744855964</v>
      </c>
      <c r="DC26" s="45">
        <f t="shared" si="31"/>
        <v>0.625</v>
      </c>
      <c r="DD26" s="46">
        <f t="shared" si="32"/>
        <v>1819.7633744855964</v>
      </c>
      <c r="DE26" s="67" t="s">
        <v>154</v>
      </c>
      <c r="DF26" s="44">
        <f>DF23</f>
        <v>10</v>
      </c>
      <c r="DG26" s="44">
        <f>DG23</f>
        <v>0.875</v>
      </c>
      <c r="DH26" s="58">
        <f t="shared" si="33"/>
        <v>8.75</v>
      </c>
      <c r="DI26" s="45">
        <f>DG26/2</f>
        <v>0.4375</v>
      </c>
      <c r="DJ26" s="45">
        <f t="shared" si="34"/>
        <v>3.828125</v>
      </c>
      <c r="DK26" s="45">
        <f>DH26*(DI26-DI27)^2</f>
        <v>641.5185546875</v>
      </c>
      <c r="DL26" s="45">
        <f t="shared" si="35"/>
        <v>0.55826822916666663</v>
      </c>
      <c r="DM26" s="46">
        <f t="shared" si="36"/>
        <v>642.07682291666663</v>
      </c>
      <c r="DN26" s="67" t="s">
        <v>154</v>
      </c>
      <c r="DO26" s="44">
        <f>DO23</f>
        <v>10.5</v>
      </c>
      <c r="DP26" s="44">
        <f>DP23</f>
        <v>0.625</v>
      </c>
      <c r="DQ26" s="58">
        <f t="shared" si="37"/>
        <v>6.5625</v>
      </c>
      <c r="DR26" s="45">
        <f>DP26/2</f>
        <v>0.3125</v>
      </c>
      <c r="DS26" s="45">
        <f t="shared" si="38"/>
        <v>2.05078125</v>
      </c>
      <c r="DT26" s="45">
        <f>DQ26*(DR26-DR27)^2</f>
        <v>495.289306640625</v>
      </c>
      <c r="DU26" s="45">
        <f t="shared" si="39"/>
        <v>0.213623046875</v>
      </c>
      <c r="DV26" s="46">
        <f t="shared" si="40"/>
        <v>495.5029296875</v>
      </c>
      <c r="DW26" s="67" t="s">
        <v>154</v>
      </c>
      <c r="DX26" s="44">
        <f>DX23</f>
        <v>11.25</v>
      </c>
      <c r="DY26" s="44">
        <f>DY23</f>
        <v>0.375</v>
      </c>
      <c r="DZ26" s="58">
        <f t="shared" si="41"/>
        <v>4.21875</v>
      </c>
      <c r="EA26" s="45">
        <f>DY26/2</f>
        <v>0.1875</v>
      </c>
      <c r="EB26" s="45">
        <f t="shared" si="42"/>
        <v>0.791015625</v>
      </c>
      <c r="EC26" s="45">
        <f>DZ26*(EA26-EA27)^2</f>
        <v>327.6287841796875</v>
      </c>
      <c r="ED26" s="45">
        <f t="shared" si="43"/>
        <v>4.94384765625E-2</v>
      </c>
      <c r="EE26" s="46">
        <f t="shared" si="44"/>
        <v>327.67822265625</v>
      </c>
      <c r="EF26" s="67" t="s">
        <v>154</v>
      </c>
      <c r="EG26" s="44">
        <f>EG23</f>
        <v>9.5</v>
      </c>
      <c r="EH26" s="44">
        <f>EH23</f>
        <v>1</v>
      </c>
      <c r="EI26" s="58">
        <f t="shared" si="45"/>
        <v>9.5</v>
      </c>
      <c r="EJ26" s="45">
        <f>EH26/2</f>
        <v>0.5</v>
      </c>
      <c r="EK26" s="45">
        <f t="shared" si="46"/>
        <v>4.75</v>
      </c>
      <c r="EL26" s="45">
        <f>EI26*(EJ26-EJ27)^2</f>
        <v>686.375</v>
      </c>
      <c r="EM26" s="45">
        <f t="shared" si="47"/>
        <v>0.79166666666666663</v>
      </c>
      <c r="EN26" s="46">
        <f t="shared" si="48"/>
        <v>687.16666666666663</v>
      </c>
      <c r="EO26" s="67" t="s">
        <v>154</v>
      </c>
      <c r="EP26" s="44">
        <f>EP23</f>
        <v>11.25</v>
      </c>
      <c r="EQ26" s="44">
        <f>EQ23</f>
        <v>0.625</v>
      </c>
      <c r="ER26" s="58">
        <f t="shared" si="49"/>
        <v>7.03125</v>
      </c>
      <c r="ES26" s="45">
        <f>EQ26/2</f>
        <v>0.3125</v>
      </c>
      <c r="ET26" s="45">
        <f t="shared" si="50"/>
        <v>2.197265625</v>
      </c>
      <c r="EU26" s="45">
        <f>ER26*(ES26-ES27)^2</f>
        <v>530.6671142578125</v>
      </c>
      <c r="EV26" s="45">
        <f t="shared" si="51"/>
        <v>0.2288818359375</v>
      </c>
      <c r="EW26" s="46">
        <f t="shared" si="52"/>
        <v>530.89599609375</v>
      </c>
      <c r="EX26" s="67" t="s">
        <v>154</v>
      </c>
      <c r="EY26" s="44">
        <f>EY23</f>
        <v>11.25</v>
      </c>
      <c r="EZ26" s="44">
        <f>EZ23</f>
        <v>0.375</v>
      </c>
      <c r="FA26" s="58">
        <f t="shared" si="53"/>
        <v>4.21875</v>
      </c>
      <c r="FB26" s="45">
        <f>EZ26/2</f>
        <v>0.1875</v>
      </c>
      <c r="FC26" s="45">
        <f t="shared" si="54"/>
        <v>0.791015625</v>
      </c>
      <c r="FD26" s="45">
        <f>FA26*(FB26-FB27)^2</f>
        <v>327.6287841796875</v>
      </c>
      <c r="FE26" s="45">
        <f t="shared" si="55"/>
        <v>4.94384765625E-2</v>
      </c>
      <c r="FF26" s="45">
        <f t="shared" si="56"/>
        <v>327.67822265625</v>
      </c>
    </row>
    <row r="27" spans="1:162" s="6" customFormat="1" ht="14.25" customHeight="1">
      <c r="A27" s="23"/>
      <c r="B27" s="119" t="s">
        <v>10</v>
      </c>
      <c r="C27" s="109">
        <v>21.666666666666668</v>
      </c>
      <c r="D27" s="110">
        <v>-16.655999999999999</v>
      </c>
      <c r="E27" s="115">
        <v>6.2594125975136112</v>
      </c>
      <c r="F27" s="95"/>
      <c r="G27" s="99"/>
      <c r="I27" s="24"/>
      <c r="J27" s="24"/>
      <c r="K27" s="141" t="s">
        <v>110</v>
      </c>
      <c r="L27" s="145" t="str">
        <f>AC15</f>
        <v>S2</v>
      </c>
      <c r="M27" s="153" t="s">
        <v>80</v>
      </c>
      <c r="N27" s="164">
        <v>-1512.5920000000001</v>
      </c>
      <c r="O27" s="164">
        <v>-861.18600000000004</v>
      </c>
      <c r="P27" s="164">
        <v>-65.38</v>
      </c>
      <c r="Q27" s="164">
        <v>-2654.6309999999999</v>
      </c>
      <c r="R27" s="169" t="s">
        <v>175</v>
      </c>
      <c r="T27" s="141" t="s">
        <v>165</v>
      </c>
      <c r="U27" s="145" t="str">
        <f>U25</f>
        <v>S13</v>
      </c>
      <c r="V27" s="87" t="s">
        <v>93</v>
      </c>
      <c r="W27" s="151">
        <v>131.499</v>
      </c>
      <c r="X27" s="151">
        <v>79.572999999999993</v>
      </c>
      <c r="Y27" s="167">
        <v>6.0229999999999997</v>
      </c>
      <c r="Z27" s="151">
        <v>222.81200000000001</v>
      </c>
      <c r="AA27" s="170" t="s">
        <v>174</v>
      </c>
      <c r="AC27" s="174" t="s">
        <v>125</v>
      </c>
      <c r="AD27" s="116">
        <f>FA27</f>
        <v>21.9375</v>
      </c>
      <c r="AE27" s="100">
        <f>FD15</f>
        <v>1855.8991135817309</v>
      </c>
      <c r="AF27" s="100">
        <f>FC15</f>
        <v>1019.8564453125</v>
      </c>
      <c r="AG27" s="100">
        <f>FE9</f>
        <v>18</v>
      </c>
      <c r="AH27" s="135">
        <f>FB9</f>
        <v>23.25</v>
      </c>
      <c r="AK27" s="38"/>
      <c r="AL27" s="47" t="s">
        <v>155</v>
      </c>
      <c r="AM27" s="48">
        <f>AR10</f>
        <v>30</v>
      </c>
      <c r="AN27" s="49">
        <f>SUM(AN23:AN26)</f>
        <v>41</v>
      </c>
      <c r="AO27" s="50">
        <f>AP27/AN27</f>
        <v>15</v>
      </c>
      <c r="AP27" s="51">
        <f>SUM(AP23:AP26)</f>
        <v>615</v>
      </c>
      <c r="AQ27" s="40"/>
      <c r="AR27" s="40"/>
      <c r="AS27" s="52">
        <f>SUM(AS23:AS26)</f>
        <v>4643.4166666666661</v>
      </c>
      <c r="AT27" s="38"/>
      <c r="AU27" s="47" t="s">
        <v>155</v>
      </c>
      <c r="AV27" s="48">
        <f>BA10</f>
        <v>30</v>
      </c>
      <c r="AW27" s="49">
        <f>SUM(AW23:AW26)</f>
        <v>86.5</v>
      </c>
      <c r="AX27" s="50">
        <f>AY27/AW27</f>
        <v>15</v>
      </c>
      <c r="AY27" s="51">
        <f>SUM(AY23:AY26)</f>
        <v>1297.5</v>
      </c>
      <c r="AZ27" s="40"/>
      <c r="BA27" s="40"/>
      <c r="BB27" s="52">
        <f>SUM(BB23:BB26)</f>
        <v>9058.8333333333339</v>
      </c>
      <c r="BC27" s="38"/>
      <c r="BD27" s="47" t="s">
        <v>155</v>
      </c>
      <c r="BE27" s="48">
        <f>BJ10</f>
        <v>30</v>
      </c>
      <c r="BF27" s="49">
        <f>SUM(BF23:BF26)</f>
        <v>75</v>
      </c>
      <c r="BG27" s="50">
        <f>BH27/BF27</f>
        <v>15</v>
      </c>
      <c r="BH27" s="51">
        <f>SUM(BH23:BH26)</f>
        <v>1125</v>
      </c>
      <c r="BI27" s="160"/>
      <c r="BJ27" s="40"/>
      <c r="BK27" s="52">
        <f>SUM(BK23:BK26)</f>
        <v>7709.0625</v>
      </c>
      <c r="BL27" s="38"/>
      <c r="BM27" s="47" t="s">
        <v>155</v>
      </c>
      <c r="BN27" s="48">
        <f>BS10</f>
        <v>30</v>
      </c>
      <c r="BO27" s="49">
        <f>SUM(BO23:BO26)</f>
        <v>122</v>
      </c>
      <c r="BP27" s="50">
        <f>BQ27/BO27</f>
        <v>15</v>
      </c>
      <c r="BQ27" s="51">
        <f>SUM(BQ23:BQ26)</f>
        <v>1830</v>
      </c>
      <c r="BR27" s="160"/>
      <c r="BS27" s="40"/>
      <c r="BT27" s="52">
        <f>SUM(BT23:BT26)</f>
        <v>11450.666666666666</v>
      </c>
      <c r="BU27" s="38"/>
      <c r="BV27" s="47" t="s">
        <v>155</v>
      </c>
      <c r="BW27" s="48">
        <f>CB10</f>
        <v>30</v>
      </c>
      <c r="BX27" s="49">
        <f>SUM(BX23:BX26)</f>
        <v>65.625</v>
      </c>
      <c r="BY27" s="50">
        <f>BZ27/BX27</f>
        <v>16.678571428571427</v>
      </c>
      <c r="BZ27" s="51">
        <f>SUM(BZ23:BZ26)</f>
        <v>1094.53125</v>
      </c>
      <c r="CA27" s="160"/>
      <c r="CB27" s="40"/>
      <c r="CC27" s="52">
        <f>SUM(CC23:CC26)</f>
        <v>7576.6499920280621</v>
      </c>
      <c r="CD27" s="38"/>
      <c r="CE27" s="47" t="s">
        <v>155</v>
      </c>
      <c r="CF27" s="48">
        <f>CK10</f>
        <v>30</v>
      </c>
      <c r="CG27" s="49">
        <f>SUM(CG23:CG26)</f>
        <v>84</v>
      </c>
      <c r="CH27" s="50">
        <f>CI27/CG27</f>
        <v>16.566964285714285</v>
      </c>
      <c r="CI27" s="51">
        <f>SUM(CI23:CI26)</f>
        <v>1391.625</v>
      </c>
      <c r="CJ27" s="160"/>
      <c r="CK27" s="40"/>
      <c r="CL27" s="52">
        <f>SUM(CL23:CL26)</f>
        <v>9439.1150749362241</v>
      </c>
      <c r="CM27" s="38"/>
      <c r="CN27" s="47" t="s">
        <v>155</v>
      </c>
      <c r="CO27" s="48">
        <f>CT10</f>
        <v>30</v>
      </c>
      <c r="CP27" s="49">
        <f>SUM(CP23:CP26)</f>
        <v>99</v>
      </c>
      <c r="CQ27" s="50">
        <f>CR27/CP27</f>
        <v>16.757575757575758</v>
      </c>
      <c r="CR27" s="51">
        <f>SUM(CR23:CR26)</f>
        <v>1659</v>
      </c>
      <c r="CS27" s="160"/>
      <c r="CT27" s="40"/>
      <c r="CU27" s="52">
        <f>SUM(CU23:CU26)</f>
        <v>11360.794596038473</v>
      </c>
      <c r="CV27" s="38"/>
      <c r="CW27" s="47" t="s">
        <v>155</v>
      </c>
      <c r="CX27" s="48">
        <f>DC10</f>
        <v>30</v>
      </c>
      <c r="CY27" s="49">
        <f>SUM(CY23:CY26)</f>
        <v>162</v>
      </c>
      <c r="CZ27" s="50">
        <f>DA27/CY27</f>
        <v>16.074074074074073</v>
      </c>
      <c r="DA27" s="51">
        <f>SUM(DA23:DA26)</f>
        <v>2604</v>
      </c>
      <c r="DB27" s="160"/>
      <c r="DC27" s="40"/>
      <c r="DD27" s="52">
        <f>SUM(DD23:DD26)</f>
        <v>15747.753137434956</v>
      </c>
      <c r="DE27" s="38"/>
      <c r="DF27" s="47" t="s">
        <v>155</v>
      </c>
      <c r="DG27" s="48">
        <f>DL10</f>
        <v>18</v>
      </c>
      <c r="DH27" s="49">
        <f>SUM(DH23:DH26)</f>
        <v>53.5</v>
      </c>
      <c r="DI27" s="50">
        <f>DJ27/DH27</f>
        <v>9</v>
      </c>
      <c r="DJ27" s="51">
        <f>SUM(DJ23:DJ26)</f>
        <v>481.5</v>
      </c>
      <c r="DK27" s="160"/>
      <c r="DL27" s="40"/>
      <c r="DM27" s="52">
        <f>SUM(DM23:DM26)</f>
        <v>3156.9190779320979</v>
      </c>
      <c r="DN27" s="38"/>
      <c r="DO27" s="47" t="s">
        <v>155</v>
      </c>
      <c r="DP27" s="48">
        <f>DU10</f>
        <v>18</v>
      </c>
      <c r="DQ27" s="49">
        <f>SUM(DQ23:DQ26)</f>
        <v>40.125</v>
      </c>
      <c r="DR27" s="50">
        <f>DS27/DQ27</f>
        <v>9</v>
      </c>
      <c r="DS27" s="51">
        <f>SUM(DS23:DS26)</f>
        <v>361.125</v>
      </c>
      <c r="DT27" s="160"/>
      <c r="DU27" s="40"/>
      <c r="DV27" s="52">
        <f>SUM(DV23:DV26)</f>
        <v>1720.005859375</v>
      </c>
      <c r="DW27" s="38"/>
      <c r="DX27" s="47" t="s">
        <v>155</v>
      </c>
      <c r="DY27" s="48">
        <f>ED10</f>
        <v>18</v>
      </c>
      <c r="DZ27" s="49">
        <f>SUM(DZ23:DZ26)</f>
        <v>21.9375</v>
      </c>
      <c r="EA27" s="50">
        <f>EB27/DZ27</f>
        <v>9</v>
      </c>
      <c r="EB27" s="51">
        <f>SUM(EB23:EB26)</f>
        <v>197.4375</v>
      </c>
      <c r="EC27" s="160"/>
      <c r="ED27" s="40"/>
      <c r="EE27" s="52">
        <f>SUM(EE23:EE26)</f>
        <v>1019.8564453125</v>
      </c>
      <c r="EF27" s="38"/>
      <c r="EG27" s="47" t="s">
        <v>155</v>
      </c>
      <c r="EH27" s="48">
        <f>EM10</f>
        <v>18</v>
      </c>
      <c r="EI27" s="49">
        <f>SUM(EI23:EI26)</f>
        <v>64</v>
      </c>
      <c r="EJ27" s="50">
        <f>EK27/EI27</f>
        <v>9</v>
      </c>
      <c r="EK27" s="51">
        <f>SUM(EK23:EK26)</f>
        <v>576</v>
      </c>
      <c r="EL27" s="160"/>
      <c r="EM27" s="40"/>
      <c r="EN27" s="52">
        <f>SUM(EN23:EN26)</f>
        <v>2589.333333333333</v>
      </c>
      <c r="EO27" s="38"/>
      <c r="EP27" s="47" t="s">
        <v>155</v>
      </c>
      <c r="EQ27" s="48">
        <f>EV10</f>
        <v>18</v>
      </c>
      <c r="ER27" s="49">
        <f>SUM(ER23:ER26)</f>
        <v>27.5625</v>
      </c>
      <c r="ES27" s="50">
        <f>ET27/ER27</f>
        <v>9</v>
      </c>
      <c r="ET27" s="51">
        <f>SUM(ET23:ET26)</f>
        <v>248.0625</v>
      </c>
      <c r="EU27" s="160"/>
      <c r="EV27" s="40"/>
      <c r="EW27" s="52">
        <f>SUM(EW23:EW26)</f>
        <v>1426.2919921875</v>
      </c>
      <c r="EX27" s="38"/>
      <c r="EY27" s="47" t="s">
        <v>155</v>
      </c>
      <c r="EZ27" s="48">
        <f>FE10</f>
        <v>18</v>
      </c>
      <c r="FA27" s="49">
        <f>SUM(FA23:FA26)</f>
        <v>21.9375</v>
      </c>
      <c r="FB27" s="50">
        <f>FC27/FA27</f>
        <v>9</v>
      </c>
      <c r="FC27" s="51">
        <f>SUM(FC23:FC26)</f>
        <v>197.4375</v>
      </c>
      <c r="FD27" s="160"/>
      <c r="FE27" s="40"/>
      <c r="FF27" s="84">
        <f>SUM(FF23:FF26)</f>
        <v>1019.8564453125</v>
      </c>
    </row>
    <row r="28" spans="1:162" s="6" customFormat="1" ht="14.25" customHeight="1">
      <c r="A28" s="23"/>
      <c r="B28" s="118" t="s">
        <v>12</v>
      </c>
      <c r="C28" s="105">
        <v>43.333666666666673</v>
      </c>
      <c r="D28" s="108">
        <v>-15.51</v>
      </c>
      <c r="E28" s="114">
        <v>9.0339722275109064</v>
      </c>
      <c r="F28" s="85"/>
      <c r="G28" s="98"/>
      <c r="I28" s="24"/>
      <c r="J28" s="24"/>
      <c r="K28" s="141" t="s">
        <v>110</v>
      </c>
      <c r="L28" s="145" t="str">
        <f>L27</f>
        <v>S2</v>
      </c>
      <c r="M28" s="153" t="s">
        <v>81</v>
      </c>
      <c r="N28" s="164">
        <v>-1512.5920000000001</v>
      </c>
      <c r="O28" s="164">
        <v>-861.18600000000004</v>
      </c>
      <c r="P28" s="164">
        <v>-65.38</v>
      </c>
      <c r="Q28" s="164">
        <v>-2654.6309999999999</v>
      </c>
      <c r="R28" s="169" t="s">
        <v>175</v>
      </c>
      <c r="T28" s="141" t="s">
        <v>165</v>
      </c>
      <c r="U28" s="145" t="str">
        <f>U26</f>
        <v>S14</v>
      </c>
      <c r="V28" s="87" t="s">
        <v>94</v>
      </c>
      <c r="W28" s="151">
        <v>-6.26</v>
      </c>
      <c r="X28" s="151">
        <v>0</v>
      </c>
      <c r="Y28" s="167">
        <v>0</v>
      </c>
      <c r="Z28" s="151">
        <v>-16.547999999999998</v>
      </c>
      <c r="AA28" s="170"/>
      <c r="AC28" s="34"/>
      <c r="AD28" s="34"/>
      <c r="AE28" s="36"/>
      <c r="AF28" s="36"/>
      <c r="AG28" s="36"/>
      <c r="AH28" s="36"/>
    </row>
    <row r="29" spans="1:162" s="6" customFormat="1" ht="14.25" customHeight="1">
      <c r="B29" s="119" t="s">
        <v>13</v>
      </c>
      <c r="C29" s="109">
        <f>$C$27+C28</f>
        <v>65.000333333333344</v>
      </c>
      <c r="D29" s="110">
        <v>-15.239000000000001</v>
      </c>
      <c r="E29" s="115">
        <v>6.2609852443801213</v>
      </c>
      <c r="F29" s="95"/>
      <c r="G29" s="99"/>
      <c r="I29" s="24"/>
      <c r="J29" s="24"/>
      <c r="K29" s="141" t="s">
        <v>110</v>
      </c>
      <c r="L29" s="145" t="str">
        <f>L28</f>
        <v>S2</v>
      </c>
      <c r="M29" s="153" t="s">
        <v>82</v>
      </c>
      <c r="N29" s="164">
        <v>-1429.431</v>
      </c>
      <c r="O29" s="164">
        <v>-813.27099999999996</v>
      </c>
      <c r="P29" s="164">
        <v>-61.743000000000002</v>
      </c>
      <c r="Q29" s="164">
        <v>-2511.2730000000001</v>
      </c>
      <c r="R29" s="169" t="s">
        <v>175</v>
      </c>
      <c r="T29" s="141" t="s">
        <v>165</v>
      </c>
      <c r="U29" s="145" t="str">
        <f>U25</f>
        <v>S13</v>
      </c>
      <c r="V29" s="87" t="s">
        <v>95</v>
      </c>
      <c r="W29" s="151">
        <v>119.902</v>
      </c>
      <c r="X29" s="151">
        <v>72.930999999999997</v>
      </c>
      <c r="Y29" s="167">
        <v>5.5359999999999996</v>
      </c>
      <c r="Z29" s="151">
        <v>204.1</v>
      </c>
      <c r="AA29" s="170" t="s">
        <v>175</v>
      </c>
      <c r="AC29" s="34"/>
      <c r="AD29" s="34"/>
      <c r="AE29" s="36"/>
      <c r="AF29" s="36"/>
      <c r="AG29" s="36"/>
      <c r="AH29" s="36"/>
      <c r="AK29" s="53" t="s">
        <v>295</v>
      </c>
      <c r="AL29" s="208" t="s">
        <v>327</v>
      </c>
      <c r="AM29" s="38"/>
      <c r="AN29" s="38"/>
      <c r="AO29" s="38"/>
      <c r="AP29" s="38"/>
      <c r="AQ29" s="38"/>
      <c r="AR29" s="38"/>
      <c r="AS29" s="38"/>
      <c r="AT29" s="53" t="s">
        <v>297</v>
      </c>
      <c r="AU29" s="208" t="s">
        <v>327</v>
      </c>
      <c r="AV29" s="38"/>
      <c r="AW29" s="38"/>
      <c r="AX29" s="38"/>
      <c r="AY29" s="38"/>
      <c r="AZ29" s="38"/>
      <c r="BA29" s="38"/>
      <c r="BB29" s="38"/>
      <c r="BC29" s="53" t="s">
        <v>299</v>
      </c>
      <c r="BD29" s="208" t="s">
        <v>327</v>
      </c>
      <c r="BE29" s="38"/>
      <c r="BF29" s="38"/>
      <c r="BG29" s="38"/>
      <c r="BH29" s="38"/>
      <c r="BI29" s="155"/>
      <c r="BJ29" s="38"/>
      <c r="BK29" s="38"/>
      <c r="BL29" s="53" t="s">
        <v>301</v>
      </c>
      <c r="BM29" s="208" t="s">
        <v>327</v>
      </c>
      <c r="BN29" s="38"/>
      <c r="BO29" s="38"/>
      <c r="BP29" s="38"/>
      <c r="BQ29" s="38"/>
      <c r="BR29" s="155"/>
      <c r="BS29" s="38"/>
      <c r="BT29" s="38"/>
      <c r="BU29" s="53" t="s">
        <v>303</v>
      </c>
      <c r="BV29" s="208" t="s">
        <v>327</v>
      </c>
      <c r="BW29" s="38"/>
      <c r="BX29" s="38"/>
      <c r="BY29" s="38"/>
      <c r="BZ29" s="38"/>
      <c r="CA29" s="155"/>
      <c r="CB29" s="38"/>
      <c r="CC29" s="38"/>
      <c r="CD29" s="53" t="s">
        <v>305</v>
      </c>
      <c r="CE29" s="208" t="s">
        <v>327</v>
      </c>
      <c r="CF29" s="38"/>
      <c r="CG29" s="38"/>
      <c r="CH29" s="38"/>
      <c r="CI29" s="38"/>
      <c r="CJ29" s="155"/>
      <c r="CK29" s="38"/>
      <c r="CL29" s="38"/>
      <c r="CM29" s="53" t="s">
        <v>307</v>
      </c>
      <c r="CN29" s="208" t="s">
        <v>327</v>
      </c>
      <c r="CO29" s="38"/>
      <c r="CP29" s="38"/>
      <c r="CQ29" s="38"/>
      <c r="CR29" s="38"/>
      <c r="CS29" s="155"/>
      <c r="CT29" s="38"/>
      <c r="CU29" s="38"/>
      <c r="CV29" s="53" t="s">
        <v>309</v>
      </c>
      <c r="CW29" s="208" t="s">
        <v>327</v>
      </c>
      <c r="CX29" s="38"/>
      <c r="CY29" s="38"/>
      <c r="CZ29" s="38"/>
      <c r="DA29" s="38"/>
      <c r="DB29" s="155"/>
      <c r="DC29" s="38"/>
      <c r="DD29" s="38"/>
      <c r="DE29" s="53" t="s">
        <v>311</v>
      </c>
      <c r="DF29" s="208" t="s">
        <v>327</v>
      </c>
      <c r="DG29" s="38"/>
      <c r="DH29" s="38"/>
      <c r="DI29" s="38"/>
      <c r="DJ29" s="38"/>
      <c r="DK29" s="155"/>
      <c r="DL29" s="38"/>
      <c r="DM29" s="38"/>
      <c r="DN29" s="53" t="s">
        <v>313</v>
      </c>
      <c r="DO29" s="208" t="s">
        <v>327</v>
      </c>
      <c r="DP29" s="38"/>
      <c r="DQ29" s="38"/>
      <c r="DR29" s="38"/>
      <c r="DS29" s="38"/>
      <c r="DT29" s="155"/>
      <c r="DU29" s="38"/>
      <c r="DV29" s="38"/>
      <c r="DW29" s="53" t="s">
        <v>315</v>
      </c>
      <c r="DX29" s="208" t="s">
        <v>327</v>
      </c>
      <c r="DY29" s="38"/>
      <c r="DZ29" s="38"/>
      <c r="EA29" s="38"/>
      <c r="EB29" s="38"/>
      <c r="EC29" s="155"/>
      <c r="ED29" s="38"/>
      <c r="EE29" s="38"/>
      <c r="EF29" s="53" t="s">
        <v>317</v>
      </c>
      <c r="EG29" s="208" t="s">
        <v>327</v>
      </c>
      <c r="EH29" s="38"/>
      <c r="EI29" s="38"/>
      <c r="EJ29" s="38"/>
      <c r="EK29" s="38"/>
      <c r="EL29" s="155"/>
      <c r="EM29" s="38"/>
      <c r="EN29" s="38"/>
      <c r="EO29" s="53" t="s">
        <v>319</v>
      </c>
      <c r="EP29" s="208" t="s">
        <v>327</v>
      </c>
      <c r="EQ29" s="38"/>
      <c r="ER29" s="38"/>
      <c r="ES29" s="38"/>
      <c r="ET29" s="38"/>
      <c r="EU29" s="155"/>
      <c r="EV29" s="38"/>
      <c r="EW29" s="38"/>
      <c r="EX29" s="53" t="s">
        <v>321</v>
      </c>
      <c r="EY29" s="208" t="s">
        <v>327</v>
      </c>
      <c r="EZ29" s="38"/>
      <c r="FA29" s="38"/>
      <c r="FB29" s="38"/>
      <c r="FC29" s="38"/>
      <c r="FD29" s="155"/>
      <c r="FE29" s="38"/>
      <c r="FF29" s="38"/>
    </row>
    <row r="30" spans="1:162" s="6" customFormat="1" ht="14.25" customHeight="1">
      <c r="B30" s="118" t="s">
        <v>14</v>
      </c>
      <c r="C30" s="105">
        <f t="shared" ref="C30:C38" si="57">$C$27+C29</f>
        <v>86.667000000000016</v>
      </c>
      <c r="D30" s="108">
        <v>-14.968999999999999</v>
      </c>
      <c r="E30" s="114">
        <v>8.2953897552281113</v>
      </c>
      <c r="F30" s="85"/>
      <c r="G30" s="98"/>
      <c r="I30" s="24"/>
      <c r="J30" s="24"/>
      <c r="K30" s="141" t="s">
        <v>110</v>
      </c>
      <c r="L30" s="145" t="str">
        <f>L29</f>
        <v>S2</v>
      </c>
      <c r="M30" s="153" t="s">
        <v>83</v>
      </c>
      <c r="N30" s="164">
        <v>-1429.431</v>
      </c>
      <c r="O30" s="164">
        <v>-813.27200000000005</v>
      </c>
      <c r="P30" s="164">
        <v>-61.743000000000002</v>
      </c>
      <c r="Q30" s="164">
        <v>-2511.2739999999999</v>
      </c>
      <c r="R30" s="169" t="s">
        <v>175</v>
      </c>
      <c r="T30" s="141" t="s">
        <v>165</v>
      </c>
      <c r="U30" s="145" t="str">
        <f>U26</f>
        <v>S14</v>
      </c>
      <c r="V30" s="87" t="s">
        <v>96</v>
      </c>
      <c r="W30" s="151">
        <v>-6.3550000000000004</v>
      </c>
      <c r="X30" s="151">
        <v>-3.6999999999999998E-2</v>
      </c>
      <c r="Y30" s="167">
        <v>-3.0000000000000001E-3</v>
      </c>
      <c r="Z30" s="151">
        <v>-16.725000000000001</v>
      </c>
      <c r="AA30" s="170"/>
      <c r="AC30" s="171" t="s">
        <v>178</v>
      </c>
      <c r="AD30" s="34"/>
      <c r="AE30" s="36"/>
      <c r="AF30" s="36"/>
      <c r="AG30" s="36"/>
    </row>
    <row r="31" spans="1:162" s="6" customFormat="1" ht="15" customHeight="1">
      <c r="A31" s="23"/>
      <c r="B31" s="119" t="s">
        <v>15</v>
      </c>
      <c r="C31" s="109">
        <f t="shared" si="57"/>
        <v>108.33366666666669</v>
      </c>
      <c r="D31" s="110">
        <v>-15.573</v>
      </c>
      <c r="E31" s="115">
        <v>6.2910166031829293</v>
      </c>
      <c r="F31" s="95"/>
      <c r="G31" s="99"/>
      <c r="I31" s="24"/>
      <c r="J31" s="24"/>
      <c r="K31" s="141" t="s">
        <v>110</v>
      </c>
      <c r="L31" s="145" t="s">
        <v>112</v>
      </c>
      <c r="M31" s="153" t="s">
        <v>84</v>
      </c>
      <c r="N31" s="164">
        <v>-483.89100000000002</v>
      </c>
      <c r="O31" s="164">
        <v>-273.83800000000002</v>
      </c>
      <c r="P31" s="164">
        <v>-20.794</v>
      </c>
      <c r="Q31" s="164">
        <v>-850.57799999999997</v>
      </c>
      <c r="R31" s="169" t="s">
        <v>176</v>
      </c>
      <c r="T31" s="141" t="s">
        <v>165</v>
      </c>
      <c r="U31" s="145" t="str">
        <f>U25</f>
        <v>S13</v>
      </c>
      <c r="V31" s="87" t="s">
        <v>97</v>
      </c>
      <c r="W31" s="151">
        <v>125.068</v>
      </c>
      <c r="X31" s="151">
        <v>75.852999999999994</v>
      </c>
      <c r="Y31" s="167">
        <v>5.758</v>
      </c>
      <c r="Z31" s="151">
        <v>211.75800000000001</v>
      </c>
      <c r="AA31" s="170" t="s">
        <v>174</v>
      </c>
      <c r="AC31" s="36"/>
      <c r="AD31" s="36"/>
      <c r="AE31" s="36"/>
      <c r="AF31" s="36"/>
      <c r="AG31" s="36"/>
      <c r="AH31" s="36"/>
      <c r="AK31" s="38"/>
      <c r="AL31" s="68" t="s">
        <v>144</v>
      </c>
      <c r="AM31" s="69" t="s">
        <v>145</v>
      </c>
      <c r="AN31" s="69" t="s">
        <v>146</v>
      </c>
      <c r="AO31" s="69" t="s">
        <v>156</v>
      </c>
      <c r="AP31" s="69" t="s">
        <v>126</v>
      </c>
      <c r="AQ31" s="69" t="s">
        <v>149</v>
      </c>
      <c r="AR31" s="69" t="s">
        <v>150</v>
      </c>
      <c r="AS31" s="70" t="s">
        <v>127</v>
      </c>
      <c r="AT31" s="38"/>
      <c r="AU31" s="68" t="s">
        <v>144</v>
      </c>
      <c r="AV31" s="69" t="s">
        <v>145</v>
      </c>
      <c r="AW31" s="69" t="s">
        <v>146</v>
      </c>
      <c r="AX31" s="69" t="s">
        <v>156</v>
      </c>
      <c r="AY31" s="69" t="s">
        <v>126</v>
      </c>
      <c r="AZ31" s="69" t="s">
        <v>149</v>
      </c>
      <c r="BA31" s="69" t="s">
        <v>150</v>
      </c>
      <c r="BB31" s="70" t="s">
        <v>127</v>
      </c>
      <c r="BC31" s="38"/>
      <c r="BD31" s="68" t="s">
        <v>144</v>
      </c>
      <c r="BE31" s="69" t="s">
        <v>145</v>
      </c>
      <c r="BF31" s="69" t="s">
        <v>146</v>
      </c>
      <c r="BG31" s="69" t="s">
        <v>156</v>
      </c>
      <c r="BH31" s="69" t="s">
        <v>126</v>
      </c>
      <c r="BI31" s="69" t="s">
        <v>149</v>
      </c>
      <c r="BJ31" s="69" t="s">
        <v>150</v>
      </c>
      <c r="BK31" s="70" t="s">
        <v>127</v>
      </c>
      <c r="BL31" s="38"/>
      <c r="BM31" s="68" t="s">
        <v>144</v>
      </c>
      <c r="BN31" s="69" t="s">
        <v>145</v>
      </c>
      <c r="BO31" s="69" t="s">
        <v>146</v>
      </c>
      <c r="BP31" s="69" t="s">
        <v>156</v>
      </c>
      <c r="BQ31" s="69" t="s">
        <v>126</v>
      </c>
      <c r="BR31" s="69" t="s">
        <v>149</v>
      </c>
      <c r="BS31" s="69" t="s">
        <v>150</v>
      </c>
      <c r="BT31" s="70" t="s">
        <v>127</v>
      </c>
      <c r="BU31" s="38"/>
      <c r="BV31" s="68" t="s">
        <v>144</v>
      </c>
      <c r="BW31" s="69" t="s">
        <v>145</v>
      </c>
      <c r="BX31" s="69" t="s">
        <v>146</v>
      </c>
      <c r="BY31" s="69" t="s">
        <v>156</v>
      </c>
      <c r="BZ31" s="69" t="s">
        <v>126</v>
      </c>
      <c r="CA31" s="69" t="s">
        <v>149</v>
      </c>
      <c r="CB31" s="69" t="s">
        <v>150</v>
      </c>
      <c r="CC31" s="70" t="s">
        <v>127</v>
      </c>
      <c r="CD31" s="38"/>
      <c r="CE31" s="68" t="s">
        <v>144</v>
      </c>
      <c r="CF31" s="69" t="s">
        <v>145</v>
      </c>
      <c r="CG31" s="69" t="s">
        <v>146</v>
      </c>
      <c r="CH31" s="69" t="s">
        <v>156</v>
      </c>
      <c r="CI31" s="69" t="s">
        <v>126</v>
      </c>
      <c r="CJ31" s="69" t="s">
        <v>149</v>
      </c>
      <c r="CK31" s="69" t="s">
        <v>150</v>
      </c>
      <c r="CL31" s="70" t="s">
        <v>127</v>
      </c>
      <c r="CM31" s="38"/>
      <c r="CN31" s="68" t="s">
        <v>144</v>
      </c>
      <c r="CO31" s="69" t="s">
        <v>145</v>
      </c>
      <c r="CP31" s="69" t="s">
        <v>146</v>
      </c>
      <c r="CQ31" s="69" t="s">
        <v>156</v>
      </c>
      <c r="CR31" s="69" t="s">
        <v>126</v>
      </c>
      <c r="CS31" s="69" t="s">
        <v>149</v>
      </c>
      <c r="CT31" s="69" t="s">
        <v>150</v>
      </c>
      <c r="CU31" s="70" t="s">
        <v>127</v>
      </c>
      <c r="CV31" s="38"/>
      <c r="CW31" s="68" t="s">
        <v>144</v>
      </c>
      <c r="CX31" s="69" t="s">
        <v>145</v>
      </c>
      <c r="CY31" s="69" t="s">
        <v>146</v>
      </c>
      <c r="CZ31" s="69" t="s">
        <v>156</v>
      </c>
      <c r="DA31" s="69" t="s">
        <v>126</v>
      </c>
      <c r="DB31" s="69" t="s">
        <v>149</v>
      </c>
      <c r="DC31" s="69" t="s">
        <v>150</v>
      </c>
      <c r="DD31" s="70" t="s">
        <v>127</v>
      </c>
      <c r="DE31" s="38"/>
      <c r="DF31" s="68" t="s">
        <v>144</v>
      </c>
      <c r="DG31" s="69" t="s">
        <v>145</v>
      </c>
      <c r="DH31" s="69" t="s">
        <v>146</v>
      </c>
      <c r="DI31" s="69" t="s">
        <v>156</v>
      </c>
      <c r="DJ31" s="69" t="s">
        <v>126</v>
      </c>
      <c r="DK31" s="69" t="s">
        <v>149</v>
      </c>
      <c r="DL31" s="69" t="s">
        <v>150</v>
      </c>
      <c r="DM31" s="70" t="s">
        <v>127</v>
      </c>
      <c r="DN31" s="38"/>
      <c r="DO31" s="68" t="s">
        <v>144</v>
      </c>
      <c r="DP31" s="69" t="s">
        <v>145</v>
      </c>
      <c r="DQ31" s="69" t="s">
        <v>146</v>
      </c>
      <c r="DR31" s="69" t="s">
        <v>156</v>
      </c>
      <c r="DS31" s="69" t="s">
        <v>126</v>
      </c>
      <c r="DT31" s="69" t="s">
        <v>149</v>
      </c>
      <c r="DU31" s="69" t="s">
        <v>150</v>
      </c>
      <c r="DV31" s="70" t="s">
        <v>127</v>
      </c>
      <c r="DW31" s="38"/>
      <c r="DX31" s="68" t="s">
        <v>144</v>
      </c>
      <c r="DY31" s="69" t="s">
        <v>145</v>
      </c>
      <c r="DZ31" s="69" t="s">
        <v>146</v>
      </c>
      <c r="EA31" s="69" t="s">
        <v>156</v>
      </c>
      <c r="EB31" s="69" t="s">
        <v>126</v>
      </c>
      <c r="EC31" s="69" t="s">
        <v>149</v>
      </c>
      <c r="ED31" s="69" t="s">
        <v>150</v>
      </c>
      <c r="EE31" s="70" t="s">
        <v>127</v>
      </c>
      <c r="EF31" s="38"/>
      <c r="EG31" s="68" t="s">
        <v>144</v>
      </c>
      <c r="EH31" s="69" t="s">
        <v>145</v>
      </c>
      <c r="EI31" s="69" t="s">
        <v>146</v>
      </c>
      <c r="EJ31" s="69" t="s">
        <v>156</v>
      </c>
      <c r="EK31" s="69" t="s">
        <v>126</v>
      </c>
      <c r="EL31" s="69" t="s">
        <v>149</v>
      </c>
      <c r="EM31" s="69" t="s">
        <v>150</v>
      </c>
      <c r="EN31" s="70" t="s">
        <v>127</v>
      </c>
      <c r="EO31" s="38"/>
      <c r="EP31" s="68" t="s">
        <v>144</v>
      </c>
      <c r="EQ31" s="69" t="s">
        <v>145</v>
      </c>
      <c r="ER31" s="69" t="s">
        <v>146</v>
      </c>
      <c r="ES31" s="69" t="s">
        <v>156</v>
      </c>
      <c r="ET31" s="69" t="s">
        <v>126</v>
      </c>
      <c r="EU31" s="69" t="s">
        <v>149</v>
      </c>
      <c r="EV31" s="69" t="s">
        <v>150</v>
      </c>
      <c r="EW31" s="70" t="s">
        <v>127</v>
      </c>
      <c r="EX31" s="38"/>
      <c r="EY31" s="68" t="s">
        <v>144</v>
      </c>
      <c r="EZ31" s="69" t="s">
        <v>145</v>
      </c>
      <c r="FA31" s="69" t="s">
        <v>146</v>
      </c>
      <c r="FB31" s="69" t="s">
        <v>156</v>
      </c>
      <c r="FC31" s="69" t="s">
        <v>126</v>
      </c>
      <c r="FD31" s="69" t="s">
        <v>149</v>
      </c>
      <c r="FE31" s="69" t="s">
        <v>150</v>
      </c>
      <c r="FF31" s="69" t="s">
        <v>127</v>
      </c>
    </row>
    <row r="32" spans="1:162" s="6" customFormat="1" ht="14.25" customHeight="1">
      <c r="A32" s="23"/>
      <c r="B32" s="118" t="s">
        <v>16</v>
      </c>
      <c r="C32" s="105">
        <f t="shared" si="57"/>
        <v>130.00033333333334</v>
      </c>
      <c r="D32" s="108">
        <v>-16.132999999999999</v>
      </c>
      <c r="E32" s="114">
        <v>9.0624529993605165</v>
      </c>
      <c r="F32" s="85"/>
      <c r="G32" s="98"/>
      <c r="I32" s="24"/>
      <c r="J32" s="24"/>
      <c r="K32" s="141" t="s">
        <v>110</v>
      </c>
      <c r="L32" s="145" t="str">
        <f>L31</f>
        <v>S3</v>
      </c>
      <c r="M32" s="153" t="s">
        <v>85</v>
      </c>
      <c r="N32" s="164">
        <v>-483.89100000000002</v>
      </c>
      <c r="O32" s="164">
        <v>-273.83800000000002</v>
      </c>
      <c r="P32" s="164">
        <v>-20.794</v>
      </c>
      <c r="Q32" s="164">
        <v>-850.57799999999997</v>
      </c>
      <c r="R32" s="169" t="str">
        <f>R31</f>
        <v>±</v>
      </c>
      <c r="T32" s="141" t="s">
        <v>165</v>
      </c>
      <c r="U32" s="145" t="str">
        <f>U25</f>
        <v>S13</v>
      </c>
      <c r="V32" s="87" t="s">
        <v>98</v>
      </c>
      <c r="W32" s="151">
        <v>-6.351</v>
      </c>
      <c r="X32" s="151">
        <v>-1E-3</v>
      </c>
      <c r="Y32" s="167">
        <v>0</v>
      </c>
      <c r="Z32" s="151">
        <v>-15.755000000000001</v>
      </c>
      <c r="AA32" s="170"/>
      <c r="AC32" s="161" t="s">
        <v>209</v>
      </c>
      <c r="AK32" s="38"/>
      <c r="AL32" s="71" t="s">
        <v>133</v>
      </c>
      <c r="AM32" s="72" t="s">
        <v>133</v>
      </c>
      <c r="AN32" s="72" t="s">
        <v>131</v>
      </c>
      <c r="AO32" s="72" t="s">
        <v>133</v>
      </c>
      <c r="AP32" s="72" t="s">
        <v>151</v>
      </c>
      <c r="AQ32" s="72" t="s">
        <v>132</v>
      </c>
      <c r="AR32" s="72" t="s">
        <v>132</v>
      </c>
      <c r="AS32" s="73" t="s">
        <v>132</v>
      </c>
      <c r="AT32" s="38"/>
      <c r="AU32" s="71" t="s">
        <v>133</v>
      </c>
      <c r="AV32" s="72" t="s">
        <v>133</v>
      </c>
      <c r="AW32" s="72" t="s">
        <v>131</v>
      </c>
      <c r="AX32" s="72" t="s">
        <v>133</v>
      </c>
      <c r="AY32" s="72" t="s">
        <v>151</v>
      </c>
      <c r="AZ32" s="72" t="s">
        <v>132</v>
      </c>
      <c r="BA32" s="72" t="s">
        <v>132</v>
      </c>
      <c r="BB32" s="73" t="s">
        <v>132</v>
      </c>
      <c r="BC32" s="38"/>
      <c r="BD32" s="71" t="s">
        <v>133</v>
      </c>
      <c r="BE32" s="72" t="s">
        <v>133</v>
      </c>
      <c r="BF32" s="72" t="s">
        <v>131</v>
      </c>
      <c r="BG32" s="72" t="s">
        <v>133</v>
      </c>
      <c r="BH32" s="72" t="s">
        <v>151</v>
      </c>
      <c r="BI32" s="72" t="s">
        <v>132</v>
      </c>
      <c r="BJ32" s="72" t="s">
        <v>132</v>
      </c>
      <c r="BK32" s="73" t="s">
        <v>132</v>
      </c>
      <c r="BL32" s="38"/>
      <c r="BM32" s="71" t="s">
        <v>133</v>
      </c>
      <c r="BN32" s="72" t="s">
        <v>133</v>
      </c>
      <c r="BO32" s="72" t="s">
        <v>131</v>
      </c>
      <c r="BP32" s="72" t="s">
        <v>133</v>
      </c>
      <c r="BQ32" s="72" t="s">
        <v>151</v>
      </c>
      <c r="BR32" s="72" t="s">
        <v>132</v>
      </c>
      <c r="BS32" s="72" t="s">
        <v>132</v>
      </c>
      <c r="BT32" s="73" t="s">
        <v>132</v>
      </c>
      <c r="BU32" s="38"/>
      <c r="BV32" s="71" t="s">
        <v>133</v>
      </c>
      <c r="BW32" s="72" t="s">
        <v>133</v>
      </c>
      <c r="BX32" s="72" t="s">
        <v>131</v>
      </c>
      <c r="BY32" s="72" t="s">
        <v>133</v>
      </c>
      <c r="BZ32" s="72" t="s">
        <v>151</v>
      </c>
      <c r="CA32" s="72" t="s">
        <v>132</v>
      </c>
      <c r="CB32" s="72" t="s">
        <v>132</v>
      </c>
      <c r="CC32" s="73" t="s">
        <v>132</v>
      </c>
      <c r="CD32" s="38"/>
      <c r="CE32" s="71" t="s">
        <v>133</v>
      </c>
      <c r="CF32" s="72" t="s">
        <v>133</v>
      </c>
      <c r="CG32" s="72" t="s">
        <v>131</v>
      </c>
      <c r="CH32" s="72" t="s">
        <v>133</v>
      </c>
      <c r="CI32" s="72" t="s">
        <v>151</v>
      </c>
      <c r="CJ32" s="72" t="s">
        <v>132</v>
      </c>
      <c r="CK32" s="72" t="s">
        <v>132</v>
      </c>
      <c r="CL32" s="73" t="s">
        <v>132</v>
      </c>
      <c r="CM32" s="38"/>
      <c r="CN32" s="71" t="s">
        <v>133</v>
      </c>
      <c r="CO32" s="72" t="s">
        <v>133</v>
      </c>
      <c r="CP32" s="72" t="s">
        <v>131</v>
      </c>
      <c r="CQ32" s="72" t="s">
        <v>133</v>
      </c>
      <c r="CR32" s="72" t="s">
        <v>151</v>
      </c>
      <c r="CS32" s="72" t="s">
        <v>132</v>
      </c>
      <c r="CT32" s="72" t="s">
        <v>132</v>
      </c>
      <c r="CU32" s="73" t="s">
        <v>132</v>
      </c>
      <c r="CV32" s="38"/>
      <c r="CW32" s="71" t="s">
        <v>133</v>
      </c>
      <c r="CX32" s="72" t="s">
        <v>133</v>
      </c>
      <c r="CY32" s="72" t="s">
        <v>131</v>
      </c>
      <c r="CZ32" s="72" t="s">
        <v>133</v>
      </c>
      <c r="DA32" s="72" t="s">
        <v>151</v>
      </c>
      <c r="DB32" s="72" t="s">
        <v>132</v>
      </c>
      <c r="DC32" s="72" t="s">
        <v>132</v>
      </c>
      <c r="DD32" s="73" t="s">
        <v>132</v>
      </c>
      <c r="DE32" s="38"/>
      <c r="DF32" s="71" t="s">
        <v>133</v>
      </c>
      <c r="DG32" s="72" t="s">
        <v>133</v>
      </c>
      <c r="DH32" s="72" t="s">
        <v>131</v>
      </c>
      <c r="DI32" s="72" t="s">
        <v>133</v>
      </c>
      <c r="DJ32" s="72" t="s">
        <v>151</v>
      </c>
      <c r="DK32" s="72" t="s">
        <v>132</v>
      </c>
      <c r="DL32" s="72" t="s">
        <v>132</v>
      </c>
      <c r="DM32" s="73" t="s">
        <v>132</v>
      </c>
      <c r="DN32" s="38"/>
      <c r="DO32" s="71" t="s">
        <v>133</v>
      </c>
      <c r="DP32" s="72" t="s">
        <v>133</v>
      </c>
      <c r="DQ32" s="72" t="s">
        <v>131</v>
      </c>
      <c r="DR32" s="72" t="s">
        <v>133</v>
      </c>
      <c r="DS32" s="72" t="s">
        <v>151</v>
      </c>
      <c r="DT32" s="72" t="s">
        <v>132</v>
      </c>
      <c r="DU32" s="72" t="s">
        <v>132</v>
      </c>
      <c r="DV32" s="73" t="s">
        <v>132</v>
      </c>
      <c r="DW32" s="38"/>
      <c r="DX32" s="71" t="s">
        <v>133</v>
      </c>
      <c r="DY32" s="72" t="s">
        <v>133</v>
      </c>
      <c r="DZ32" s="72" t="s">
        <v>131</v>
      </c>
      <c r="EA32" s="72" t="s">
        <v>133</v>
      </c>
      <c r="EB32" s="72" t="s">
        <v>151</v>
      </c>
      <c r="EC32" s="72" t="s">
        <v>132</v>
      </c>
      <c r="ED32" s="72" t="s">
        <v>132</v>
      </c>
      <c r="EE32" s="73" t="s">
        <v>132</v>
      </c>
      <c r="EF32" s="38"/>
      <c r="EG32" s="71" t="s">
        <v>133</v>
      </c>
      <c r="EH32" s="72" t="s">
        <v>133</v>
      </c>
      <c r="EI32" s="72" t="s">
        <v>131</v>
      </c>
      <c r="EJ32" s="72" t="s">
        <v>133</v>
      </c>
      <c r="EK32" s="72" t="s">
        <v>151</v>
      </c>
      <c r="EL32" s="72" t="s">
        <v>132</v>
      </c>
      <c r="EM32" s="72" t="s">
        <v>132</v>
      </c>
      <c r="EN32" s="73" t="s">
        <v>132</v>
      </c>
      <c r="EO32" s="38"/>
      <c r="EP32" s="71" t="s">
        <v>133</v>
      </c>
      <c r="EQ32" s="72" t="s">
        <v>133</v>
      </c>
      <c r="ER32" s="72" t="s">
        <v>131</v>
      </c>
      <c r="ES32" s="72" t="s">
        <v>133</v>
      </c>
      <c r="ET32" s="72" t="s">
        <v>151</v>
      </c>
      <c r="EU32" s="72" t="s">
        <v>132</v>
      </c>
      <c r="EV32" s="72" t="s">
        <v>132</v>
      </c>
      <c r="EW32" s="73" t="s">
        <v>132</v>
      </c>
      <c r="EX32" s="38"/>
      <c r="EY32" s="71" t="s">
        <v>133</v>
      </c>
      <c r="EZ32" s="72" t="s">
        <v>133</v>
      </c>
      <c r="FA32" s="72" t="s">
        <v>131</v>
      </c>
      <c r="FB32" s="72" t="s">
        <v>133</v>
      </c>
      <c r="FC32" s="72" t="s">
        <v>151</v>
      </c>
      <c r="FD32" s="72" t="s">
        <v>132</v>
      </c>
      <c r="FE32" s="72" t="s">
        <v>132</v>
      </c>
      <c r="FF32" s="72" t="s">
        <v>132</v>
      </c>
    </row>
    <row r="33" spans="1:162" s="6" customFormat="1" ht="14.25" customHeight="1">
      <c r="A33" s="23"/>
      <c r="B33" s="119" t="s">
        <v>17</v>
      </c>
      <c r="C33" s="109">
        <f t="shared" si="57"/>
        <v>151.667</v>
      </c>
      <c r="D33" s="110">
        <v>-17.655999999999999</v>
      </c>
      <c r="E33" s="115">
        <v>6.3458476915696886</v>
      </c>
      <c r="F33" s="95"/>
      <c r="G33" s="99"/>
      <c r="H33" s="29"/>
      <c r="I33" s="24"/>
      <c r="J33" s="24"/>
      <c r="K33" s="141" t="s">
        <v>110</v>
      </c>
      <c r="L33" s="145" t="str">
        <f>L31</f>
        <v>S3</v>
      </c>
      <c r="M33" s="153" t="s">
        <v>86</v>
      </c>
      <c r="N33" s="164">
        <v>852.654</v>
      </c>
      <c r="O33" s="164">
        <v>485.85599999999999</v>
      </c>
      <c r="P33" s="164">
        <v>36.875</v>
      </c>
      <c r="Q33" s="164">
        <v>1495.6569999999999</v>
      </c>
      <c r="R33" s="169" t="s">
        <v>175</v>
      </c>
      <c r="T33" s="141" t="s">
        <v>165</v>
      </c>
      <c r="U33" s="145" t="str">
        <f>U25</f>
        <v>S13</v>
      </c>
      <c r="V33" s="87" t="s">
        <v>99</v>
      </c>
      <c r="W33" s="151">
        <v>133.387</v>
      </c>
      <c r="X33" s="151">
        <v>80.41</v>
      </c>
      <c r="Y33" s="167">
        <v>6.1020000000000003</v>
      </c>
      <c r="Z33" s="151">
        <v>224.489</v>
      </c>
      <c r="AA33" s="170" t="s">
        <v>174</v>
      </c>
      <c r="AK33" s="65" t="s">
        <v>152</v>
      </c>
      <c r="AL33" s="41">
        <f>AM23</f>
        <v>0.5</v>
      </c>
      <c r="AM33" s="41">
        <f>AL23</f>
        <v>11</v>
      </c>
      <c r="AN33" s="57">
        <f>AL33*AM33</f>
        <v>5.5</v>
      </c>
      <c r="AO33" s="42">
        <f>AR8+AO9/2</f>
        <v>12</v>
      </c>
      <c r="AP33" s="42">
        <f>AN33*AO33</f>
        <v>66</v>
      </c>
      <c r="AQ33" s="42">
        <f>AN33*(AO33-AO37)^2</f>
        <v>0.73616894705532188</v>
      </c>
      <c r="AR33" s="42">
        <f>AN33*AM33^2/12</f>
        <v>55.458333333333336</v>
      </c>
      <c r="AS33" s="43">
        <f>AQ33+AR33</f>
        <v>56.194502280388654</v>
      </c>
      <c r="AT33" s="65" t="s">
        <v>152</v>
      </c>
      <c r="AU33" s="41">
        <f>AV23</f>
        <v>1</v>
      </c>
      <c r="AV33" s="41">
        <f>AU23</f>
        <v>9.5</v>
      </c>
      <c r="AW33" s="57">
        <f>AU33*AV33</f>
        <v>9.5</v>
      </c>
      <c r="AX33" s="42">
        <f>BA8+AX9/2</f>
        <v>11.875</v>
      </c>
      <c r="AY33" s="42">
        <f>AW33*AX33</f>
        <v>112.8125</v>
      </c>
      <c r="AZ33" s="42">
        <f>AW33*(AX33-AX37)^2</f>
        <v>7.3215659874202341</v>
      </c>
      <c r="BA33" s="42">
        <f>AW33*AV33^2/12</f>
        <v>71.447916666666671</v>
      </c>
      <c r="BB33" s="43">
        <f>AZ33+BA33</f>
        <v>78.7694826540869</v>
      </c>
      <c r="BC33" s="65" t="s">
        <v>152</v>
      </c>
      <c r="BD33" s="41">
        <f>BE23</f>
        <v>0.75</v>
      </c>
      <c r="BE33" s="41">
        <f>BD23</f>
        <v>10</v>
      </c>
      <c r="BF33" s="57">
        <f>BD33*BE33</f>
        <v>7.5</v>
      </c>
      <c r="BG33" s="42">
        <f>BJ8+BG9/2</f>
        <v>12</v>
      </c>
      <c r="BH33" s="42">
        <f>BF33*BG33</f>
        <v>90</v>
      </c>
      <c r="BI33" s="42">
        <f>BF33*(BG33-BG37)^2</f>
        <v>4.8000000000000087</v>
      </c>
      <c r="BJ33" s="42">
        <f>BF33*BE33^2/12</f>
        <v>62.5</v>
      </c>
      <c r="BK33" s="43">
        <f>BI33+BJ33</f>
        <v>67.300000000000011</v>
      </c>
      <c r="BL33" s="65" t="s">
        <v>152</v>
      </c>
      <c r="BM33" s="41">
        <f>BN23</f>
        <v>1</v>
      </c>
      <c r="BN33" s="41">
        <f>BM23</f>
        <v>8.5</v>
      </c>
      <c r="BO33" s="57">
        <f>BM33*BN33</f>
        <v>8.5</v>
      </c>
      <c r="BP33" s="42">
        <f>BS8+BP9/2</f>
        <v>12</v>
      </c>
      <c r="BQ33" s="42">
        <f>BO33*BP33</f>
        <v>102</v>
      </c>
      <c r="BR33" s="42">
        <f>BO33*(BP33-BP37)^2</f>
        <v>19.282083529293207</v>
      </c>
      <c r="BS33" s="42">
        <f>BO33*BN33^2/12</f>
        <v>51.177083333333336</v>
      </c>
      <c r="BT33" s="43">
        <f>BR33+BS33</f>
        <v>70.459166862626546</v>
      </c>
      <c r="BU33" s="65" t="s">
        <v>152</v>
      </c>
      <c r="BV33" s="41">
        <f>BW23</f>
        <v>0.625</v>
      </c>
      <c r="BW33" s="41">
        <f>BV23</f>
        <v>22.5</v>
      </c>
      <c r="BX33" s="57">
        <f>BV33*BW33</f>
        <v>14.0625</v>
      </c>
      <c r="BY33" s="42">
        <f>CB8+BY9/2</f>
        <v>12</v>
      </c>
      <c r="BZ33" s="42">
        <f>BX33*BY33</f>
        <v>168.75</v>
      </c>
      <c r="CA33" s="42">
        <f>BX33*(BY33-BY37)^2</f>
        <v>3.7193877551020402</v>
      </c>
      <c r="CB33" s="42">
        <f>BX33*BW33^2/12</f>
        <v>593.26171875</v>
      </c>
      <c r="CC33" s="43">
        <f>CA33+CB33</f>
        <v>596.98110650510205</v>
      </c>
      <c r="CD33" s="65" t="s">
        <v>152</v>
      </c>
      <c r="CE33" s="41">
        <f>CF23</f>
        <v>0.75</v>
      </c>
      <c r="CF33" s="41">
        <f>CE23</f>
        <v>22</v>
      </c>
      <c r="CG33" s="57">
        <f>CE33*CF33</f>
        <v>16.5</v>
      </c>
      <c r="CH33" s="42">
        <f>CK8+CH9/2</f>
        <v>12</v>
      </c>
      <c r="CI33" s="42">
        <f>CG33*CH33</f>
        <v>198</v>
      </c>
      <c r="CJ33" s="42">
        <f>CG33*(CH33-CH37)^2</f>
        <v>8.4183673469387568</v>
      </c>
      <c r="CK33" s="42">
        <f>CG33*CF33^2/12</f>
        <v>665.5</v>
      </c>
      <c r="CL33" s="43">
        <f>CJ33+CK33</f>
        <v>673.91836734693879</v>
      </c>
      <c r="CM33" s="65" t="s">
        <v>152</v>
      </c>
      <c r="CN33" s="41">
        <f>CO23</f>
        <v>1</v>
      </c>
      <c r="CO33" s="41">
        <f>CN23</f>
        <v>21.75</v>
      </c>
      <c r="CP33" s="57">
        <f>CN33*CO33</f>
        <v>21.75</v>
      </c>
      <c r="CQ33" s="42">
        <f>CT8+CQ9/2</f>
        <v>12</v>
      </c>
      <c r="CR33" s="42">
        <f>CP33*CQ33</f>
        <v>261</v>
      </c>
      <c r="CS33" s="42">
        <f>CP33*(CQ33-CQ37)^2</f>
        <v>12.79680236311985</v>
      </c>
      <c r="CT33" s="42">
        <f>CP33*CO33^2/12</f>
        <v>857.42578125</v>
      </c>
      <c r="CU33" s="43">
        <f>CS33+CT33</f>
        <v>870.22258361311981</v>
      </c>
      <c r="CV33" s="65" t="s">
        <v>152</v>
      </c>
      <c r="CW33" s="41">
        <f>CX23</f>
        <v>1</v>
      </c>
      <c r="CX33" s="41">
        <f>CW23</f>
        <v>19.5</v>
      </c>
      <c r="CY33" s="57">
        <f>CW33*CX33</f>
        <v>19.5</v>
      </c>
      <c r="CZ33" s="42">
        <f>DC8+CZ9/2</f>
        <v>12</v>
      </c>
      <c r="DA33" s="42">
        <f>CY33*CZ33</f>
        <v>234</v>
      </c>
      <c r="DB33" s="42">
        <f>CY33*(CZ33-CZ37)^2</f>
        <v>68.5546875</v>
      </c>
      <c r="DC33" s="42">
        <f>CY33*CX33^2/12</f>
        <v>617.90625</v>
      </c>
      <c r="DD33" s="43">
        <f>DB33+DC33</f>
        <v>686.4609375</v>
      </c>
      <c r="DE33" s="65" t="s">
        <v>152</v>
      </c>
      <c r="DF33" s="41">
        <f>DG23</f>
        <v>0.875</v>
      </c>
      <c r="DG33" s="41">
        <f>DF23</f>
        <v>10</v>
      </c>
      <c r="DH33" s="57">
        <f>DF33*DG33</f>
        <v>8.75</v>
      </c>
      <c r="DI33" s="42">
        <f>DL8+DI9/2</f>
        <v>12</v>
      </c>
      <c r="DJ33" s="42">
        <f>DH33*DI33</f>
        <v>105</v>
      </c>
      <c r="DK33" s="42">
        <f>DH33*(DI33-DI37)^2</f>
        <v>3.9619180714472786</v>
      </c>
      <c r="DL33" s="42">
        <f>DH33*DG33^2/12</f>
        <v>72.916666666666671</v>
      </c>
      <c r="DM33" s="43">
        <f>DK33+DL33</f>
        <v>76.878584738113943</v>
      </c>
      <c r="DN33" s="65" t="s">
        <v>152</v>
      </c>
      <c r="DO33" s="41">
        <f>DP23</f>
        <v>0.625</v>
      </c>
      <c r="DP33" s="41">
        <f>DO23</f>
        <v>10.5</v>
      </c>
      <c r="DQ33" s="57">
        <f>DO33*DP33</f>
        <v>6.5625</v>
      </c>
      <c r="DR33" s="42">
        <f>DU8+DR9/2</f>
        <v>12</v>
      </c>
      <c r="DS33" s="42">
        <f>DQ33*DR33</f>
        <v>78.75</v>
      </c>
      <c r="DT33" s="42">
        <f>DQ33*(DR33-DR37)^2</f>
        <v>1.6714341863918234</v>
      </c>
      <c r="DU33" s="42">
        <f>DQ33*DP33^2/12</f>
        <v>60.29296875</v>
      </c>
      <c r="DV33" s="43">
        <f>DT33+DU33</f>
        <v>61.964402936391821</v>
      </c>
      <c r="DW33" s="65" t="s">
        <v>152</v>
      </c>
      <c r="DX33" s="41">
        <f>DY23</f>
        <v>0.375</v>
      </c>
      <c r="DY33" s="41">
        <f>DX23</f>
        <v>11.25</v>
      </c>
      <c r="DZ33" s="57">
        <f>DX33*DY33</f>
        <v>4.21875</v>
      </c>
      <c r="EA33" s="42">
        <f>ED8+EA9/2</f>
        <v>12</v>
      </c>
      <c r="EB33" s="42">
        <f>DZ33*EA33</f>
        <v>50.625</v>
      </c>
      <c r="EC33" s="42">
        <f>DZ33*(EA33-EA37)^2</f>
        <v>0.224667159763312</v>
      </c>
      <c r="ED33" s="42">
        <f>DZ33*DY33^2/12</f>
        <v>44.49462890625</v>
      </c>
      <c r="EE33" s="43">
        <f>EC33+ED33</f>
        <v>44.719296066013314</v>
      </c>
      <c r="EF33" s="65" t="s">
        <v>152</v>
      </c>
      <c r="EG33" s="41">
        <f>EH23</f>
        <v>1</v>
      </c>
      <c r="EH33" s="41">
        <f>EG23</f>
        <v>9.5</v>
      </c>
      <c r="EI33" s="57">
        <f>EG33*EH33</f>
        <v>9.5</v>
      </c>
      <c r="EJ33" s="42">
        <f>EM8+EJ9/2</f>
        <v>12</v>
      </c>
      <c r="EK33" s="42">
        <f>EI33*EJ33</f>
        <v>114</v>
      </c>
      <c r="EL33" s="42">
        <f>EI33*(EJ33-EJ37)^2</f>
        <v>7.3385238647460938</v>
      </c>
      <c r="EM33" s="42">
        <f>EI33*EH33^2/12</f>
        <v>71.447916666666671</v>
      </c>
      <c r="EN33" s="43">
        <f>EL33+EM33</f>
        <v>78.786440531412765</v>
      </c>
      <c r="EO33" s="65" t="s">
        <v>152</v>
      </c>
      <c r="EP33" s="41">
        <f>EQ23</f>
        <v>0.625</v>
      </c>
      <c r="EQ33" s="41">
        <f>EP23</f>
        <v>11.25</v>
      </c>
      <c r="ER33" s="57">
        <f>EP33*EQ33</f>
        <v>7.03125</v>
      </c>
      <c r="ES33" s="42">
        <f>EV8+ES9/2</f>
        <v>12</v>
      </c>
      <c r="ET33" s="42">
        <f>ER33*ES33</f>
        <v>84.375</v>
      </c>
      <c r="EU33" s="42">
        <f>ER33*(ES33-ES37)^2</f>
        <v>0.23720585172844874</v>
      </c>
      <c r="EV33" s="42">
        <f>ER33*EQ33^2/12</f>
        <v>74.15771484375</v>
      </c>
      <c r="EW33" s="43">
        <f>EU33+EV33</f>
        <v>74.394920695478447</v>
      </c>
      <c r="EX33" s="65" t="s">
        <v>152</v>
      </c>
      <c r="EY33" s="41">
        <f>EZ23</f>
        <v>0.375</v>
      </c>
      <c r="EZ33" s="41">
        <f>EY23</f>
        <v>11.25</v>
      </c>
      <c r="FA33" s="57">
        <f>EY33*EZ33</f>
        <v>4.21875</v>
      </c>
      <c r="FB33" s="42">
        <f>FE8+FB9/2</f>
        <v>12</v>
      </c>
      <c r="FC33" s="42">
        <f>FA33*FB33</f>
        <v>50.625</v>
      </c>
      <c r="FD33" s="42">
        <f>FA33*(FB33-FB37)^2</f>
        <v>0.224667159763312</v>
      </c>
      <c r="FE33" s="42">
        <f>FA33*EZ33^2/12</f>
        <v>44.49462890625</v>
      </c>
      <c r="FF33" s="42">
        <f>FD33+FE33</f>
        <v>44.719296066013314</v>
      </c>
    </row>
    <row r="34" spans="1:162" s="6" customFormat="1" ht="14.25" customHeight="1">
      <c r="A34" s="23"/>
      <c r="B34" s="118" t="s">
        <v>18</v>
      </c>
      <c r="C34" s="105">
        <f t="shared" si="57"/>
        <v>173.33366666666666</v>
      </c>
      <c r="D34" s="108">
        <v>-19.135000000000002</v>
      </c>
      <c r="E34" s="114">
        <v>9.7236584504573571</v>
      </c>
      <c r="F34" s="85"/>
      <c r="G34" s="98"/>
      <c r="I34" s="24"/>
      <c r="J34" s="24"/>
      <c r="K34" s="141" t="s">
        <v>110</v>
      </c>
      <c r="L34" s="145" t="str">
        <f>L31</f>
        <v>S3</v>
      </c>
      <c r="M34" s="153" t="s">
        <v>87</v>
      </c>
      <c r="N34" s="164">
        <v>852.69</v>
      </c>
      <c r="O34" s="164">
        <v>485.87700000000001</v>
      </c>
      <c r="P34" s="164">
        <v>36.877000000000002</v>
      </c>
      <c r="Q34" s="164">
        <v>1495.7190000000001</v>
      </c>
      <c r="R34" s="169" t="s">
        <v>175</v>
      </c>
      <c r="T34" s="141" t="s">
        <v>165</v>
      </c>
      <c r="U34" s="145" t="str">
        <f>U26</f>
        <v>S14</v>
      </c>
      <c r="V34" s="87" t="s">
        <v>100</v>
      </c>
      <c r="W34" s="151">
        <v>-6.7380000000000004</v>
      </c>
      <c r="X34" s="151">
        <v>0.223</v>
      </c>
      <c r="Y34" s="167">
        <v>1.7000000000000001E-2</v>
      </c>
      <c r="Z34" s="151">
        <v>-15.573</v>
      </c>
      <c r="AK34" s="66" t="s">
        <v>153</v>
      </c>
      <c r="AL34" s="41">
        <f>AM24</f>
        <v>30</v>
      </c>
      <c r="AM34" s="41">
        <f>AL24</f>
        <v>0.5</v>
      </c>
      <c r="AN34" s="57">
        <f t="shared" ref="AN34:AN36" si="58">AL34*AM34</f>
        <v>15</v>
      </c>
      <c r="AO34" s="42">
        <f>AM34/2</f>
        <v>0.25</v>
      </c>
      <c r="AP34" s="42">
        <f>AN34*AO34</f>
        <v>3.75</v>
      </c>
      <c r="AQ34" s="42">
        <f>AN34*(AO34-AO37)^2</f>
        <v>1943.9818188578231</v>
      </c>
      <c r="AR34" s="42">
        <f t="shared" ref="AR34:AR36" si="59">AN34*AM34^2/12</f>
        <v>0.3125</v>
      </c>
      <c r="AS34" s="43">
        <f t="shared" ref="AS34:AS36" si="60">AQ34+AR34</f>
        <v>1944.2943188578231</v>
      </c>
      <c r="AT34" s="66" t="s">
        <v>153</v>
      </c>
      <c r="AU34" s="41">
        <f>AV24</f>
        <v>30</v>
      </c>
      <c r="AV34" s="41">
        <f>AU24</f>
        <v>1.125</v>
      </c>
      <c r="AW34" s="57">
        <f t="shared" ref="AW34:AW36" si="61">AU34*AV34</f>
        <v>33.75</v>
      </c>
      <c r="AX34" s="42">
        <f>AV34/2</f>
        <v>0.5625</v>
      </c>
      <c r="AY34" s="42">
        <f t="shared" ref="AY34:AY36" si="62">AW34*AX34</f>
        <v>18.984375</v>
      </c>
      <c r="AZ34" s="42">
        <f>AW34*(AX34-AX37)^2</f>
        <v>3674.7365253691546</v>
      </c>
      <c r="BA34" s="42">
        <f t="shared" ref="BA34:BA36" si="63">AW34*AV34^2/12</f>
        <v>3.5595703125</v>
      </c>
      <c r="BB34" s="43">
        <f t="shared" ref="BB34:BB36" si="64">AZ34+BA34</f>
        <v>3678.2960956816546</v>
      </c>
      <c r="BC34" s="66" t="s">
        <v>153</v>
      </c>
      <c r="BD34" s="41">
        <f>BE24</f>
        <v>30</v>
      </c>
      <c r="BE34" s="41">
        <f>BD24</f>
        <v>1</v>
      </c>
      <c r="BF34" s="57">
        <f t="shared" ref="BF34:BF36" si="65">BD34*BE34</f>
        <v>30</v>
      </c>
      <c r="BG34" s="42">
        <f>BE34/2</f>
        <v>0.5</v>
      </c>
      <c r="BH34" s="42">
        <f t="shared" ref="BH34:BH36" si="66">BF34*BG34</f>
        <v>15</v>
      </c>
      <c r="BI34" s="42">
        <f>BF34*(BG34-BG37)^2</f>
        <v>3434.6999999999994</v>
      </c>
      <c r="BJ34" s="42">
        <f t="shared" ref="BJ34:BJ36" si="67">BF34*BE34^2/12</f>
        <v>2.5</v>
      </c>
      <c r="BK34" s="43">
        <f t="shared" ref="BK34:BK36" si="68">BI34+BJ34</f>
        <v>3437.1999999999994</v>
      </c>
      <c r="BL34" s="66" t="s">
        <v>153</v>
      </c>
      <c r="BM34" s="41">
        <f>BN24</f>
        <v>30</v>
      </c>
      <c r="BN34" s="41">
        <f>BM24</f>
        <v>1.75</v>
      </c>
      <c r="BO34" s="57">
        <f t="shared" ref="BO34:BO36" si="69">BM34*BN34</f>
        <v>52.5</v>
      </c>
      <c r="BP34" s="42">
        <f>BN34/2</f>
        <v>0.875</v>
      </c>
      <c r="BQ34" s="42">
        <f t="shared" ref="BQ34:BQ36" si="70">BO34*BP34</f>
        <v>45.9375</v>
      </c>
      <c r="BR34" s="42">
        <f>BO34*(BP34-BP37)^2</f>
        <v>4857.4219379871001</v>
      </c>
      <c r="BS34" s="42">
        <f t="shared" ref="BS34:BS36" si="71">BO34*BN34^2/12</f>
        <v>13.3984375</v>
      </c>
      <c r="BT34" s="43">
        <f t="shared" ref="BT34:BT36" si="72">BR34+BS34</f>
        <v>4870.8203754871001</v>
      </c>
      <c r="BU34" s="66" t="s">
        <v>153</v>
      </c>
      <c r="BV34" s="41">
        <f>BW24</f>
        <v>30</v>
      </c>
      <c r="BW34" s="41">
        <f>BV24</f>
        <v>0.75</v>
      </c>
      <c r="BX34" s="57">
        <f t="shared" ref="BX34:BX36" si="73">BV34*BW34</f>
        <v>22.5</v>
      </c>
      <c r="BY34" s="42">
        <f>BW34/2</f>
        <v>0.375</v>
      </c>
      <c r="BZ34" s="42">
        <f t="shared" ref="BZ34:BZ36" si="74">BX34*BY34</f>
        <v>8.4375</v>
      </c>
      <c r="CA34" s="42">
        <f>BX34*(BY34-BY37)^2</f>
        <v>2777.5793686224488</v>
      </c>
      <c r="CB34" s="42">
        <f t="shared" ref="CB34:CB36" si="75">BX34*BW34^2/12</f>
        <v>1.0546875</v>
      </c>
      <c r="CC34" s="43">
        <f t="shared" ref="CC34:CC36" si="76">CA34+CB34</f>
        <v>2778.6340561224488</v>
      </c>
      <c r="CD34" s="66" t="s">
        <v>153</v>
      </c>
      <c r="CE34" s="41">
        <f>CF24</f>
        <v>30</v>
      </c>
      <c r="CF34" s="41">
        <f>CE24</f>
        <v>1</v>
      </c>
      <c r="CG34" s="57">
        <f t="shared" ref="CG34:CG36" si="77">CE34*CF34</f>
        <v>30</v>
      </c>
      <c r="CH34" s="42">
        <f>CF34/2</f>
        <v>0.5</v>
      </c>
      <c r="CI34" s="42">
        <f t="shared" ref="CI34:CI36" si="78">CG34*CH34</f>
        <v>15</v>
      </c>
      <c r="CJ34" s="42">
        <f>CG34*(CH34-CH37)^2</f>
        <v>3489.9489795918371</v>
      </c>
      <c r="CK34" s="42">
        <f t="shared" ref="CK34:CK36" si="79">CG34*CF34^2/12</f>
        <v>2.5</v>
      </c>
      <c r="CL34" s="43">
        <f t="shared" ref="CL34:CL36" si="80">CJ34+CK34</f>
        <v>3492.4489795918371</v>
      </c>
      <c r="CM34" s="66" t="s">
        <v>153</v>
      </c>
      <c r="CN34" s="41">
        <f>CO24</f>
        <v>30</v>
      </c>
      <c r="CO34" s="41">
        <f>CN24</f>
        <v>1.125</v>
      </c>
      <c r="CP34" s="57">
        <f t="shared" ref="CP34:CP36" si="81">CN34*CO34</f>
        <v>33.75</v>
      </c>
      <c r="CQ34" s="42">
        <f>CO34/2</f>
        <v>0.5625</v>
      </c>
      <c r="CR34" s="42">
        <f t="shared" ref="CR34:CR36" si="82">CP34*CQ34</f>
        <v>18.984375</v>
      </c>
      <c r="CS34" s="42">
        <f>CP34*(CQ34-CQ37)^2</f>
        <v>3842.72775697314</v>
      </c>
      <c r="CT34" s="42">
        <f t="shared" ref="CT34:CT36" si="83">CP34*CO34^2/12</f>
        <v>3.5595703125</v>
      </c>
      <c r="CU34" s="43">
        <f t="shared" ref="CU34:CU36" si="84">CS34+CT34</f>
        <v>3846.28732728564</v>
      </c>
      <c r="CV34" s="66" t="s">
        <v>153</v>
      </c>
      <c r="CW34" s="41">
        <f>CX24</f>
        <v>30</v>
      </c>
      <c r="CX34" s="41">
        <f>CW24</f>
        <v>2.25</v>
      </c>
      <c r="CY34" s="57">
        <f t="shared" ref="CY34:CY36" si="85">CW34*CX34</f>
        <v>67.5</v>
      </c>
      <c r="CZ34" s="42">
        <f>CX34/2</f>
        <v>1.125</v>
      </c>
      <c r="DA34" s="42">
        <f t="shared" ref="DA34:DA36" si="86">CY34*CZ34</f>
        <v>75.9375</v>
      </c>
      <c r="DB34" s="42">
        <f>CY34*(CZ34-CZ37)^2</f>
        <v>5467.5</v>
      </c>
      <c r="DC34" s="42">
        <f t="shared" ref="DC34:DC36" si="87">CY34*CX34^2/12</f>
        <v>28.4765625</v>
      </c>
      <c r="DD34" s="43">
        <f t="shared" ref="DD34:DD36" si="88">DB34+DC34</f>
        <v>5495.9765625</v>
      </c>
      <c r="DE34" s="66" t="s">
        <v>153</v>
      </c>
      <c r="DF34" s="41">
        <f>DG24</f>
        <v>18</v>
      </c>
      <c r="DG34" s="41">
        <f>DF24</f>
        <v>1</v>
      </c>
      <c r="DH34" s="57">
        <f t="shared" ref="DH34:DH36" si="89">DF34*DG34</f>
        <v>18</v>
      </c>
      <c r="DI34" s="42">
        <f>DG34/2</f>
        <v>0.5</v>
      </c>
      <c r="DJ34" s="42">
        <f t="shared" ref="DJ34:DJ36" si="90">DH34*DI34</f>
        <v>9</v>
      </c>
      <c r="DK34" s="42">
        <f>DH34*(DI34-DI37)^2</f>
        <v>2110.0707922089268</v>
      </c>
      <c r="DL34" s="42">
        <f t="shared" ref="DL34:DL36" si="91">DH34*DG34^2/12</f>
        <v>1.5</v>
      </c>
      <c r="DM34" s="43">
        <f t="shared" ref="DM34:DM36" si="92">DK34+DL34</f>
        <v>2111.5707922089268</v>
      </c>
      <c r="DN34" s="66" t="s">
        <v>153</v>
      </c>
      <c r="DO34" s="41">
        <f>DP24</f>
        <v>18</v>
      </c>
      <c r="DP34" s="41">
        <f>DO24</f>
        <v>0.75</v>
      </c>
      <c r="DQ34" s="57">
        <f t="shared" ref="DQ34:DQ36" si="93">DO34*DP34</f>
        <v>13.5</v>
      </c>
      <c r="DR34" s="42">
        <f>DP34/2</f>
        <v>0.375</v>
      </c>
      <c r="DS34" s="42">
        <f t="shared" ref="DS34:DS36" si="94">DQ34*DR34</f>
        <v>5.0625</v>
      </c>
      <c r="DT34" s="42">
        <f>DQ34*(DR34-DR37)^2</f>
        <v>1669.4326107902436</v>
      </c>
      <c r="DU34" s="42">
        <f t="shared" ref="DU34:DU36" si="95">DQ34*DP34^2/12</f>
        <v>0.6328125</v>
      </c>
      <c r="DV34" s="43">
        <f t="shared" ref="DV34:DV36" si="96">DT34+DU34</f>
        <v>1670.0654232902436</v>
      </c>
      <c r="DW34" s="66" t="s">
        <v>153</v>
      </c>
      <c r="DX34" s="41">
        <f>DY24</f>
        <v>18</v>
      </c>
      <c r="DY34" s="41">
        <f>DX24</f>
        <v>0.375</v>
      </c>
      <c r="DZ34" s="57">
        <f t="shared" ref="DZ34:DZ36" si="97">DX34*DY34</f>
        <v>6.75</v>
      </c>
      <c r="EA34" s="42">
        <f>DY34/2</f>
        <v>0.1875</v>
      </c>
      <c r="EB34" s="42">
        <f t="shared" ref="EB34:EB36" si="98">DZ34*EA34</f>
        <v>1.265625</v>
      </c>
      <c r="EC34" s="42">
        <f>DZ34*(EA34-EA37)^2</f>
        <v>905.42129137389077</v>
      </c>
      <c r="ED34" s="42">
        <f t="shared" ref="ED34:ED36" si="99">DZ34*DY34^2/12</f>
        <v>7.91015625E-2</v>
      </c>
      <c r="EE34" s="43">
        <f t="shared" ref="EE34:EE36" si="100">EC34+ED34</f>
        <v>905.50039293639077</v>
      </c>
      <c r="EF34" s="66" t="s">
        <v>153</v>
      </c>
      <c r="EG34" s="41">
        <f>EH24</f>
        <v>18</v>
      </c>
      <c r="EH34" s="41">
        <f>EG24</f>
        <v>1.25</v>
      </c>
      <c r="EI34" s="57">
        <f t="shared" ref="EI34:EI36" si="101">EG34*EH34</f>
        <v>22.5</v>
      </c>
      <c r="EJ34" s="42">
        <f>EH34/2</f>
        <v>0.625</v>
      </c>
      <c r="EK34" s="42">
        <f t="shared" ref="EK34:EK36" si="102">EI34*EJ34</f>
        <v>14.0625</v>
      </c>
      <c r="EL34" s="42">
        <f>EI34*(EJ34-EJ37)^2</f>
        <v>2478.7796401977539</v>
      </c>
      <c r="EM34" s="42">
        <f t="shared" ref="EM34:EM36" si="103">EI34*EH34^2/12</f>
        <v>2.9296875</v>
      </c>
      <c r="EN34" s="43">
        <f t="shared" ref="EN34:EN36" si="104">EL34+EM34</f>
        <v>2481.7093276977539</v>
      </c>
      <c r="EO34" s="66" t="s">
        <v>153</v>
      </c>
      <c r="EP34" s="41">
        <f>EQ24</f>
        <v>18</v>
      </c>
      <c r="EQ34" s="41">
        <f>EP24</f>
        <v>0.375</v>
      </c>
      <c r="ER34" s="57">
        <f t="shared" ref="ER34:ER36" si="105">EP34*EQ34</f>
        <v>6.75</v>
      </c>
      <c r="ES34" s="42">
        <f>EQ34/2</f>
        <v>0.1875</v>
      </c>
      <c r="ET34" s="42">
        <f t="shared" ref="ET34:ET36" si="106">ER34*ES34</f>
        <v>1.265625</v>
      </c>
      <c r="EU34" s="42">
        <f>ER34*(ES34-ES37)^2</f>
        <v>912.79984373373065</v>
      </c>
      <c r="EV34" s="42">
        <f t="shared" ref="EV34:EV36" si="107">ER34*EQ34^2/12</f>
        <v>7.91015625E-2</v>
      </c>
      <c r="EW34" s="43">
        <f t="shared" ref="EW34:EW36" si="108">EU34+EV34</f>
        <v>912.87894529623065</v>
      </c>
      <c r="EX34" s="66" t="s">
        <v>153</v>
      </c>
      <c r="EY34" s="41">
        <f>EZ24</f>
        <v>18</v>
      </c>
      <c r="EZ34" s="41">
        <f>EY24</f>
        <v>0.375</v>
      </c>
      <c r="FA34" s="57">
        <f t="shared" ref="FA34:FA36" si="109">EY34*EZ34</f>
        <v>6.75</v>
      </c>
      <c r="FB34" s="42">
        <f>EZ34/2</f>
        <v>0.1875</v>
      </c>
      <c r="FC34" s="42">
        <f t="shared" ref="FC34:FC36" si="110">FA34*FB34</f>
        <v>1.265625</v>
      </c>
      <c r="FD34" s="42">
        <f>FA34*(FB34-FB37)^2</f>
        <v>905.42129137389077</v>
      </c>
      <c r="FE34" s="42">
        <f t="shared" ref="FE34:FE36" si="111">FA34*EZ34^2/12</f>
        <v>7.91015625E-2</v>
      </c>
      <c r="FF34" s="42">
        <f t="shared" ref="FF34:FF36" si="112">FD34+FE34</f>
        <v>905.50039293639077</v>
      </c>
    </row>
    <row r="35" spans="1:162" s="6" customFormat="1" ht="15" customHeight="1">
      <c r="A35" s="25"/>
      <c r="B35" s="119" t="s">
        <v>41</v>
      </c>
      <c r="C35" s="109">
        <f t="shared" si="57"/>
        <v>195.00033333333332</v>
      </c>
      <c r="D35" s="110">
        <v>-21.5</v>
      </c>
      <c r="E35" s="115">
        <v>7.1326698438338179</v>
      </c>
      <c r="F35" s="95"/>
      <c r="G35" s="99"/>
      <c r="I35" s="24"/>
      <c r="J35" s="24"/>
      <c r="K35" s="141" t="s">
        <v>110</v>
      </c>
      <c r="L35" s="145" t="str">
        <f>AC17</f>
        <v>S4</v>
      </c>
      <c r="M35" s="153" t="s">
        <v>88</v>
      </c>
      <c r="N35" s="164">
        <v>2167.8760000000002</v>
      </c>
      <c r="O35" s="164">
        <v>1229.2329999999999</v>
      </c>
      <c r="P35" s="164">
        <v>93.275000000000006</v>
      </c>
      <c r="Q35" s="164">
        <v>3809.797</v>
      </c>
      <c r="T35" s="141" t="s">
        <v>165</v>
      </c>
      <c r="U35" s="145" t="str">
        <f>U25</f>
        <v>S13</v>
      </c>
      <c r="V35" s="87" t="s">
        <v>101</v>
      </c>
      <c r="W35" s="151">
        <v>136.185</v>
      </c>
      <c r="X35" s="151">
        <v>81.448999999999998</v>
      </c>
      <c r="Y35" s="167">
        <v>6.12</v>
      </c>
      <c r="Z35" s="151">
        <v>231.697</v>
      </c>
      <c r="AC35" s="159" t="s">
        <v>184</v>
      </c>
      <c r="AD35" s="161"/>
      <c r="AE35" s="161"/>
      <c r="AF35" s="36"/>
      <c r="AG35" s="36"/>
      <c r="AH35" s="172" t="s">
        <v>328</v>
      </c>
      <c r="AK35" s="66" t="s">
        <v>159</v>
      </c>
      <c r="AL35" s="41">
        <f>AL34</f>
        <v>30</v>
      </c>
      <c r="AM35" s="41">
        <f>AM34</f>
        <v>0.5</v>
      </c>
      <c r="AN35" s="57">
        <f>AL35*AM35</f>
        <v>15</v>
      </c>
      <c r="AO35" s="42">
        <f>AO9-AM35/2</f>
        <v>22.75</v>
      </c>
      <c r="AP35" s="42">
        <f>AN35*AO35</f>
        <v>341.25</v>
      </c>
      <c r="AQ35" s="42">
        <f>AN35*(AO35-AO37)^2</f>
        <v>1853.4330383700176</v>
      </c>
      <c r="AR35" s="42">
        <f t="shared" si="59"/>
        <v>0.3125</v>
      </c>
      <c r="AS35" s="43">
        <f>AQ35+AR35</f>
        <v>1853.7455383700176</v>
      </c>
      <c r="AT35" s="66" t="s">
        <v>159</v>
      </c>
      <c r="AU35" s="41">
        <f>AU34</f>
        <v>30</v>
      </c>
      <c r="AV35" s="41">
        <f>AV34</f>
        <v>1.125</v>
      </c>
      <c r="AW35" s="57">
        <f t="shared" si="61"/>
        <v>33.75</v>
      </c>
      <c r="AX35" s="42">
        <f>AX9-AV35/2</f>
        <v>20.9375</v>
      </c>
      <c r="AY35" s="42">
        <f t="shared" si="62"/>
        <v>706.640625</v>
      </c>
      <c r="AZ35" s="42">
        <f>AW35*(AX35-AX37)^2</f>
        <v>3334.8832919876522</v>
      </c>
      <c r="BA35" s="42">
        <f t="shared" si="63"/>
        <v>3.5595703125</v>
      </c>
      <c r="BB35" s="43">
        <f t="shared" si="64"/>
        <v>3338.4428623001522</v>
      </c>
      <c r="BC35" s="66" t="s">
        <v>159</v>
      </c>
      <c r="BD35" s="41">
        <f>BD34</f>
        <v>30</v>
      </c>
      <c r="BE35" s="41">
        <f>BE34</f>
        <v>1</v>
      </c>
      <c r="BF35" s="57">
        <f t="shared" si="65"/>
        <v>30</v>
      </c>
      <c r="BG35" s="42">
        <f>BG9-BE35/2</f>
        <v>21.5</v>
      </c>
      <c r="BH35" s="42">
        <f t="shared" si="66"/>
        <v>645</v>
      </c>
      <c r="BI35" s="42">
        <f>BF35*(BG35-BG37)^2</f>
        <v>3182.7000000000007</v>
      </c>
      <c r="BJ35" s="42">
        <f t="shared" si="67"/>
        <v>2.5</v>
      </c>
      <c r="BK35" s="43">
        <f t="shared" si="68"/>
        <v>3185.2000000000007</v>
      </c>
      <c r="BL35" s="66" t="s">
        <v>159</v>
      </c>
      <c r="BM35" s="41">
        <f>BM34</f>
        <v>30</v>
      </c>
      <c r="BN35" s="41">
        <f>BN34</f>
        <v>1.75</v>
      </c>
      <c r="BO35" s="57">
        <f t="shared" si="69"/>
        <v>52.5</v>
      </c>
      <c r="BP35" s="42">
        <f>BP9-BN35/2</f>
        <v>19.625</v>
      </c>
      <c r="BQ35" s="42">
        <f t="shared" si="70"/>
        <v>1030.3125</v>
      </c>
      <c r="BR35" s="42">
        <f>BO35*(BP35-BP37)^2</f>
        <v>4377.3374092985759</v>
      </c>
      <c r="BS35" s="42">
        <f t="shared" si="71"/>
        <v>13.3984375</v>
      </c>
      <c r="BT35" s="43">
        <f t="shared" si="72"/>
        <v>4390.7358467985759</v>
      </c>
      <c r="BU35" s="66" t="s">
        <v>159</v>
      </c>
      <c r="BV35" s="41">
        <f>BV34</f>
        <v>30</v>
      </c>
      <c r="BW35" s="41">
        <f>BW34</f>
        <v>0.75</v>
      </c>
      <c r="BX35" s="57">
        <f t="shared" si="73"/>
        <v>22.5</v>
      </c>
      <c r="BY35" s="42">
        <f>BY9-BW35/2</f>
        <v>22.125</v>
      </c>
      <c r="BZ35" s="42">
        <f t="shared" si="74"/>
        <v>497.8125</v>
      </c>
      <c r="CA35" s="42">
        <f>BX35*(BY35-BY37)^2</f>
        <v>2546.8740114795919</v>
      </c>
      <c r="CB35" s="42">
        <f t="shared" si="75"/>
        <v>1.0546875</v>
      </c>
      <c r="CC35" s="43">
        <f t="shared" si="76"/>
        <v>2547.9286989795919</v>
      </c>
      <c r="CD35" s="66" t="s">
        <v>159</v>
      </c>
      <c r="CE35" s="41">
        <f>CE34</f>
        <v>30</v>
      </c>
      <c r="CF35" s="41">
        <f>CF34</f>
        <v>1</v>
      </c>
      <c r="CG35" s="57">
        <f t="shared" si="77"/>
        <v>30</v>
      </c>
      <c r="CH35" s="42">
        <f>CH9-CF35/2</f>
        <v>21.5</v>
      </c>
      <c r="CI35" s="42">
        <f t="shared" si="78"/>
        <v>645</v>
      </c>
      <c r="CJ35" s="42">
        <f>CG35*(CH35-CH37)^2</f>
        <v>3129.9489795918362</v>
      </c>
      <c r="CK35" s="42">
        <f t="shared" si="79"/>
        <v>2.5</v>
      </c>
      <c r="CL35" s="43">
        <f t="shared" si="80"/>
        <v>3132.4489795918362</v>
      </c>
      <c r="CM35" s="66" t="s">
        <v>159</v>
      </c>
      <c r="CN35" s="41">
        <f>CN34</f>
        <v>30</v>
      </c>
      <c r="CO35" s="41">
        <f>CO34</f>
        <v>1.125</v>
      </c>
      <c r="CP35" s="57">
        <f t="shared" si="81"/>
        <v>33.75</v>
      </c>
      <c r="CQ35" s="42">
        <f>CQ9-CO35/2</f>
        <v>21.1875</v>
      </c>
      <c r="CR35" s="42">
        <f t="shared" si="82"/>
        <v>715.078125</v>
      </c>
      <c r="CS35" s="42">
        <f>CP35*(CQ35-CQ37)^2</f>
        <v>3344.3879132231409</v>
      </c>
      <c r="CT35" s="42">
        <f t="shared" si="83"/>
        <v>3.5595703125</v>
      </c>
      <c r="CU35" s="43">
        <f t="shared" si="84"/>
        <v>3347.9474835356409</v>
      </c>
      <c r="CV35" s="66" t="s">
        <v>159</v>
      </c>
      <c r="CW35" s="41">
        <f>CW34</f>
        <v>30</v>
      </c>
      <c r="CX35" s="41">
        <f>CX34</f>
        <v>2.25</v>
      </c>
      <c r="CY35" s="57">
        <f t="shared" si="85"/>
        <v>67.5</v>
      </c>
      <c r="CZ35" s="42">
        <f>CZ9-CX35/2</f>
        <v>18.375</v>
      </c>
      <c r="DA35" s="42">
        <f t="shared" si="86"/>
        <v>1240.3125</v>
      </c>
      <c r="DB35" s="42">
        <f>CY35*(CZ35-CZ37)^2</f>
        <v>4594.21875</v>
      </c>
      <c r="DC35" s="42">
        <f t="shared" si="87"/>
        <v>28.4765625</v>
      </c>
      <c r="DD35" s="43">
        <f t="shared" si="88"/>
        <v>4622.6953125</v>
      </c>
      <c r="DE35" s="66" t="s">
        <v>159</v>
      </c>
      <c r="DF35" s="41">
        <f>DF34</f>
        <v>18</v>
      </c>
      <c r="DG35" s="41">
        <f>DG34</f>
        <v>1</v>
      </c>
      <c r="DH35" s="57">
        <f t="shared" si="89"/>
        <v>18</v>
      </c>
      <c r="DI35" s="42">
        <f>DI9-DG35/2</f>
        <v>21.5</v>
      </c>
      <c r="DJ35" s="42">
        <f t="shared" si="90"/>
        <v>387</v>
      </c>
      <c r="DK35" s="42">
        <f>DH35*(DI35-DI37)^2</f>
        <v>1862.781072582758</v>
      </c>
      <c r="DL35" s="42">
        <f t="shared" si="91"/>
        <v>1.5</v>
      </c>
      <c r="DM35" s="43">
        <f t="shared" si="92"/>
        <v>1864.281072582758</v>
      </c>
      <c r="DN35" s="66" t="s">
        <v>159</v>
      </c>
      <c r="DO35" s="41">
        <f>DO34</f>
        <v>18</v>
      </c>
      <c r="DP35" s="41">
        <f>DP34</f>
        <v>0.75</v>
      </c>
      <c r="DQ35" s="57">
        <f t="shared" si="93"/>
        <v>13.5</v>
      </c>
      <c r="DR35" s="42">
        <f>DR9-DP35/2</f>
        <v>22.125</v>
      </c>
      <c r="DS35" s="42">
        <f t="shared" si="94"/>
        <v>298.6875</v>
      </c>
      <c r="DT35" s="42">
        <f>DQ35*(DR35-DR37)^2</f>
        <v>1525.3642696687484</v>
      </c>
      <c r="DU35" s="42">
        <f t="shared" si="95"/>
        <v>0.6328125</v>
      </c>
      <c r="DV35" s="43">
        <f t="shared" si="96"/>
        <v>1525.9970821687484</v>
      </c>
      <c r="DW35" s="66" t="s">
        <v>159</v>
      </c>
      <c r="DX35" s="41">
        <f>DX34</f>
        <v>18</v>
      </c>
      <c r="DY35" s="41">
        <f>DY34</f>
        <v>0.375</v>
      </c>
      <c r="DZ35" s="57">
        <f t="shared" si="97"/>
        <v>6.75</v>
      </c>
      <c r="EA35" s="42">
        <f>EA9-DY35/2</f>
        <v>23.0625</v>
      </c>
      <c r="EB35" s="42">
        <f t="shared" si="98"/>
        <v>155.671875</v>
      </c>
      <c r="EC35" s="42">
        <f>DZ35*(EA35-EA37)^2</f>
        <v>860.88102695081352</v>
      </c>
      <c r="ED35" s="42">
        <f t="shared" si="99"/>
        <v>7.91015625E-2</v>
      </c>
      <c r="EE35" s="43">
        <f t="shared" si="100"/>
        <v>860.96012851331352</v>
      </c>
      <c r="EF35" s="66" t="s">
        <v>159</v>
      </c>
      <c r="EG35" s="41">
        <f>EG34</f>
        <v>18</v>
      </c>
      <c r="EH35" s="41">
        <f>EH34</f>
        <v>1.25</v>
      </c>
      <c r="EI35" s="57">
        <f t="shared" si="101"/>
        <v>22.5</v>
      </c>
      <c r="EJ35" s="42">
        <f>EJ9-EH35/2</f>
        <v>20.875</v>
      </c>
      <c r="EK35" s="42">
        <f t="shared" si="102"/>
        <v>469.6875</v>
      </c>
      <c r="EL35" s="42">
        <f>EI35*(EJ35-EJ37)^2</f>
        <v>2140.6204605102539</v>
      </c>
      <c r="EM35" s="42">
        <f t="shared" si="103"/>
        <v>2.9296875</v>
      </c>
      <c r="EN35" s="43">
        <f t="shared" si="104"/>
        <v>2143.5501480102539</v>
      </c>
      <c r="EO35" s="66" t="s">
        <v>159</v>
      </c>
      <c r="EP35" s="41">
        <f>EP34</f>
        <v>18</v>
      </c>
      <c r="EQ35" s="41">
        <f>EQ34</f>
        <v>0.375</v>
      </c>
      <c r="ER35" s="57">
        <f t="shared" si="105"/>
        <v>6.75</v>
      </c>
      <c r="ES35" s="42">
        <f>ES9-EQ35/2</f>
        <v>23.0625</v>
      </c>
      <c r="ET35" s="42">
        <f t="shared" si="106"/>
        <v>155.671875</v>
      </c>
      <c r="EU35" s="42">
        <f>ER35*(ES35-ES37)^2</f>
        <v>853.71581949903702</v>
      </c>
      <c r="EV35" s="42">
        <f t="shared" si="107"/>
        <v>7.91015625E-2</v>
      </c>
      <c r="EW35" s="43">
        <f t="shared" si="108"/>
        <v>853.79492106153702</v>
      </c>
      <c r="EX35" s="66" t="s">
        <v>159</v>
      </c>
      <c r="EY35" s="41">
        <f>EY34</f>
        <v>18</v>
      </c>
      <c r="EZ35" s="41">
        <f>EZ34</f>
        <v>0.375</v>
      </c>
      <c r="FA35" s="57">
        <f t="shared" si="109"/>
        <v>6.75</v>
      </c>
      <c r="FB35" s="42">
        <f>FB9-EZ35/2</f>
        <v>23.0625</v>
      </c>
      <c r="FC35" s="42">
        <f t="shared" si="110"/>
        <v>155.671875</v>
      </c>
      <c r="FD35" s="42">
        <f>FA35*(FB35-FB37)^2</f>
        <v>860.88102695081352</v>
      </c>
      <c r="FE35" s="42">
        <f t="shared" si="111"/>
        <v>7.91015625E-2</v>
      </c>
      <c r="FF35" s="42">
        <f t="shared" si="112"/>
        <v>860.96012851331352</v>
      </c>
    </row>
    <row r="36" spans="1:162" s="6" customFormat="1" ht="14.25" customHeight="1">
      <c r="A36" s="23"/>
      <c r="B36" s="118" t="s">
        <v>42</v>
      </c>
      <c r="C36" s="105">
        <f t="shared" si="57"/>
        <v>216.66699999999997</v>
      </c>
      <c r="D36" s="108">
        <v>-23.859000000000002</v>
      </c>
      <c r="E36" s="114">
        <v>10.562905857307181</v>
      </c>
      <c r="F36" s="85"/>
      <c r="G36" s="98"/>
      <c r="H36" s="25"/>
      <c r="I36" s="24"/>
      <c r="J36" s="24"/>
      <c r="K36" s="89" t="s">
        <v>110</v>
      </c>
      <c r="L36" s="146" t="str">
        <f>L35</f>
        <v>S4</v>
      </c>
      <c r="M36" s="152" t="s">
        <v>89</v>
      </c>
      <c r="N36" s="165">
        <v>2167.875</v>
      </c>
      <c r="O36" s="165">
        <v>1229.232</v>
      </c>
      <c r="P36" s="165">
        <v>93.275000000000006</v>
      </c>
      <c r="Q36" s="165">
        <v>3809.7939999999999</v>
      </c>
      <c r="T36" s="141" t="s">
        <v>165</v>
      </c>
      <c r="U36" s="145" t="str">
        <f>U25</f>
        <v>S13</v>
      </c>
      <c r="V36" s="87" t="s">
        <v>102</v>
      </c>
      <c r="W36" s="151">
        <v>-7.4729999999999999</v>
      </c>
      <c r="X36" s="151">
        <v>-7.0000000000000001E-3</v>
      </c>
      <c r="Y36" s="167">
        <v>-1E-3</v>
      </c>
      <c r="Z36" s="151">
        <v>-22.242000000000001</v>
      </c>
      <c r="AC36" s="161"/>
      <c r="AD36" s="161"/>
      <c r="AE36" s="161"/>
      <c r="AF36" s="36"/>
      <c r="AG36" s="36"/>
      <c r="AH36" s="36"/>
      <c r="AK36" s="67" t="s">
        <v>154</v>
      </c>
      <c r="AL36" s="41">
        <f>AL33</f>
        <v>0.5</v>
      </c>
      <c r="AM36" s="41">
        <f>AL26</f>
        <v>11</v>
      </c>
      <c r="AN36" s="58">
        <f t="shared" si="58"/>
        <v>5.5</v>
      </c>
      <c r="AO36" s="45">
        <f>AO33</f>
        <v>12</v>
      </c>
      <c r="AP36" s="45">
        <f>AN36*AO36</f>
        <v>66</v>
      </c>
      <c r="AQ36" s="45">
        <f>AN36*(AO36-AO37)^2</f>
        <v>0.73616894705532188</v>
      </c>
      <c r="AR36" s="45">
        <f t="shared" si="59"/>
        <v>55.458333333333336</v>
      </c>
      <c r="AS36" s="46">
        <f t="shared" si="60"/>
        <v>56.194502280388654</v>
      </c>
      <c r="AT36" s="67" t="s">
        <v>154</v>
      </c>
      <c r="AU36" s="41">
        <f>AU33</f>
        <v>1</v>
      </c>
      <c r="AV36" s="41">
        <f>AU26</f>
        <v>9.5</v>
      </c>
      <c r="AW36" s="58">
        <f t="shared" si="61"/>
        <v>9.5</v>
      </c>
      <c r="AX36" s="45">
        <f>AX33</f>
        <v>11.875</v>
      </c>
      <c r="AY36" s="45">
        <f t="shared" si="62"/>
        <v>112.8125</v>
      </c>
      <c r="AZ36" s="45">
        <f>AW36*(AX36-AX37)^2</f>
        <v>7.3215659874202341</v>
      </c>
      <c r="BA36" s="45">
        <f t="shared" si="63"/>
        <v>71.447916666666671</v>
      </c>
      <c r="BB36" s="46">
        <f t="shared" si="64"/>
        <v>78.7694826540869</v>
      </c>
      <c r="BC36" s="67" t="s">
        <v>154</v>
      </c>
      <c r="BD36" s="41">
        <f>BD33</f>
        <v>0.75</v>
      </c>
      <c r="BE36" s="41">
        <f>BD26</f>
        <v>10</v>
      </c>
      <c r="BF36" s="58">
        <f t="shared" si="65"/>
        <v>7.5</v>
      </c>
      <c r="BG36" s="45">
        <f>BG33</f>
        <v>12</v>
      </c>
      <c r="BH36" s="45">
        <f t="shared" si="66"/>
        <v>90</v>
      </c>
      <c r="BI36" s="45">
        <f>BF36*(BG36-BG37)^2</f>
        <v>4.8000000000000087</v>
      </c>
      <c r="BJ36" s="45">
        <f t="shared" si="67"/>
        <v>62.5</v>
      </c>
      <c r="BK36" s="46">
        <f t="shared" si="68"/>
        <v>67.300000000000011</v>
      </c>
      <c r="BL36" s="67" t="s">
        <v>154</v>
      </c>
      <c r="BM36" s="41">
        <f>BM33</f>
        <v>1</v>
      </c>
      <c r="BN36" s="41">
        <f>BM26</f>
        <v>8.5</v>
      </c>
      <c r="BO36" s="58">
        <f t="shared" si="69"/>
        <v>8.5</v>
      </c>
      <c r="BP36" s="45">
        <f>BP33</f>
        <v>12</v>
      </c>
      <c r="BQ36" s="45">
        <f t="shared" si="70"/>
        <v>102</v>
      </c>
      <c r="BR36" s="45">
        <f>BO36*(BP36-BP37)^2</f>
        <v>19.282083529293207</v>
      </c>
      <c r="BS36" s="45">
        <f t="shared" si="71"/>
        <v>51.177083333333336</v>
      </c>
      <c r="BT36" s="46">
        <f t="shared" si="72"/>
        <v>70.459166862626546</v>
      </c>
      <c r="BU36" s="67" t="s">
        <v>154</v>
      </c>
      <c r="BV36" s="41">
        <f>BV33</f>
        <v>0.625</v>
      </c>
      <c r="BW36" s="41">
        <f>BV26</f>
        <v>10.5</v>
      </c>
      <c r="BX36" s="58">
        <f t="shared" si="73"/>
        <v>6.5625</v>
      </c>
      <c r="BY36" s="45">
        <f>BY33</f>
        <v>12</v>
      </c>
      <c r="BZ36" s="45">
        <f t="shared" si="74"/>
        <v>78.75</v>
      </c>
      <c r="CA36" s="45">
        <f>BX36*(BY36-BY37)^2</f>
        <v>1.7357142857142853</v>
      </c>
      <c r="CB36" s="45">
        <f t="shared" si="75"/>
        <v>60.29296875</v>
      </c>
      <c r="CC36" s="46">
        <f t="shared" si="76"/>
        <v>62.028683035714288</v>
      </c>
      <c r="CD36" s="67" t="s">
        <v>154</v>
      </c>
      <c r="CE36" s="41">
        <f>CE33</f>
        <v>0.75</v>
      </c>
      <c r="CF36" s="41">
        <f>CE26</f>
        <v>10</v>
      </c>
      <c r="CG36" s="58">
        <f t="shared" si="77"/>
        <v>7.5</v>
      </c>
      <c r="CH36" s="45">
        <f>CH33</f>
        <v>12</v>
      </c>
      <c r="CI36" s="45">
        <f t="shared" si="78"/>
        <v>90</v>
      </c>
      <c r="CJ36" s="45">
        <f>CG36*(CH36-CH37)^2</f>
        <v>3.8265306122448899</v>
      </c>
      <c r="CK36" s="45">
        <f t="shared" si="79"/>
        <v>62.5</v>
      </c>
      <c r="CL36" s="46">
        <f t="shared" si="80"/>
        <v>66.326530612244895</v>
      </c>
      <c r="CM36" s="67" t="s">
        <v>154</v>
      </c>
      <c r="CN36" s="41">
        <f>CN33</f>
        <v>1</v>
      </c>
      <c r="CO36" s="41">
        <f>CN26</f>
        <v>9.75</v>
      </c>
      <c r="CP36" s="58">
        <f t="shared" si="81"/>
        <v>9.75</v>
      </c>
      <c r="CQ36" s="45">
        <f>CQ33</f>
        <v>12</v>
      </c>
      <c r="CR36" s="45">
        <f t="shared" si="82"/>
        <v>117</v>
      </c>
      <c r="CS36" s="45">
        <f>CP36*(CQ36-CQ37)^2</f>
        <v>5.7364976110537258</v>
      </c>
      <c r="CT36" s="45">
        <f t="shared" si="83"/>
        <v>77.23828125</v>
      </c>
      <c r="CU36" s="46">
        <f t="shared" si="84"/>
        <v>82.974778861053721</v>
      </c>
      <c r="CV36" s="67" t="s">
        <v>154</v>
      </c>
      <c r="CW36" s="41">
        <f>CW33</f>
        <v>1</v>
      </c>
      <c r="CX36" s="41">
        <f>CW26</f>
        <v>7.5</v>
      </c>
      <c r="CY36" s="58">
        <f t="shared" si="85"/>
        <v>7.5</v>
      </c>
      <c r="CZ36" s="45">
        <f>CZ33</f>
        <v>12</v>
      </c>
      <c r="DA36" s="45">
        <f t="shared" si="86"/>
        <v>90</v>
      </c>
      <c r="DB36" s="45">
        <f>CY36*(CZ36-CZ37)^2</f>
        <v>26.3671875</v>
      </c>
      <c r="DC36" s="45">
        <f t="shared" si="87"/>
        <v>35.15625</v>
      </c>
      <c r="DD36" s="46">
        <f t="shared" si="88"/>
        <v>61.5234375</v>
      </c>
      <c r="DE36" s="67" t="s">
        <v>154</v>
      </c>
      <c r="DF36" s="41">
        <f>DF33</f>
        <v>0.875</v>
      </c>
      <c r="DG36" s="41">
        <f>DF26</f>
        <v>10</v>
      </c>
      <c r="DH36" s="58">
        <f t="shared" si="89"/>
        <v>8.75</v>
      </c>
      <c r="DI36" s="45">
        <f>DI33</f>
        <v>12</v>
      </c>
      <c r="DJ36" s="45">
        <f t="shared" si="90"/>
        <v>105</v>
      </c>
      <c r="DK36" s="45">
        <f>DH36*(DI36-DI37)^2</f>
        <v>3.9619180714472786</v>
      </c>
      <c r="DL36" s="45">
        <f t="shared" si="91"/>
        <v>72.916666666666671</v>
      </c>
      <c r="DM36" s="46">
        <f t="shared" si="92"/>
        <v>76.878584738113943</v>
      </c>
      <c r="DN36" s="67" t="s">
        <v>154</v>
      </c>
      <c r="DO36" s="41">
        <f>DO33</f>
        <v>0.625</v>
      </c>
      <c r="DP36" s="41">
        <f>DO26</f>
        <v>10.5</v>
      </c>
      <c r="DQ36" s="58">
        <f t="shared" si="93"/>
        <v>6.5625</v>
      </c>
      <c r="DR36" s="45">
        <f>DR33</f>
        <v>12</v>
      </c>
      <c r="DS36" s="45">
        <f t="shared" si="94"/>
        <v>78.75</v>
      </c>
      <c r="DT36" s="45">
        <f>DQ36*(DR36-DR37)^2</f>
        <v>1.6714341863918234</v>
      </c>
      <c r="DU36" s="45">
        <f t="shared" si="95"/>
        <v>60.29296875</v>
      </c>
      <c r="DV36" s="46">
        <f t="shared" si="96"/>
        <v>61.964402936391821</v>
      </c>
      <c r="DW36" s="67" t="s">
        <v>154</v>
      </c>
      <c r="DX36" s="41">
        <f>DX33</f>
        <v>0.375</v>
      </c>
      <c r="DY36" s="41">
        <f>DX26</f>
        <v>11.25</v>
      </c>
      <c r="DZ36" s="58">
        <f t="shared" si="97"/>
        <v>4.21875</v>
      </c>
      <c r="EA36" s="45">
        <f>EA33</f>
        <v>12</v>
      </c>
      <c r="EB36" s="45">
        <f t="shared" si="98"/>
        <v>50.625</v>
      </c>
      <c r="EC36" s="45">
        <f>DZ36*(EA36-EA37)^2</f>
        <v>0.224667159763312</v>
      </c>
      <c r="ED36" s="45">
        <f t="shared" si="99"/>
        <v>44.49462890625</v>
      </c>
      <c r="EE36" s="46">
        <f t="shared" si="100"/>
        <v>44.719296066013314</v>
      </c>
      <c r="EF36" s="67" t="s">
        <v>154</v>
      </c>
      <c r="EG36" s="41">
        <f>EG33</f>
        <v>1</v>
      </c>
      <c r="EH36" s="41">
        <f>EG26</f>
        <v>9.5</v>
      </c>
      <c r="EI36" s="58">
        <f t="shared" si="101"/>
        <v>9.5</v>
      </c>
      <c r="EJ36" s="45">
        <f>EJ33</f>
        <v>12</v>
      </c>
      <c r="EK36" s="45">
        <f t="shared" si="102"/>
        <v>114</v>
      </c>
      <c r="EL36" s="45">
        <f>EI36*(EJ36-EJ37)^2</f>
        <v>7.3385238647460938</v>
      </c>
      <c r="EM36" s="45">
        <f t="shared" si="103"/>
        <v>71.447916666666671</v>
      </c>
      <c r="EN36" s="46">
        <f t="shared" si="104"/>
        <v>78.786440531412765</v>
      </c>
      <c r="EO36" s="67" t="s">
        <v>154</v>
      </c>
      <c r="EP36" s="41">
        <f>EP33</f>
        <v>0.625</v>
      </c>
      <c r="EQ36" s="41">
        <f>EP26</f>
        <v>11.25</v>
      </c>
      <c r="ER36" s="58">
        <f t="shared" si="105"/>
        <v>7.03125</v>
      </c>
      <c r="ES36" s="45">
        <f>ES33</f>
        <v>12</v>
      </c>
      <c r="ET36" s="45">
        <f t="shared" si="106"/>
        <v>84.375</v>
      </c>
      <c r="EU36" s="45">
        <f>ER36*(ES36-ES37)^2</f>
        <v>0.23720585172844874</v>
      </c>
      <c r="EV36" s="45">
        <f t="shared" si="107"/>
        <v>74.15771484375</v>
      </c>
      <c r="EW36" s="46">
        <f t="shared" si="108"/>
        <v>74.394920695478447</v>
      </c>
      <c r="EX36" s="67" t="s">
        <v>154</v>
      </c>
      <c r="EY36" s="41">
        <f>EY33</f>
        <v>0.375</v>
      </c>
      <c r="EZ36" s="41">
        <f>EY26</f>
        <v>11.25</v>
      </c>
      <c r="FA36" s="58">
        <f t="shared" si="109"/>
        <v>4.21875</v>
      </c>
      <c r="FB36" s="45">
        <f>FB33</f>
        <v>12</v>
      </c>
      <c r="FC36" s="45">
        <f t="shared" si="110"/>
        <v>50.625</v>
      </c>
      <c r="FD36" s="45">
        <f>FA36*(FB36-FB37)^2</f>
        <v>0.224667159763312</v>
      </c>
      <c r="FE36" s="45">
        <f t="shared" si="111"/>
        <v>44.49462890625</v>
      </c>
      <c r="FF36" s="45">
        <f t="shared" si="112"/>
        <v>44.719296066013314</v>
      </c>
    </row>
    <row r="37" spans="1:162" s="6" customFormat="1" ht="14.25" customHeight="1">
      <c r="A37" s="23"/>
      <c r="B37" s="119" t="s">
        <v>43</v>
      </c>
      <c r="C37" s="109">
        <f t="shared" si="57"/>
        <v>238.33366666666663</v>
      </c>
      <c r="D37" s="110">
        <v>-27.119</v>
      </c>
      <c r="E37" s="115">
        <v>7.4620716212301561</v>
      </c>
      <c r="F37" s="95"/>
      <c r="G37" s="99"/>
      <c r="I37" s="24"/>
      <c r="J37" s="24"/>
      <c r="L37" s="34"/>
      <c r="M37" s="127" t="s">
        <v>210</v>
      </c>
      <c r="N37" s="200">
        <f>MAX(N13:N36)</f>
        <v>2167.8760000000002</v>
      </c>
      <c r="O37" s="200">
        <f t="shared" ref="O37:Q37" si="113">MAX(O13:O36)</f>
        <v>1229.2329999999999</v>
      </c>
      <c r="P37" s="200">
        <f t="shared" si="113"/>
        <v>93.275000000000006</v>
      </c>
      <c r="Q37" s="201">
        <f t="shared" si="113"/>
        <v>3809.797</v>
      </c>
      <c r="T37" s="89" t="s">
        <v>165</v>
      </c>
      <c r="U37" s="146" t="str">
        <f>U25</f>
        <v>S13</v>
      </c>
      <c r="V37" s="90" t="s">
        <v>103</v>
      </c>
      <c r="W37" s="149">
        <v>170.09200000000001</v>
      </c>
      <c r="X37" s="149">
        <v>95.611000000000004</v>
      </c>
      <c r="Y37" s="168">
        <v>10.234</v>
      </c>
      <c r="Z37" s="149">
        <v>304.904</v>
      </c>
      <c r="AC37" s="161"/>
      <c r="AD37" s="77" t="s">
        <v>179</v>
      </c>
      <c r="AE37" s="70" t="s">
        <v>180</v>
      </c>
      <c r="AF37" s="36"/>
      <c r="AG37" s="36"/>
      <c r="AH37" s="36"/>
      <c r="AK37" s="38"/>
      <c r="AL37" s="47" t="s">
        <v>155</v>
      </c>
      <c r="AM37" s="48">
        <f>AR20</f>
        <v>0</v>
      </c>
      <c r="AN37" s="49">
        <f>SUM(AN33:AN36)</f>
        <v>41</v>
      </c>
      <c r="AO37" s="50">
        <f>AP37/AN37</f>
        <v>11.634146341463415</v>
      </c>
      <c r="AP37" s="51">
        <f>SUM(AP33:AP36)</f>
        <v>477</v>
      </c>
      <c r="AQ37" s="40"/>
      <c r="AR37" s="40"/>
      <c r="AS37" s="52">
        <f>SUM(AS33:AS36)</f>
        <v>3910.4288617886182</v>
      </c>
      <c r="AT37" s="38"/>
      <c r="AU37" s="47" t="s">
        <v>155</v>
      </c>
      <c r="AV37" s="48">
        <f>BA20</f>
        <v>0</v>
      </c>
      <c r="AW37" s="49">
        <f>SUM(AW33:AW36)</f>
        <v>86.5</v>
      </c>
      <c r="AX37" s="50">
        <f>AY37/AW37</f>
        <v>10.997109826589595</v>
      </c>
      <c r="AY37" s="51">
        <f>SUM(AY33:AY36)</f>
        <v>951.25</v>
      </c>
      <c r="AZ37" s="40"/>
      <c r="BA37" s="40"/>
      <c r="BB37" s="52">
        <f>SUM(BB33:BB36)</f>
        <v>7174.2779232899802</v>
      </c>
      <c r="BC37" s="38"/>
      <c r="BD37" s="47" t="s">
        <v>155</v>
      </c>
      <c r="BE37" s="48">
        <f>BJ20</f>
        <v>0</v>
      </c>
      <c r="BF37" s="49">
        <f>SUM(BF33:BF36)</f>
        <v>75</v>
      </c>
      <c r="BG37" s="50">
        <f>BH37/BF37</f>
        <v>11.2</v>
      </c>
      <c r="BH37" s="51">
        <f>SUM(BH33:BH36)</f>
        <v>840</v>
      </c>
      <c r="BI37" s="40"/>
      <c r="BJ37" s="40"/>
      <c r="BK37" s="52">
        <f>SUM(BK33:BK36)</f>
        <v>6757.0000000000009</v>
      </c>
      <c r="BL37" s="38"/>
      <c r="BM37" s="47" t="s">
        <v>155</v>
      </c>
      <c r="BN37" s="48">
        <f>BS20</f>
        <v>0</v>
      </c>
      <c r="BO37" s="49">
        <f>SUM(BO33:BO36)</f>
        <v>122</v>
      </c>
      <c r="BP37" s="50">
        <f>BQ37/BO37</f>
        <v>10.493852459016393</v>
      </c>
      <c r="BQ37" s="51">
        <f>SUM(BQ33:BQ36)</f>
        <v>1280.25</v>
      </c>
      <c r="BR37" s="40"/>
      <c r="BS37" s="40"/>
      <c r="BT37" s="52">
        <f>SUM(BT33:BT36)</f>
        <v>9402.4745560109295</v>
      </c>
      <c r="BU37" s="38"/>
      <c r="BV37" s="47" t="s">
        <v>155</v>
      </c>
      <c r="BW37" s="48">
        <f>CB20</f>
        <v>0</v>
      </c>
      <c r="BX37" s="49">
        <f>SUM(BX33:BX36)</f>
        <v>65.625</v>
      </c>
      <c r="BY37" s="50">
        <f>BZ37/BX37</f>
        <v>11.485714285714286</v>
      </c>
      <c r="BZ37" s="51">
        <f>SUM(BZ33:BZ36)</f>
        <v>753.75</v>
      </c>
      <c r="CA37" s="40"/>
      <c r="CB37" s="40"/>
      <c r="CC37" s="52">
        <f>SUM(CC33:CC36)</f>
        <v>5985.5725446428569</v>
      </c>
      <c r="CD37" s="38"/>
      <c r="CE37" s="47" t="s">
        <v>155</v>
      </c>
      <c r="CF37" s="48">
        <f>CK20</f>
        <v>0</v>
      </c>
      <c r="CG37" s="49">
        <f>SUM(CG33:CG36)</f>
        <v>84</v>
      </c>
      <c r="CH37" s="50">
        <f>CI37/CG37</f>
        <v>11.285714285714286</v>
      </c>
      <c r="CI37" s="51">
        <f>SUM(CI33:CI36)</f>
        <v>948</v>
      </c>
      <c r="CJ37" s="40"/>
      <c r="CK37" s="40"/>
      <c r="CL37" s="52">
        <f>SUM(CL33:CL36)</f>
        <v>7365.1428571428569</v>
      </c>
      <c r="CM37" s="38"/>
      <c r="CN37" s="47" t="s">
        <v>155</v>
      </c>
      <c r="CO37" s="48">
        <f>CT20</f>
        <v>0</v>
      </c>
      <c r="CP37" s="49">
        <f>SUM(CP33:CP36)</f>
        <v>99</v>
      </c>
      <c r="CQ37" s="50">
        <f>CR37/CP37</f>
        <v>11.232954545454545</v>
      </c>
      <c r="CR37" s="51">
        <f>SUM(CR33:CR36)</f>
        <v>1112.0625</v>
      </c>
      <c r="CS37" s="40"/>
      <c r="CT37" s="40"/>
      <c r="CU37" s="52">
        <f>SUM(CU33:CU36)</f>
        <v>8147.432173295455</v>
      </c>
      <c r="CV37" s="38"/>
      <c r="CW37" s="47" t="s">
        <v>155</v>
      </c>
      <c r="CX37" s="48">
        <f>DC20</f>
        <v>0</v>
      </c>
      <c r="CY37" s="49">
        <f>SUM(CY33:CY36)</f>
        <v>162</v>
      </c>
      <c r="CZ37" s="50">
        <f>DA37/CY37</f>
        <v>10.125</v>
      </c>
      <c r="DA37" s="51">
        <f>SUM(DA33:DA36)</f>
        <v>1640.25</v>
      </c>
      <c r="DB37" s="40"/>
      <c r="DC37" s="40"/>
      <c r="DD37" s="52">
        <f>SUM(DD33:DD36)</f>
        <v>10866.65625</v>
      </c>
      <c r="DE37" s="38"/>
      <c r="DF37" s="47" t="s">
        <v>155</v>
      </c>
      <c r="DG37" s="48">
        <f>DL20</f>
        <v>0</v>
      </c>
      <c r="DH37" s="49">
        <f>SUM(DH33:DH36)</f>
        <v>53.5</v>
      </c>
      <c r="DI37" s="50">
        <f>DJ37/DH37</f>
        <v>11.327102803738319</v>
      </c>
      <c r="DJ37" s="51">
        <f>SUM(DJ33:DJ36)</f>
        <v>606</v>
      </c>
      <c r="DK37" s="40"/>
      <c r="DL37" s="40"/>
      <c r="DM37" s="52">
        <f>SUM(DM33:DM36)</f>
        <v>4129.6090342679126</v>
      </c>
      <c r="DN37" s="38"/>
      <c r="DO37" s="47" t="s">
        <v>155</v>
      </c>
      <c r="DP37" s="48">
        <f>DU20</f>
        <v>0</v>
      </c>
      <c r="DQ37" s="49">
        <f>SUM(DQ33:DQ36)</f>
        <v>40.125</v>
      </c>
      <c r="DR37" s="50">
        <f>DS37/DQ37</f>
        <v>11.495327102803738</v>
      </c>
      <c r="DS37" s="51">
        <f>SUM(DS33:DS36)</f>
        <v>461.25</v>
      </c>
      <c r="DT37" s="40"/>
      <c r="DU37" s="40"/>
      <c r="DV37" s="52">
        <f>SUM(DV33:DV36)</f>
        <v>3319.9913113317757</v>
      </c>
      <c r="DW37" s="38"/>
      <c r="DX37" s="47" t="s">
        <v>155</v>
      </c>
      <c r="DY37" s="48">
        <f>ED20</f>
        <v>0</v>
      </c>
      <c r="DZ37" s="49">
        <f>SUM(DZ33:DZ36)</f>
        <v>21.9375</v>
      </c>
      <c r="EA37" s="50">
        <f>EB37/DZ37</f>
        <v>11.76923076923077</v>
      </c>
      <c r="EB37" s="51">
        <f>SUM(EB33:EB36)</f>
        <v>258.1875</v>
      </c>
      <c r="EC37" s="40"/>
      <c r="ED37" s="40"/>
      <c r="EE37" s="52">
        <f>SUM(EE33:EE36)</f>
        <v>1855.8991135817309</v>
      </c>
      <c r="EF37" s="38"/>
      <c r="EG37" s="47" t="s">
        <v>155</v>
      </c>
      <c r="EH37" s="48">
        <f>EM20</f>
        <v>0</v>
      </c>
      <c r="EI37" s="49">
        <f>SUM(EI33:EI36)</f>
        <v>64</v>
      </c>
      <c r="EJ37" s="50">
        <f>EK37/EI37</f>
        <v>11.12109375</v>
      </c>
      <c r="EK37" s="51">
        <f>SUM(EK33:EK36)</f>
        <v>711.75</v>
      </c>
      <c r="EL37" s="40"/>
      <c r="EM37" s="40"/>
      <c r="EN37" s="52">
        <f>SUM(EN33:EN36)</f>
        <v>4782.832356770833</v>
      </c>
      <c r="EO37" s="38"/>
      <c r="EP37" s="47" t="s">
        <v>155</v>
      </c>
      <c r="EQ37" s="48">
        <f>EV20</f>
        <v>0</v>
      </c>
      <c r="ER37" s="49">
        <f>SUM(ER33:ER36)</f>
        <v>27.5625</v>
      </c>
      <c r="ES37" s="50">
        <f>ET37/ER37</f>
        <v>11.816326530612244</v>
      </c>
      <c r="ET37" s="51">
        <f>SUM(ET33:ET36)</f>
        <v>325.6875</v>
      </c>
      <c r="EU37" s="40"/>
      <c r="EV37" s="40"/>
      <c r="EW37" s="52">
        <f>SUM(EW33:EW36)</f>
        <v>1915.4637077487246</v>
      </c>
      <c r="EX37" s="38"/>
      <c r="EY37" s="47" t="s">
        <v>155</v>
      </c>
      <c r="EZ37" s="48">
        <f>FE20</f>
        <v>0</v>
      </c>
      <c r="FA37" s="49">
        <f>SUM(FA33:FA36)</f>
        <v>21.9375</v>
      </c>
      <c r="FB37" s="50">
        <f>FC37/FA37</f>
        <v>11.76923076923077</v>
      </c>
      <c r="FC37" s="51">
        <f>SUM(FC33:FC36)</f>
        <v>258.1875</v>
      </c>
      <c r="FD37" s="40"/>
      <c r="FE37" s="40"/>
      <c r="FF37" s="84">
        <f>SUM(FF33:FF36)</f>
        <v>1855.8991135817309</v>
      </c>
    </row>
    <row r="38" spans="1:162" s="6" customFormat="1" ht="14.25" customHeight="1">
      <c r="A38" s="23"/>
      <c r="B38" s="120" t="s">
        <v>44</v>
      </c>
      <c r="C38" s="111">
        <f t="shared" si="57"/>
        <v>260.00033333333329</v>
      </c>
      <c r="D38" s="112">
        <v>-30.37</v>
      </c>
      <c r="E38" s="116">
        <v>21.106375564029513</v>
      </c>
      <c r="F38" s="101"/>
      <c r="G38" s="102"/>
      <c r="I38" s="24"/>
      <c r="J38" s="24"/>
      <c r="L38" s="34"/>
      <c r="M38" s="204" t="s">
        <v>211</v>
      </c>
      <c r="N38" s="202">
        <f>MIN(N13:N36)</f>
        <v>-2732.0479999999998</v>
      </c>
      <c r="O38" s="202">
        <f t="shared" ref="O38:Q38" si="114">MIN(O13:O36)</f>
        <v>-1545.971</v>
      </c>
      <c r="P38" s="202">
        <f t="shared" si="114"/>
        <v>-117.417</v>
      </c>
      <c r="Q38" s="203">
        <f t="shared" si="114"/>
        <v>-4810.9560000000001</v>
      </c>
      <c r="V38" s="127" t="s">
        <v>210</v>
      </c>
      <c r="W38" s="200">
        <f>MAX(W13:W37)</f>
        <v>1014.721</v>
      </c>
      <c r="X38" s="200">
        <f t="shared" ref="X38:Z38" si="115">MAX(X13:X37)</f>
        <v>574.62099999999998</v>
      </c>
      <c r="Y38" s="200">
        <f t="shared" si="115"/>
        <v>43.637</v>
      </c>
      <c r="Z38" s="201">
        <f t="shared" si="115"/>
        <v>1778.614</v>
      </c>
      <c r="AC38" s="161"/>
      <c r="AD38" s="197" t="s">
        <v>181</v>
      </c>
      <c r="AE38" s="198" t="s">
        <v>182</v>
      </c>
      <c r="AF38" s="161"/>
      <c r="AG38" s="161"/>
      <c r="AH38" s="161"/>
    </row>
    <row r="39" spans="1:162" s="6" customFormat="1" ht="14.25" customHeight="1">
      <c r="A39" s="23"/>
      <c r="I39" s="24"/>
      <c r="J39" s="24"/>
      <c r="L39" s="34"/>
      <c r="V39" s="204" t="s">
        <v>211</v>
      </c>
      <c r="W39" s="202">
        <f>MIN(W13:W37)</f>
        <v>-918.601</v>
      </c>
      <c r="X39" s="202">
        <f t="shared" ref="X39:Z39" si="116">MIN(X13:X37)</f>
        <v>-518.06500000000005</v>
      </c>
      <c r="Y39" s="202">
        <f t="shared" si="116"/>
        <v>-39.264000000000003</v>
      </c>
      <c r="Z39" s="203">
        <f t="shared" si="116"/>
        <v>-1617.18</v>
      </c>
      <c r="AC39" s="199" t="s">
        <v>187</v>
      </c>
      <c r="AD39" s="144">
        <v>50</v>
      </c>
      <c r="AE39" s="139">
        <v>65</v>
      </c>
      <c r="AF39" s="161"/>
      <c r="AG39" s="161"/>
      <c r="AH39" s="161"/>
      <c r="AL39" s="194" t="s">
        <v>170</v>
      </c>
      <c r="AM39" s="142"/>
      <c r="AN39" s="142" t="s">
        <v>188</v>
      </c>
      <c r="AO39" s="179">
        <f>AN37</f>
        <v>41</v>
      </c>
      <c r="AP39" s="180" t="s">
        <v>131</v>
      </c>
      <c r="AQ39" s="142"/>
      <c r="AR39" s="142"/>
      <c r="AU39" s="194" t="s">
        <v>170</v>
      </c>
      <c r="AV39" s="142"/>
      <c r="AW39" s="142" t="s">
        <v>188</v>
      </c>
      <c r="AX39" s="179">
        <f>AW37</f>
        <v>86.5</v>
      </c>
      <c r="AY39" s="180" t="s">
        <v>131</v>
      </c>
      <c r="AZ39" s="142"/>
      <c r="BA39" s="142"/>
      <c r="BD39" s="194" t="s">
        <v>170</v>
      </c>
      <c r="BE39" s="142"/>
      <c r="BF39" s="142" t="s">
        <v>188</v>
      </c>
      <c r="BG39" s="179">
        <f>BF37</f>
        <v>75</v>
      </c>
      <c r="BH39" s="180" t="s">
        <v>131</v>
      </c>
      <c r="BI39" s="142"/>
      <c r="BJ39" s="142"/>
      <c r="BM39" s="194" t="s">
        <v>170</v>
      </c>
      <c r="BN39" s="142"/>
      <c r="BO39" s="142" t="s">
        <v>188</v>
      </c>
      <c r="BP39" s="179">
        <f>BO37</f>
        <v>122</v>
      </c>
      <c r="BQ39" s="180" t="s">
        <v>131</v>
      </c>
      <c r="BR39" s="142"/>
      <c r="BV39" s="194" t="s">
        <v>170</v>
      </c>
      <c r="BW39" s="142"/>
      <c r="BX39" s="142" t="s">
        <v>188</v>
      </c>
      <c r="BY39" s="179">
        <f>BX37</f>
        <v>65.625</v>
      </c>
      <c r="BZ39" s="180" t="s">
        <v>131</v>
      </c>
      <c r="CA39" s="142"/>
      <c r="CB39" s="142"/>
      <c r="CE39" s="194" t="s">
        <v>170</v>
      </c>
      <c r="CF39" s="142"/>
      <c r="CG39" s="142" t="s">
        <v>188</v>
      </c>
      <c r="CH39" s="179">
        <f>CG37</f>
        <v>84</v>
      </c>
      <c r="CI39" s="180" t="s">
        <v>131</v>
      </c>
      <c r="CJ39" s="142"/>
      <c r="CN39" s="194" t="s">
        <v>170</v>
      </c>
      <c r="CO39" s="142"/>
      <c r="CP39" s="142" t="s">
        <v>188</v>
      </c>
      <c r="CQ39" s="179">
        <f>CP37</f>
        <v>99</v>
      </c>
      <c r="CR39" s="180" t="s">
        <v>131</v>
      </c>
      <c r="CS39" s="142"/>
      <c r="CW39" s="194" t="s">
        <v>170</v>
      </c>
      <c r="CX39" s="142"/>
      <c r="CY39" s="142" t="s">
        <v>188</v>
      </c>
      <c r="CZ39" s="179">
        <f>CY37</f>
        <v>162</v>
      </c>
      <c r="DA39" s="180" t="s">
        <v>131</v>
      </c>
      <c r="DB39" s="142"/>
      <c r="DF39" s="194" t="s">
        <v>170</v>
      </c>
      <c r="DG39" s="142"/>
      <c r="DH39" s="142" t="s">
        <v>188</v>
      </c>
      <c r="DI39" s="179">
        <f>DH37</f>
        <v>53.5</v>
      </c>
      <c r="DJ39" s="180" t="s">
        <v>131</v>
      </c>
      <c r="DK39" s="142"/>
      <c r="DO39" s="194" t="s">
        <v>170</v>
      </c>
      <c r="DP39" s="142"/>
      <c r="DQ39" s="142" t="s">
        <v>188</v>
      </c>
      <c r="DR39" s="179">
        <f>DQ37</f>
        <v>40.125</v>
      </c>
      <c r="DS39" s="180" t="s">
        <v>131</v>
      </c>
      <c r="DT39" s="142"/>
      <c r="DX39" s="194" t="s">
        <v>170</v>
      </c>
      <c r="DY39" s="142"/>
      <c r="DZ39" s="142" t="s">
        <v>188</v>
      </c>
      <c r="EA39" s="179">
        <f>DZ37</f>
        <v>21.9375</v>
      </c>
      <c r="EB39" s="180" t="s">
        <v>131</v>
      </c>
      <c r="EC39" s="142"/>
      <c r="EG39" s="194" t="s">
        <v>170</v>
      </c>
      <c r="EH39" s="142"/>
      <c r="EI39" s="142" t="s">
        <v>188</v>
      </c>
      <c r="EJ39" s="179">
        <f>EI37</f>
        <v>64</v>
      </c>
      <c r="EK39" s="180" t="s">
        <v>131</v>
      </c>
      <c r="EL39" s="142"/>
      <c r="EP39" s="194" t="s">
        <v>170</v>
      </c>
      <c r="EQ39" s="142"/>
      <c r="ER39" s="142" t="s">
        <v>188</v>
      </c>
      <c r="ES39" s="179">
        <f>ER37</f>
        <v>27.5625</v>
      </c>
      <c r="ET39" s="180" t="s">
        <v>131</v>
      </c>
      <c r="EU39" s="142"/>
      <c r="EY39" s="194" t="s">
        <v>170</v>
      </c>
      <c r="EZ39" s="142"/>
      <c r="FA39" s="142" t="s">
        <v>188</v>
      </c>
      <c r="FB39" s="179">
        <f>FA37</f>
        <v>21.9375</v>
      </c>
      <c r="FC39" s="180" t="s">
        <v>131</v>
      </c>
      <c r="FD39" s="142"/>
    </row>
    <row r="40" spans="1:162" s="6" customFormat="1" ht="14.25" customHeight="1">
      <c r="A40" s="23"/>
      <c r="B40" s="155" t="s">
        <v>177</v>
      </c>
      <c r="I40" s="24"/>
      <c r="J40" s="24"/>
      <c r="K40" s="161" t="s">
        <v>173</v>
      </c>
      <c r="L40" s="34"/>
      <c r="AC40" s="66" t="s">
        <v>183</v>
      </c>
      <c r="AD40" s="145">
        <f>AD39*0.55</f>
        <v>27.500000000000004</v>
      </c>
      <c r="AE40" s="88">
        <f>0.5*AE39</f>
        <v>32.5</v>
      </c>
      <c r="AF40" s="161"/>
      <c r="AG40" s="161"/>
      <c r="AH40" s="161"/>
      <c r="AL40" s="142"/>
      <c r="AM40" s="142"/>
      <c r="AN40" s="156" t="s">
        <v>189</v>
      </c>
      <c r="AO40" s="179">
        <f>AO39</f>
        <v>41</v>
      </c>
      <c r="AP40" s="178" t="str">
        <f>AP39</f>
        <v>in2</v>
      </c>
      <c r="AQ40" s="177" t="s">
        <v>192</v>
      </c>
      <c r="AR40" s="142"/>
      <c r="AU40" s="142"/>
      <c r="AV40" s="142"/>
      <c r="AW40" s="156" t="s">
        <v>189</v>
      </c>
      <c r="AX40" s="179">
        <f>AX39</f>
        <v>86.5</v>
      </c>
      <c r="AY40" s="178" t="str">
        <f>AY39</f>
        <v>in2</v>
      </c>
      <c r="AZ40" s="177" t="s">
        <v>192</v>
      </c>
      <c r="BA40" s="142"/>
      <c r="BD40" s="142"/>
      <c r="BE40" s="142"/>
      <c r="BF40" s="156" t="s">
        <v>189</v>
      </c>
      <c r="BG40" s="179">
        <f>BG39</f>
        <v>75</v>
      </c>
      <c r="BH40" s="178" t="str">
        <f>BH39</f>
        <v>in2</v>
      </c>
      <c r="BI40" s="177" t="s">
        <v>192</v>
      </c>
      <c r="BJ40" s="142"/>
      <c r="BM40" s="142"/>
      <c r="BN40" s="142"/>
      <c r="BO40" s="156" t="s">
        <v>189</v>
      </c>
      <c r="BP40" s="179">
        <f>BP39</f>
        <v>122</v>
      </c>
      <c r="BQ40" s="178" t="str">
        <f>BQ39</f>
        <v>in2</v>
      </c>
      <c r="BR40" s="177" t="s">
        <v>192</v>
      </c>
      <c r="BV40" s="142"/>
      <c r="BW40" s="142"/>
      <c r="BX40" s="156" t="s">
        <v>189</v>
      </c>
      <c r="BY40" s="179">
        <f>BY39</f>
        <v>65.625</v>
      </c>
      <c r="BZ40" s="178" t="str">
        <f>BZ39</f>
        <v>in2</v>
      </c>
      <c r="CA40" s="177" t="s">
        <v>192</v>
      </c>
      <c r="CB40" s="142"/>
      <c r="CE40" s="142"/>
      <c r="CF40" s="142"/>
      <c r="CG40" s="156" t="s">
        <v>189</v>
      </c>
      <c r="CH40" s="179">
        <f>CH39</f>
        <v>84</v>
      </c>
      <c r="CI40" s="178" t="str">
        <f>CI39</f>
        <v>in2</v>
      </c>
      <c r="CJ40" s="177" t="s">
        <v>192</v>
      </c>
      <c r="CN40" s="142"/>
      <c r="CO40" s="142"/>
      <c r="CP40" s="156" t="s">
        <v>189</v>
      </c>
      <c r="CQ40" s="179">
        <f>CQ39</f>
        <v>99</v>
      </c>
      <c r="CR40" s="178" t="str">
        <f>CR39</f>
        <v>in2</v>
      </c>
      <c r="CS40" s="177" t="s">
        <v>192</v>
      </c>
      <c r="CW40" s="142"/>
      <c r="CX40" s="142"/>
      <c r="CY40" s="156" t="s">
        <v>189</v>
      </c>
      <c r="CZ40" s="179">
        <f>CZ39</f>
        <v>162</v>
      </c>
      <c r="DA40" s="178" t="str">
        <f>DA39</f>
        <v>in2</v>
      </c>
      <c r="DB40" s="177" t="s">
        <v>192</v>
      </c>
      <c r="DF40" s="142"/>
      <c r="DG40" s="142"/>
      <c r="DH40" s="156" t="s">
        <v>189</v>
      </c>
      <c r="DI40" s="179">
        <f>DI39</f>
        <v>53.5</v>
      </c>
      <c r="DJ40" s="178" t="str">
        <f>DJ39</f>
        <v>in2</v>
      </c>
      <c r="DK40" s="177" t="s">
        <v>192</v>
      </c>
      <c r="DO40" s="142"/>
      <c r="DP40" s="142"/>
      <c r="DQ40" s="156" t="s">
        <v>189</v>
      </c>
      <c r="DR40" s="179">
        <f>DR39</f>
        <v>40.125</v>
      </c>
      <c r="DS40" s="178" t="str">
        <f>DS39</f>
        <v>in2</v>
      </c>
      <c r="DT40" s="177" t="s">
        <v>192</v>
      </c>
      <c r="DX40" s="142"/>
      <c r="DY40" s="142"/>
      <c r="DZ40" s="156" t="s">
        <v>189</v>
      </c>
      <c r="EA40" s="179">
        <f>EA39</f>
        <v>21.9375</v>
      </c>
      <c r="EB40" s="178" t="str">
        <f>EB39</f>
        <v>in2</v>
      </c>
      <c r="EC40" s="177" t="s">
        <v>192</v>
      </c>
      <c r="EG40" s="142"/>
      <c r="EH40" s="142"/>
      <c r="EI40" s="156" t="s">
        <v>189</v>
      </c>
      <c r="EJ40" s="179">
        <f>EJ39</f>
        <v>64</v>
      </c>
      <c r="EK40" s="178" t="str">
        <f>EK39</f>
        <v>in2</v>
      </c>
      <c r="EL40" s="177" t="s">
        <v>192</v>
      </c>
      <c r="EP40" s="142"/>
      <c r="EQ40" s="142"/>
      <c r="ER40" s="156" t="s">
        <v>189</v>
      </c>
      <c r="ES40" s="179">
        <f>ES39</f>
        <v>27.5625</v>
      </c>
      <c r="ET40" s="178" t="str">
        <f>ET39</f>
        <v>in2</v>
      </c>
      <c r="EU40" s="177" t="s">
        <v>192</v>
      </c>
      <c r="EY40" s="142"/>
      <c r="EZ40" s="142"/>
      <c r="FA40" s="156" t="s">
        <v>189</v>
      </c>
      <c r="FB40" s="179">
        <f>FB39</f>
        <v>21.9375</v>
      </c>
      <c r="FC40" s="178" t="str">
        <f>FC39</f>
        <v>in2</v>
      </c>
      <c r="FD40" s="177" t="s">
        <v>192</v>
      </c>
    </row>
    <row r="41" spans="1:162" s="6" customFormat="1" ht="18" customHeight="1">
      <c r="A41" s="23"/>
      <c r="T41" s="161" t="s">
        <v>173</v>
      </c>
      <c r="AC41" s="67" t="s">
        <v>323</v>
      </c>
      <c r="AD41" s="146">
        <f>75*0.5</f>
        <v>37.5</v>
      </c>
      <c r="AE41" s="91">
        <f>0.67*AE39</f>
        <v>43.550000000000004</v>
      </c>
      <c r="AF41" s="161"/>
      <c r="AG41" s="161"/>
      <c r="AH41" s="161"/>
      <c r="AN41" s="176" t="s">
        <v>191</v>
      </c>
      <c r="AO41" s="142" t="str">
        <f>IF(AO40/AO39&gt;0.85,"OK","NG")</f>
        <v>OK</v>
      </c>
      <c r="AP41" s="142"/>
      <c r="AQ41" s="177" t="s">
        <v>190</v>
      </c>
      <c r="AR41" s="142"/>
      <c r="AW41" s="176" t="s">
        <v>191</v>
      </c>
      <c r="AX41" s="142" t="str">
        <f>IF(AX40/AX39&gt;0.85,"OK","NG")</f>
        <v>OK</v>
      </c>
      <c r="AY41" s="142"/>
      <c r="AZ41" s="177" t="s">
        <v>190</v>
      </c>
      <c r="BA41" s="142"/>
      <c r="BF41" s="176" t="s">
        <v>191</v>
      </c>
      <c r="BG41" s="142" t="str">
        <f>IF(BG40/BG39&gt;0.85,"OK","NG")</f>
        <v>OK</v>
      </c>
      <c r="BH41" s="142"/>
      <c r="BI41" s="177" t="s">
        <v>190</v>
      </c>
      <c r="BJ41" s="142"/>
      <c r="BO41" s="176" t="s">
        <v>191</v>
      </c>
      <c r="BP41" s="142" t="str">
        <f>IF(BP40/BP39&gt;0.85,"OK","NG")</f>
        <v>OK</v>
      </c>
      <c r="BQ41" s="142"/>
      <c r="BR41" s="177" t="s">
        <v>190</v>
      </c>
      <c r="BX41" s="176" t="s">
        <v>191</v>
      </c>
      <c r="BY41" s="142" t="str">
        <f>IF(BY40/BY39&gt;0.85,"OK","NG")</f>
        <v>OK</v>
      </c>
      <c r="BZ41" s="142"/>
      <c r="CA41" s="177" t="s">
        <v>190</v>
      </c>
      <c r="CB41" s="142"/>
      <c r="CG41" s="176" t="s">
        <v>191</v>
      </c>
      <c r="CH41" s="142" t="str">
        <f>IF(CH40/CH39&gt;0.85,"OK","NG")</f>
        <v>OK</v>
      </c>
      <c r="CI41" s="142"/>
      <c r="CJ41" s="177" t="s">
        <v>190</v>
      </c>
      <c r="CP41" s="176" t="s">
        <v>191</v>
      </c>
      <c r="CQ41" s="142" t="str">
        <f>IF(CQ40/CQ39&gt;0.85,"OK","NG")</f>
        <v>OK</v>
      </c>
      <c r="CR41" s="142"/>
      <c r="CS41" s="177" t="s">
        <v>190</v>
      </c>
      <c r="CY41" s="176" t="s">
        <v>191</v>
      </c>
      <c r="CZ41" s="142" t="str">
        <f>IF(CZ40/CZ39&gt;0.85,"OK","NG")</f>
        <v>OK</v>
      </c>
      <c r="DA41" s="142"/>
      <c r="DB41" s="177" t="s">
        <v>190</v>
      </c>
      <c r="DH41" s="176" t="s">
        <v>191</v>
      </c>
      <c r="DI41" s="142" t="str">
        <f>IF(DI40/DI39&gt;0.85,"OK","NG")</f>
        <v>OK</v>
      </c>
      <c r="DJ41" s="142"/>
      <c r="DK41" s="177" t="s">
        <v>190</v>
      </c>
      <c r="DQ41" s="176" t="s">
        <v>191</v>
      </c>
      <c r="DR41" s="142" t="str">
        <f>IF(DR40/DR39&gt;0.85,"OK","NG")</f>
        <v>OK</v>
      </c>
      <c r="DS41" s="142"/>
      <c r="DT41" s="177" t="s">
        <v>190</v>
      </c>
      <c r="DZ41" s="176" t="s">
        <v>191</v>
      </c>
      <c r="EA41" s="142" t="str">
        <f>IF(EA40/EA39&gt;0.85,"OK","NG")</f>
        <v>OK</v>
      </c>
      <c r="EB41" s="142"/>
      <c r="EC41" s="177" t="s">
        <v>190</v>
      </c>
      <c r="EI41" s="176" t="s">
        <v>191</v>
      </c>
      <c r="EJ41" s="142" t="str">
        <f>IF(EJ40/EJ39&gt;0.85,"OK","NG")</f>
        <v>OK</v>
      </c>
      <c r="EK41" s="142"/>
      <c r="EL41" s="177" t="s">
        <v>190</v>
      </c>
      <c r="ER41" s="176" t="s">
        <v>191</v>
      </c>
      <c r="ES41" s="142" t="str">
        <f>IF(ES40/ES39&gt;0.85,"OK","NG")</f>
        <v>OK</v>
      </c>
      <c r="ET41" s="142"/>
      <c r="EU41" s="177" t="s">
        <v>190</v>
      </c>
      <c r="FA41" s="176" t="s">
        <v>191</v>
      </c>
      <c r="FB41" s="142" t="str">
        <f>IF(FB40/FB39&gt;0.85,"OK","NG")</f>
        <v>OK</v>
      </c>
      <c r="FC41" s="142"/>
      <c r="FD41" s="177" t="s">
        <v>190</v>
      </c>
    </row>
    <row r="42" spans="1:162" s="6" customFormat="1" ht="14.25" customHeight="1">
      <c r="A42" s="23"/>
      <c r="AC42" s="161"/>
      <c r="AD42" s="161"/>
      <c r="AE42" s="161"/>
      <c r="AF42" s="161"/>
      <c r="AG42" s="161"/>
      <c r="AH42" s="161"/>
      <c r="AO42" s="142"/>
      <c r="AP42" s="142"/>
      <c r="AR42" s="142"/>
      <c r="AX42" s="142"/>
      <c r="AY42" s="142"/>
      <c r="BA42" s="142"/>
      <c r="BG42" s="142"/>
      <c r="BH42" s="142"/>
      <c r="BJ42" s="142"/>
      <c r="BP42" s="142"/>
      <c r="BQ42" s="142"/>
      <c r="BY42" s="142"/>
      <c r="BZ42" s="142"/>
      <c r="CB42" s="142"/>
      <c r="CH42" s="142"/>
      <c r="CI42" s="142"/>
      <c r="CQ42" s="142"/>
      <c r="CR42" s="142"/>
      <c r="CZ42" s="142"/>
      <c r="DA42" s="142"/>
      <c r="DI42" s="142"/>
      <c r="DJ42" s="142"/>
      <c r="DR42" s="142"/>
      <c r="DS42" s="142"/>
      <c r="EA42" s="142"/>
      <c r="EB42" s="142"/>
      <c r="EJ42" s="142"/>
      <c r="EK42" s="142"/>
      <c r="ES42" s="142"/>
      <c r="ET42" s="142"/>
      <c r="FB42" s="142"/>
      <c r="FC42" s="142"/>
    </row>
    <row r="43" spans="1:162" s="6" customFormat="1" ht="14.25" customHeight="1">
      <c r="AC43" s="161"/>
      <c r="AD43" s="161"/>
      <c r="AE43" s="161"/>
      <c r="AF43" s="161"/>
      <c r="AG43" s="161"/>
      <c r="AH43" s="175"/>
      <c r="AL43" s="193" t="s">
        <v>198</v>
      </c>
      <c r="AM43" s="161"/>
      <c r="AN43" s="161"/>
      <c r="AO43" s="161"/>
      <c r="AP43" s="142"/>
      <c r="AQ43" s="161"/>
      <c r="AR43" s="142"/>
      <c r="AU43" s="193" t="s">
        <v>198</v>
      </c>
      <c r="AV43" s="161"/>
      <c r="AW43" s="161"/>
      <c r="AX43" s="161"/>
      <c r="AY43" s="142"/>
      <c r="AZ43" s="161"/>
      <c r="BA43" s="142"/>
      <c r="BD43" s="193" t="s">
        <v>198</v>
      </c>
      <c r="BE43" s="161"/>
      <c r="BF43" s="161"/>
      <c r="BG43" s="161"/>
      <c r="BH43" s="142"/>
      <c r="BI43" s="161"/>
      <c r="BJ43" s="142"/>
      <c r="BM43" s="193" t="s">
        <v>198</v>
      </c>
      <c r="BN43" s="161"/>
      <c r="BO43" s="161"/>
      <c r="BP43" s="161"/>
      <c r="BQ43" s="142"/>
      <c r="BR43" s="161"/>
      <c r="BV43" s="193" t="s">
        <v>198</v>
      </c>
      <c r="BW43" s="161"/>
      <c r="BX43" s="161"/>
      <c r="BY43" s="161"/>
      <c r="BZ43" s="142"/>
      <c r="CA43" s="161"/>
      <c r="CB43" s="142"/>
      <c r="CE43" s="193" t="s">
        <v>198</v>
      </c>
      <c r="CF43" s="161"/>
      <c r="CG43" s="161"/>
      <c r="CH43" s="161"/>
      <c r="CI43" s="142"/>
      <c r="CJ43" s="161"/>
      <c r="CN43" s="193" t="s">
        <v>198</v>
      </c>
      <c r="CO43" s="161"/>
      <c r="CP43" s="161"/>
      <c r="CQ43" s="161"/>
      <c r="CR43" s="142"/>
      <c r="CS43" s="161"/>
      <c r="CW43" s="193" t="s">
        <v>198</v>
      </c>
      <c r="CX43" s="161"/>
      <c r="CY43" s="161"/>
      <c r="CZ43" s="161"/>
      <c r="DA43" s="142"/>
      <c r="DB43" s="161"/>
      <c r="DF43" s="193" t="s">
        <v>198</v>
      </c>
      <c r="DG43" s="161"/>
      <c r="DH43" s="161"/>
      <c r="DI43" s="161"/>
      <c r="DJ43" s="142"/>
      <c r="DK43" s="161"/>
      <c r="DO43" s="193" t="s">
        <v>198</v>
      </c>
      <c r="DP43" s="161"/>
      <c r="DQ43" s="161"/>
      <c r="DR43" s="161"/>
      <c r="DS43" s="142"/>
      <c r="DT43" s="161"/>
      <c r="DX43" s="193" t="s">
        <v>198</v>
      </c>
      <c r="DY43" s="161"/>
      <c r="DZ43" s="161"/>
      <c r="EA43" s="161"/>
      <c r="EB43" s="142"/>
      <c r="EC43" s="161"/>
      <c r="EG43" s="193" t="s">
        <v>198</v>
      </c>
      <c r="EH43" s="161"/>
      <c r="EI43" s="161"/>
      <c r="EJ43" s="161"/>
      <c r="EK43" s="142"/>
      <c r="EL43" s="161"/>
      <c r="EP43" s="193" t="s">
        <v>198</v>
      </c>
      <c r="EQ43" s="161"/>
      <c r="ER43" s="161"/>
      <c r="ES43" s="161"/>
      <c r="ET43" s="142"/>
      <c r="EU43" s="161"/>
      <c r="EY43" s="193" t="s">
        <v>198</v>
      </c>
      <c r="EZ43" s="161"/>
      <c r="FA43" s="161"/>
      <c r="FB43" s="161"/>
      <c r="FC43" s="142"/>
      <c r="FD43" s="161"/>
    </row>
    <row r="44" spans="1:162" s="6" customFormat="1">
      <c r="A44" s="7"/>
      <c r="H44" s="7"/>
      <c r="AC44" s="159" t="s">
        <v>185</v>
      </c>
      <c r="AD44" s="161"/>
      <c r="AE44" s="27"/>
      <c r="AF44" s="161"/>
      <c r="AG44" s="161"/>
      <c r="AH44" s="172" t="s">
        <v>328</v>
      </c>
      <c r="AL44" s="161"/>
      <c r="AM44" s="161"/>
      <c r="AN44" s="161"/>
      <c r="AO44" s="161"/>
      <c r="AP44" s="142"/>
      <c r="AQ44" s="142"/>
      <c r="AR44" s="142"/>
      <c r="AU44" s="161"/>
      <c r="AV44" s="161"/>
      <c r="AW44" s="161"/>
      <c r="AX44" s="161"/>
      <c r="AY44" s="142"/>
      <c r="AZ44" s="142"/>
      <c r="BA44" s="142"/>
      <c r="BD44" s="161"/>
      <c r="BE44" s="161"/>
      <c r="BF44" s="161"/>
      <c r="BG44" s="161"/>
      <c r="BH44" s="142"/>
      <c r="BI44" s="142"/>
      <c r="BJ44" s="142"/>
      <c r="BM44" s="161"/>
      <c r="BN44" s="161"/>
      <c r="BO44" s="161"/>
      <c r="BP44" s="161"/>
      <c r="BQ44" s="142"/>
      <c r="BR44" s="142"/>
      <c r="BV44" s="161"/>
      <c r="BW44" s="161"/>
      <c r="BX44" s="161"/>
      <c r="BY44" s="161"/>
      <c r="BZ44" s="142"/>
      <c r="CA44" s="142"/>
      <c r="CB44" s="142"/>
      <c r="CE44" s="161"/>
      <c r="CF44" s="161"/>
      <c r="CG44" s="161"/>
      <c r="CH44" s="161"/>
      <c r="CI44" s="142"/>
      <c r="CJ44" s="142"/>
      <c r="CN44" s="161"/>
      <c r="CO44" s="161"/>
      <c r="CP44" s="161"/>
      <c r="CQ44" s="161"/>
      <c r="CR44" s="142"/>
      <c r="CS44" s="142"/>
      <c r="CW44" s="161"/>
      <c r="CX44" s="161"/>
      <c r="CY44" s="161"/>
      <c r="CZ44" s="161"/>
      <c r="DA44" s="142"/>
      <c r="DB44" s="142"/>
      <c r="DF44" s="161"/>
      <c r="DG44" s="161"/>
      <c r="DH44" s="161"/>
      <c r="DI44" s="161"/>
      <c r="DJ44" s="142"/>
      <c r="DK44" s="142"/>
      <c r="DO44" s="161"/>
      <c r="DP44" s="161"/>
      <c r="DQ44" s="161"/>
      <c r="DR44" s="161"/>
      <c r="DS44" s="142"/>
      <c r="DT44" s="142"/>
      <c r="DX44" s="161"/>
      <c r="DY44" s="161"/>
      <c r="DZ44" s="161"/>
      <c r="EA44" s="161"/>
      <c r="EB44" s="142"/>
      <c r="EC44" s="142"/>
      <c r="EG44" s="161"/>
      <c r="EH44" s="161"/>
      <c r="EI44" s="161"/>
      <c r="EJ44" s="161"/>
      <c r="EK44" s="142"/>
      <c r="EL44" s="142"/>
      <c r="EP44" s="161"/>
      <c r="EQ44" s="161"/>
      <c r="ER44" s="161"/>
      <c r="ES44" s="161"/>
      <c r="ET44" s="142"/>
      <c r="EU44" s="142"/>
      <c r="EY44" s="161"/>
      <c r="EZ44" s="161"/>
      <c r="FA44" s="161"/>
      <c r="FB44" s="161"/>
      <c r="FC44" s="142"/>
      <c r="FD44" s="142"/>
    </row>
    <row r="45" spans="1:162" s="6" customFormat="1">
      <c r="A45" s="7"/>
      <c r="H45" s="7"/>
      <c r="AC45" s="161"/>
      <c r="AD45" s="161"/>
      <c r="AE45" s="27"/>
      <c r="AF45" s="161"/>
      <c r="AG45" s="161"/>
      <c r="AH45" s="175"/>
      <c r="AL45" s="161"/>
      <c r="AM45" s="188" t="s">
        <v>193</v>
      </c>
      <c r="AN45" s="76" t="s">
        <v>194</v>
      </c>
      <c r="AO45" s="142"/>
      <c r="AP45" s="142"/>
      <c r="AQ45" s="142"/>
      <c r="AR45" s="142"/>
      <c r="AU45" s="161"/>
      <c r="AV45" s="188" t="s">
        <v>193</v>
      </c>
      <c r="AW45" s="76" t="s">
        <v>194</v>
      </c>
      <c r="AX45" s="142"/>
      <c r="AY45" s="142"/>
      <c r="AZ45" s="142"/>
      <c r="BA45" s="142"/>
      <c r="BD45" s="161"/>
      <c r="BE45" s="188" t="s">
        <v>193</v>
      </c>
      <c r="BF45" s="76" t="s">
        <v>194</v>
      </c>
      <c r="BG45" s="142"/>
      <c r="BH45" s="142"/>
      <c r="BI45" s="142"/>
      <c r="BJ45" s="142"/>
      <c r="BM45" s="161"/>
      <c r="BN45" s="188" t="s">
        <v>193</v>
      </c>
      <c r="BO45" s="76" t="s">
        <v>194</v>
      </c>
      <c r="BP45" s="142"/>
      <c r="BQ45" s="142"/>
      <c r="BR45" s="142"/>
      <c r="BV45" s="161"/>
      <c r="BW45" s="188" t="s">
        <v>193</v>
      </c>
      <c r="BX45" s="76" t="s">
        <v>194</v>
      </c>
      <c r="BY45" s="142"/>
      <c r="BZ45" s="142"/>
      <c r="CA45" s="142"/>
      <c r="CB45" s="142"/>
      <c r="CE45" s="161"/>
      <c r="CF45" s="188" t="s">
        <v>193</v>
      </c>
      <c r="CG45" s="76" t="s">
        <v>194</v>
      </c>
      <c r="CH45" s="142"/>
      <c r="CI45" s="142"/>
      <c r="CJ45" s="142"/>
      <c r="CN45" s="161"/>
      <c r="CO45" s="188" t="s">
        <v>193</v>
      </c>
      <c r="CP45" s="76" t="s">
        <v>194</v>
      </c>
      <c r="CQ45" s="142"/>
      <c r="CR45" s="142"/>
      <c r="CS45" s="142"/>
      <c r="CW45" s="161"/>
      <c r="CX45" s="188" t="s">
        <v>193</v>
      </c>
      <c r="CY45" s="76" t="s">
        <v>194</v>
      </c>
      <c r="CZ45" s="142"/>
      <c r="DA45" s="142"/>
      <c r="DB45" s="142"/>
      <c r="DF45" s="161"/>
      <c r="DG45" s="188" t="s">
        <v>193</v>
      </c>
      <c r="DH45" s="76" t="s">
        <v>194</v>
      </c>
      <c r="DI45" s="142"/>
      <c r="DJ45" s="142"/>
      <c r="DK45" s="142"/>
      <c r="DO45" s="161"/>
      <c r="DP45" s="188" t="s">
        <v>193</v>
      </c>
      <c r="DQ45" s="76" t="s">
        <v>194</v>
      </c>
      <c r="DR45" s="142"/>
      <c r="DS45" s="142"/>
      <c r="DT45" s="142"/>
      <c r="DX45" s="161"/>
      <c r="DY45" s="188" t="s">
        <v>193</v>
      </c>
      <c r="DZ45" s="76" t="s">
        <v>194</v>
      </c>
      <c r="EA45" s="142"/>
      <c r="EB45" s="142"/>
      <c r="EC45" s="142"/>
      <c r="EG45" s="161"/>
      <c r="EH45" s="188" t="s">
        <v>193</v>
      </c>
      <c r="EI45" s="76" t="s">
        <v>194</v>
      </c>
      <c r="EJ45" s="142"/>
      <c r="EK45" s="142"/>
      <c r="EL45" s="142"/>
      <c r="EP45" s="161"/>
      <c r="EQ45" s="188" t="s">
        <v>193</v>
      </c>
      <c r="ER45" s="76" t="s">
        <v>194</v>
      </c>
      <c r="ES45" s="142"/>
      <c r="ET45" s="142"/>
      <c r="EU45" s="142"/>
      <c r="EY45" s="161"/>
      <c r="EZ45" s="188" t="s">
        <v>193</v>
      </c>
      <c r="FA45" s="76" t="s">
        <v>194</v>
      </c>
      <c r="FB45" s="142"/>
      <c r="FC45" s="142"/>
      <c r="FD45" s="142"/>
    </row>
    <row r="46" spans="1:162" s="6" customFormat="1" ht="18">
      <c r="A46" s="7"/>
      <c r="H46" s="7"/>
      <c r="AC46" s="176" t="s">
        <v>186</v>
      </c>
      <c r="AD46" s="36">
        <v>107</v>
      </c>
      <c r="AE46" s="161"/>
      <c r="AF46" s="161"/>
      <c r="AH46" s="175"/>
      <c r="AL46" s="189" t="s">
        <v>196</v>
      </c>
      <c r="AM46" s="147">
        <f>$AD$40*AO39</f>
        <v>1127.5000000000002</v>
      </c>
      <c r="AN46" s="187">
        <f>$AE$40*AO40</f>
        <v>1332.5</v>
      </c>
      <c r="AO46" s="178" t="s">
        <v>197</v>
      </c>
      <c r="AP46" s="161"/>
      <c r="AQ46" s="161"/>
      <c r="AU46" s="189" t="s">
        <v>196</v>
      </c>
      <c r="AV46" s="147">
        <f>$AD$40*AX39</f>
        <v>2378.7500000000005</v>
      </c>
      <c r="AW46" s="187">
        <f>$AE$40*AX40</f>
        <v>2811.25</v>
      </c>
      <c r="AX46" s="178" t="s">
        <v>197</v>
      </c>
      <c r="AY46" s="161"/>
      <c r="AZ46" s="161"/>
      <c r="BD46" s="189" t="s">
        <v>196</v>
      </c>
      <c r="BE46" s="147">
        <f>$AD$40*BG39</f>
        <v>2062.5000000000005</v>
      </c>
      <c r="BF46" s="187">
        <f>$AE$40*BG40</f>
        <v>2437.5</v>
      </c>
      <c r="BG46" s="178" t="s">
        <v>197</v>
      </c>
      <c r="BH46" s="161"/>
      <c r="BI46" s="161"/>
      <c r="BM46" s="189" t="s">
        <v>196</v>
      </c>
      <c r="BN46" s="147">
        <f>$AD$40*BP39</f>
        <v>3355.0000000000005</v>
      </c>
      <c r="BO46" s="187">
        <f>$AE$40*BP40</f>
        <v>3965</v>
      </c>
      <c r="BP46" s="178" t="s">
        <v>197</v>
      </c>
      <c r="BQ46" s="161"/>
      <c r="BR46" s="161"/>
      <c r="BV46" s="189" t="s">
        <v>196</v>
      </c>
      <c r="BW46" s="147">
        <f>$AD$40*BY39</f>
        <v>1804.6875000000002</v>
      </c>
      <c r="BX46" s="187">
        <f>$AE$40*BY40</f>
        <v>2132.8125</v>
      </c>
      <c r="BY46" s="178" t="s">
        <v>197</v>
      </c>
      <c r="BZ46" s="161"/>
      <c r="CA46" s="161"/>
      <c r="CE46" s="189" t="s">
        <v>196</v>
      </c>
      <c r="CF46" s="147">
        <f>$AD$40*CH39</f>
        <v>2310.0000000000005</v>
      </c>
      <c r="CG46" s="187">
        <f>$AE$40*CH40</f>
        <v>2730</v>
      </c>
      <c r="CH46" s="178" t="s">
        <v>197</v>
      </c>
      <c r="CI46" s="161"/>
      <c r="CJ46" s="161"/>
      <c r="CN46" s="189" t="s">
        <v>196</v>
      </c>
      <c r="CO46" s="147">
        <f>$AD$40*CQ39</f>
        <v>2722.5000000000005</v>
      </c>
      <c r="CP46" s="187">
        <f>$AE$40*CQ40</f>
        <v>3217.5</v>
      </c>
      <c r="CQ46" s="178" t="s">
        <v>197</v>
      </c>
      <c r="CR46" s="161"/>
      <c r="CS46" s="161"/>
      <c r="CW46" s="189" t="s">
        <v>196</v>
      </c>
      <c r="CX46" s="147">
        <f>$AD$40*CZ39</f>
        <v>4455.0000000000009</v>
      </c>
      <c r="CY46" s="187">
        <f>$AE$40*CZ40</f>
        <v>5265</v>
      </c>
      <c r="CZ46" s="178" t="s">
        <v>197</v>
      </c>
      <c r="DA46" s="161"/>
      <c r="DB46" s="161"/>
      <c r="DF46" s="189" t="s">
        <v>196</v>
      </c>
      <c r="DG46" s="147">
        <f>$AD$40*DI39</f>
        <v>1471.2500000000002</v>
      </c>
      <c r="DH46" s="187">
        <f>$AE$40*DI40</f>
        <v>1738.75</v>
      </c>
      <c r="DI46" s="178" t="s">
        <v>197</v>
      </c>
      <c r="DJ46" s="161"/>
      <c r="DK46" s="161"/>
      <c r="DO46" s="189" t="s">
        <v>196</v>
      </c>
      <c r="DP46" s="147">
        <f>$AD$40*DR39</f>
        <v>1103.4375000000002</v>
      </c>
      <c r="DQ46" s="187">
        <f>$AE$40*DR40</f>
        <v>1304.0625</v>
      </c>
      <c r="DR46" s="178" t="s">
        <v>197</v>
      </c>
      <c r="DS46" s="161"/>
      <c r="DT46" s="161"/>
      <c r="DX46" s="189" t="s">
        <v>196</v>
      </c>
      <c r="DY46" s="147">
        <f>$AD$40*EA39</f>
        <v>603.28125000000011</v>
      </c>
      <c r="DZ46" s="187">
        <f>$AE$40*EA40</f>
        <v>712.96875</v>
      </c>
      <c r="EA46" s="178" t="s">
        <v>197</v>
      </c>
      <c r="EB46" s="161"/>
      <c r="EC46" s="161"/>
      <c r="EG46" s="189" t="s">
        <v>196</v>
      </c>
      <c r="EH46" s="147">
        <f>$AD$40*EJ39</f>
        <v>1760.0000000000002</v>
      </c>
      <c r="EI46" s="187">
        <f>$AE$40*EJ40</f>
        <v>2080</v>
      </c>
      <c r="EJ46" s="178" t="s">
        <v>197</v>
      </c>
      <c r="EK46" s="161"/>
      <c r="EL46" s="161"/>
      <c r="EP46" s="189" t="s">
        <v>196</v>
      </c>
      <c r="EQ46" s="147">
        <f>$AD$40*ES39</f>
        <v>757.96875000000011</v>
      </c>
      <c r="ER46" s="187">
        <f>$AE$40*ES40</f>
        <v>895.78125</v>
      </c>
      <c r="ES46" s="178" t="s">
        <v>197</v>
      </c>
      <c r="ET46" s="161"/>
      <c r="EU46" s="161"/>
      <c r="EY46" s="189" t="s">
        <v>196</v>
      </c>
      <c r="EZ46" s="147">
        <f>$AD$40*FB39</f>
        <v>603.28125000000011</v>
      </c>
      <c r="FA46" s="187">
        <f>$AE$40*FB40</f>
        <v>712.96875</v>
      </c>
      <c r="FB46" s="178" t="s">
        <v>197</v>
      </c>
      <c r="FC46" s="161"/>
      <c r="FD46" s="161"/>
    </row>
    <row r="47" spans="1:162" s="6" customFormat="1" ht="18">
      <c r="A47" s="7"/>
      <c r="H47" s="7"/>
      <c r="AC47" s="157" t="s">
        <v>201</v>
      </c>
      <c r="AD47" s="36">
        <v>0.75</v>
      </c>
      <c r="AE47" s="161"/>
      <c r="AF47" s="161"/>
      <c r="AG47" s="161"/>
      <c r="AL47" s="190" t="s">
        <v>195</v>
      </c>
      <c r="AM47" s="148">
        <f>$AD$41*AO39</f>
        <v>1537.5</v>
      </c>
      <c r="AN47" s="184">
        <f>$AE$41*AO40</f>
        <v>1785.5500000000002</v>
      </c>
      <c r="AO47" s="178" t="s">
        <v>197</v>
      </c>
      <c r="AP47" s="161"/>
      <c r="AQ47" s="161"/>
      <c r="AU47" s="190" t="s">
        <v>195</v>
      </c>
      <c r="AV47" s="148">
        <f>$AD$41*AX39</f>
        <v>3243.75</v>
      </c>
      <c r="AW47" s="184">
        <f>$AE$41*AX40</f>
        <v>3767.0750000000003</v>
      </c>
      <c r="AX47" s="178" t="s">
        <v>197</v>
      </c>
      <c r="AY47" s="161"/>
      <c r="AZ47" s="161"/>
      <c r="BD47" s="190" t="s">
        <v>195</v>
      </c>
      <c r="BE47" s="148">
        <f>$AD$41*BG39</f>
        <v>2812.5</v>
      </c>
      <c r="BF47" s="184">
        <f>$AE$41*BG40</f>
        <v>3266.2500000000005</v>
      </c>
      <c r="BG47" s="178" t="s">
        <v>197</v>
      </c>
      <c r="BH47" s="161"/>
      <c r="BI47" s="161"/>
      <c r="BM47" s="190" t="s">
        <v>195</v>
      </c>
      <c r="BN47" s="148">
        <f>$AD$41*BP39</f>
        <v>4575</v>
      </c>
      <c r="BO47" s="184">
        <f>$AE$41*BP40</f>
        <v>5313.1</v>
      </c>
      <c r="BP47" s="178" t="s">
        <v>197</v>
      </c>
      <c r="BQ47" s="161"/>
      <c r="BR47" s="161"/>
      <c r="BV47" s="190" t="s">
        <v>195</v>
      </c>
      <c r="BW47" s="148">
        <f>$AD$41*BY39</f>
        <v>2460.9375</v>
      </c>
      <c r="BX47" s="184">
        <f>$AE$41*BY40</f>
        <v>2857.9687500000005</v>
      </c>
      <c r="BY47" s="178" t="s">
        <v>197</v>
      </c>
      <c r="BZ47" s="161"/>
      <c r="CA47" s="161"/>
      <c r="CE47" s="190" t="s">
        <v>195</v>
      </c>
      <c r="CF47" s="148">
        <f>$AD$41*CH39</f>
        <v>3150</v>
      </c>
      <c r="CG47" s="184">
        <f>$AE$41*CH40</f>
        <v>3658.2000000000003</v>
      </c>
      <c r="CH47" s="178" t="s">
        <v>197</v>
      </c>
      <c r="CI47" s="161"/>
      <c r="CJ47" s="161"/>
      <c r="CN47" s="190" t="s">
        <v>195</v>
      </c>
      <c r="CO47" s="148">
        <f>$AD$41*CQ39</f>
        <v>3712.5</v>
      </c>
      <c r="CP47" s="184">
        <f>$AE$41*CQ40</f>
        <v>4311.4500000000007</v>
      </c>
      <c r="CQ47" s="178" t="s">
        <v>197</v>
      </c>
      <c r="CR47" s="161"/>
      <c r="CS47" s="161"/>
      <c r="CW47" s="190" t="s">
        <v>195</v>
      </c>
      <c r="CX47" s="148">
        <f>$AD$41*CZ39</f>
        <v>6075</v>
      </c>
      <c r="CY47" s="184">
        <f>$AE$41*CZ40</f>
        <v>7055.1</v>
      </c>
      <c r="CZ47" s="178" t="s">
        <v>197</v>
      </c>
      <c r="DA47" s="161"/>
      <c r="DB47" s="161"/>
      <c r="DF47" s="190" t="s">
        <v>195</v>
      </c>
      <c r="DG47" s="148">
        <f>$AD$41*DI39</f>
        <v>2006.25</v>
      </c>
      <c r="DH47" s="184">
        <f>$AE$41*DI40</f>
        <v>2329.9250000000002</v>
      </c>
      <c r="DI47" s="178" t="s">
        <v>197</v>
      </c>
      <c r="DJ47" s="161"/>
      <c r="DK47" s="161"/>
      <c r="DO47" s="190" t="s">
        <v>195</v>
      </c>
      <c r="DP47" s="148">
        <f>$AD$41*DR39</f>
        <v>1504.6875</v>
      </c>
      <c r="DQ47" s="184">
        <f>$AE$41*DR40</f>
        <v>1747.4437500000001</v>
      </c>
      <c r="DR47" s="178" t="s">
        <v>197</v>
      </c>
      <c r="DS47" s="161"/>
      <c r="DT47" s="161"/>
      <c r="DX47" s="190" t="s">
        <v>195</v>
      </c>
      <c r="DY47" s="148">
        <f>$AD$41*EA39</f>
        <v>822.65625</v>
      </c>
      <c r="DZ47" s="184">
        <f>$AE$41*EA40</f>
        <v>955.37812500000007</v>
      </c>
      <c r="EA47" s="178" t="s">
        <v>197</v>
      </c>
      <c r="EB47" s="161"/>
      <c r="EC47" s="161"/>
      <c r="EG47" s="190" t="s">
        <v>195</v>
      </c>
      <c r="EH47" s="148">
        <f>$AD$41*EJ39</f>
        <v>2400</v>
      </c>
      <c r="EI47" s="184">
        <f>$AE$41*EJ40</f>
        <v>2787.2000000000003</v>
      </c>
      <c r="EJ47" s="178" t="s">
        <v>197</v>
      </c>
      <c r="EK47" s="161"/>
      <c r="EL47" s="161"/>
      <c r="EP47" s="190" t="s">
        <v>195</v>
      </c>
      <c r="EQ47" s="148">
        <f>$AD$41*ES39</f>
        <v>1033.59375</v>
      </c>
      <c r="ER47" s="184">
        <f>$AE$41*ES40</f>
        <v>1200.3468750000002</v>
      </c>
      <c r="ES47" s="178" t="s">
        <v>197</v>
      </c>
      <c r="ET47" s="161"/>
      <c r="EU47" s="161"/>
      <c r="EY47" s="190" t="s">
        <v>195</v>
      </c>
      <c r="EZ47" s="148">
        <f>$AD$41*FB39</f>
        <v>822.65625</v>
      </c>
      <c r="FA47" s="184">
        <f>$AE$41*FB40</f>
        <v>955.37812500000007</v>
      </c>
      <c r="FB47" s="178" t="s">
        <v>197</v>
      </c>
      <c r="FC47" s="161"/>
      <c r="FD47" s="161"/>
    </row>
    <row r="48" spans="1:162" s="6" customFormat="1" ht="14.25" customHeight="1">
      <c r="A48" s="7"/>
      <c r="H48" s="7"/>
      <c r="AC48" s="157" t="s">
        <v>325</v>
      </c>
      <c r="AD48" s="36">
        <v>120</v>
      </c>
      <c r="AE48" s="161"/>
      <c r="AF48" s="161"/>
      <c r="AG48" s="161"/>
      <c r="AH48" s="161"/>
      <c r="AL48" s="176"/>
      <c r="AM48" s="161"/>
      <c r="AN48" s="161"/>
      <c r="AO48" s="161"/>
      <c r="AP48" s="161"/>
      <c r="AQ48" s="161"/>
      <c r="AU48" s="176"/>
      <c r="AV48" s="161"/>
      <c r="AW48" s="161"/>
      <c r="AX48" s="161"/>
      <c r="AY48" s="161"/>
      <c r="AZ48" s="161"/>
      <c r="BD48" s="176"/>
      <c r="BE48" s="161"/>
      <c r="BF48" s="161"/>
      <c r="BG48" s="161"/>
      <c r="BH48" s="161"/>
      <c r="BI48" s="161"/>
      <c r="BM48" s="176"/>
      <c r="BN48" s="161"/>
      <c r="BO48" s="161"/>
      <c r="BP48" s="161"/>
      <c r="BQ48" s="161"/>
      <c r="BR48" s="161"/>
      <c r="BV48" s="176"/>
      <c r="BW48" s="161"/>
      <c r="BX48" s="161"/>
      <c r="BY48" s="161"/>
      <c r="BZ48" s="161"/>
      <c r="CA48" s="161"/>
      <c r="CE48" s="176"/>
      <c r="CF48" s="161"/>
      <c r="CG48" s="161"/>
      <c r="CH48" s="161"/>
      <c r="CI48" s="161"/>
      <c r="CJ48" s="161"/>
      <c r="CN48" s="176"/>
      <c r="CO48" s="161"/>
      <c r="CP48" s="161"/>
      <c r="CQ48" s="161"/>
      <c r="CR48" s="161"/>
      <c r="CS48" s="161"/>
      <c r="CW48" s="176"/>
      <c r="CX48" s="161"/>
      <c r="CY48" s="161"/>
      <c r="CZ48" s="161"/>
      <c r="DA48" s="161"/>
      <c r="DB48" s="161"/>
      <c r="DF48" s="176"/>
      <c r="DG48" s="161"/>
      <c r="DH48" s="161"/>
      <c r="DI48" s="161"/>
      <c r="DJ48" s="161"/>
      <c r="DK48" s="161"/>
      <c r="DO48" s="176"/>
      <c r="DP48" s="161"/>
      <c r="DQ48" s="161"/>
      <c r="DR48" s="161"/>
      <c r="DS48" s="161"/>
      <c r="DT48" s="161"/>
      <c r="DX48" s="176"/>
      <c r="DY48" s="161"/>
      <c r="DZ48" s="161"/>
      <c r="EA48" s="161"/>
      <c r="EB48" s="161"/>
      <c r="EC48" s="161"/>
      <c r="EG48" s="176"/>
      <c r="EH48" s="161"/>
      <c r="EI48" s="161"/>
      <c r="EJ48" s="161"/>
      <c r="EK48" s="161"/>
      <c r="EL48" s="161"/>
      <c r="EP48" s="176"/>
      <c r="EQ48" s="161"/>
      <c r="ER48" s="161"/>
      <c r="ES48" s="161"/>
      <c r="ET48" s="161"/>
      <c r="EU48" s="161"/>
      <c r="EY48" s="176"/>
      <c r="EZ48" s="161"/>
      <c r="FA48" s="161"/>
      <c r="FB48" s="161"/>
      <c r="FC48" s="161"/>
      <c r="FD48" s="161"/>
    </row>
    <row r="49" spans="1:171" s="6" customFormat="1">
      <c r="A49" s="7"/>
      <c r="H49" s="7"/>
      <c r="AL49" s="159" t="s">
        <v>199</v>
      </c>
      <c r="AM49" s="161"/>
      <c r="AN49" s="161"/>
      <c r="AO49" s="161"/>
      <c r="AP49" s="161"/>
      <c r="AQ49" s="161"/>
      <c r="AU49" s="159" t="s">
        <v>199</v>
      </c>
      <c r="AV49" s="161"/>
      <c r="AW49" s="161"/>
      <c r="AX49" s="161"/>
      <c r="AY49" s="161"/>
      <c r="AZ49" s="161"/>
      <c r="BD49" s="159" t="s">
        <v>199</v>
      </c>
      <c r="BE49" s="161"/>
      <c r="BF49" s="161"/>
      <c r="BG49" s="161"/>
      <c r="BH49" s="161"/>
      <c r="BI49" s="161"/>
      <c r="BM49" s="159" t="s">
        <v>199</v>
      </c>
      <c r="BN49" s="161"/>
      <c r="BO49" s="161"/>
      <c r="BP49" s="161"/>
      <c r="BQ49" s="161"/>
      <c r="BR49" s="161"/>
      <c r="BV49" s="159" t="s">
        <v>199</v>
      </c>
      <c r="BW49" s="161"/>
      <c r="BX49" s="161"/>
      <c r="BY49" s="161"/>
      <c r="BZ49" s="161"/>
      <c r="CA49" s="161"/>
      <c r="CE49" s="159" t="s">
        <v>199</v>
      </c>
      <c r="CF49" s="161"/>
      <c r="CG49" s="161"/>
      <c r="CH49" s="161"/>
      <c r="CI49" s="161"/>
      <c r="CJ49" s="161"/>
      <c r="CN49" s="159" t="s">
        <v>199</v>
      </c>
      <c r="CO49" s="161"/>
      <c r="CP49" s="161"/>
      <c r="CQ49" s="161"/>
      <c r="CR49" s="161"/>
      <c r="CS49" s="161"/>
      <c r="CW49" s="159" t="s">
        <v>199</v>
      </c>
      <c r="CX49" s="161"/>
      <c r="CY49" s="161"/>
      <c r="CZ49" s="161"/>
      <c r="DA49" s="161"/>
      <c r="DB49" s="161"/>
      <c r="DF49" s="159" t="s">
        <v>199</v>
      </c>
      <c r="DG49" s="161"/>
      <c r="DH49" s="161"/>
      <c r="DI49" s="161"/>
      <c r="DJ49" s="161"/>
      <c r="DK49" s="161"/>
      <c r="DO49" s="159" t="s">
        <v>199</v>
      </c>
      <c r="DP49" s="161"/>
      <c r="DQ49" s="161"/>
      <c r="DR49" s="161"/>
      <c r="DS49" s="161"/>
      <c r="DT49" s="161"/>
      <c r="DX49" s="159" t="s">
        <v>199</v>
      </c>
      <c r="DY49" s="161"/>
      <c r="DZ49" s="161"/>
      <c r="EA49" s="161"/>
      <c r="EB49" s="161"/>
      <c r="EC49" s="161"/>
      <c r="EG49" s="159" t="s">
        <v>199</v>
      </c>
      <c r="EH49" s="161"/>
      <c r="EI49" s="161"/>
      <c r="EJ49" s="161"/>
      <c r="EK49" s="161"/>
      <c r="EL49" s="161"/>
      <c r="EP49" s="159" t="s">
        <v>199</v>
      </c>
      <c r="EQ49" s="161"/>
      <c r="ER49" s="161"/>
      <c r="ES49" s="161"/>
      <c r="ET49" s="161"/>
      <c r="EU49" s="161"/>
      <c r="EY49" s="159" t="s">
        <v>199</v>
      </c>
      <c r="EZ49" s="161"/>
      <c r="FA49" s="161"/>
      <c r="FB49" s="161"/>
      <c r="FC49" s="161"/>
      <c r="FD49" s="161"/>
    </row>
    <row r="50" spans="1:171" s="6" customFormat="1">
      <c r="A50" s="7"/>
      <c r="H50" s="7"/>
      <c r="AL50" s="161"/>
      <c r="AM50" s="161"/>
      <c r="AN50" s="161"/>
      <c r="AO50" s="161"/>
      <c r="AP50" s="142"/>
      <c r="AQ50" s="142"/>
      <c r="AR50" s="142"/>
      <c r="AU50" s="161"/>
      <c r="AV50" s="161"/>
      <c r="AW50" s="161"/>
      <c r="AX50" s="161"/>
      <c r="AY50" s="142"/>
      <c r="AZ50" s="142"/>
      <c r="BD50" s="161"/>
      <c r="BE50" s="161"/>
      <c r="BF50" s="161"/>
      <c r="BG50" s="161"/>
      <c r="BH50" s="142"/>
      <c r="BI50" s="142"/>
      <c r="BM50" s="161"/>
      <c r="BN50" s="161"/>
      <c r="BO50" s="161"/>
      <c r="BP50" s="161"/>
      <c r="BQ50" s="142"/>
      <c r="BR50" s="142"/>
      <c r="BV50" s="161"/>
      <c r="BW50" s="161"/>
      <c r="BX50" s="161"/>
      <c r="BY50" s="161"/>
      <c r="BZ50" s="142"/>
      <c r="CA50" s="142"/>
      <c r="CE50" s="161"/>
      <c r="CF50" s="161"/>
      <c r="CG50" s="161"/>
      <c r="CH50" s="161"/>
      <c r="CI50" s="142"/>
      <c r="CJ50" s="142"/>
      <c r="CN50" s="158"/>
      <c r="CO50" s="161"/>
      <c r="CP50" s="161"/>
      <c r="CQ50" s="161"/>
      <c r="CR50" s="142"/>
      <c r="CS50" s="142"/>
      <c r="CW50" s="161"/>
      <c r="CX50" s="161"/>
      <c r="CY50" s="161"/>
      <c r="CZ50" s="161"/>
      <c r="DA50" s="142"/>
      <c r="DB50" s="142"/>
      <c r="DF50" s="161"/>
      <c r="DG50" s="161"/>
      <c r="DH50" s="161"/>
      <c r="DI50" s="161"/>
      <c r="DJ50" s="142"/>
      <c r="DK50" s="142"/>
      <c r="DO50" s="161"/>
      <c r="DP50" s="161"/>
      <c r="DQ50" s="161"/>
      <c r="DR50" s="161"/>
      <c r="DS50" s="142"/>
      <c r="DT50" s="142"/>
      <c r="DX50" s="161"/>
      <c r="DY50" s="161"/>
      <c r="DZ50" s="161"/>
      <c r="EA50" s="161"/>
      <c r="EB50" s="142"/>
      <c r="EC50" s="142"/>
      <c r="EG50" s="161"/>
      <c r="EH50" s="161"/>
      <c r="EI50" s="161"/>
      <c r="EJ50" s="161"/>
      <c r="EK50" s="142"/>
      <c r="EL50" s="142"/>
      <c r="EP50" s="161"/>
      <c r="EQ50" s="161"/>
      <c r="ER50" s="161"/>
      <c r="ES50" s="161"/>
      <c r="ET50" s="142"/>
      <c r="EU50" s="142"/>
      <c r="EY50" s="161"/>
      <c r="EZ50" s="161"/>
      <c r="FA50" s="161"/>
      <c r="FB50" s="161"/>
      <c r="FC50" s="142"/>
      <c r="FD50" s="142"/>
    </row>
    <row r="51" spans="1:171" s="6" customFormat="1" ht="18">
      <c r="A51" s="7"/>
      <c r="H51" s="7"/>
      <c r="AL51" s="176" t="s">
        <v>205</v>
      </c>
      <c r="AM51" s="182">
        <f>($AD$47*12*AO8)/AP17</f>
        <v>18.349364031114778</v>
      </c>
      <c r="AN51" s="176" t="s">
        <v>200</v>
      </c>
      <c r="AO51" s="142" t="str">
        <f>IF(AM52&lt;$AD$46, IF(AM51&lt;$AD$46,"OK","NG"), "NG")</f>
        <v>OK</v>
      </c>
      <c r="AP51" s="142"/>
      <c r="AQ51" s="142"/>
      <c r="AR51" s="142"/>
      <c r="AU51" s="176" t="s">
        <v>205</v>
      </c>
      <c r="AV51" s="182">
        <f>($AD$47*12*AX8)/AY17</f>
        <v>19.062296258960011</v>
      </c>
      <c r="AW51" s="176" t="s">
        <v>200</v>
      </c>
      <c r="AX51" s="142" t="str">
        <f>IF(AV52&lt;$AD$46, IF(AV51&lt;$AD$46,"OK","NG"), "NG")</f>
        <v>OK</v>
      </c>
      <c r="AY51" s="142"/>
      <c r="AZ51" s="142"/>
      <c r="BD51" s="176" t="s">
        <v>205</v>
      </c>
      <c r="BE51" s="182">
        <f>($AD$47*12*BG8)/BH17</f>
        <v>19.348013538165585</v>
      </c>
      <c r="BF51" s="176" t="s">
        <v>200</v>
      </c>
      <c r="BG51" s="142" t="str">
        <f>IF(BE52&lt;$AD$46, IF(BE51&lt;$AD$46,"OK","NG"), "NG")</f>
        <v>OK</v>
      </c>
      <c r="BH51" s="142"/>
      <c r="BI51" s="142"/>
      <c r="BM51" s="176" t="s">
        <v>205</v>
      </c>
      <c r="BN51" s="182">
        <f>($AD$47*12*BP8)/BQ17</f>
        <v>20.35449102223151</v>
      </c>
      <c r="BO51" s="176" t="s">
        <v>200</v>
      </c>
      <c r="BP51" s="142" t="str">
        <f>IF(BN52&lt;$AD$46, IF(BN51&lt;$AD$46,"OK","NG"), "NG")</f>
        <v>OK</v>
      </c>
      <c r="BQ51" s="142"/>
      <c r="BR51" s="142"/>
      <c r="BV51" s="176" t="s">
        <v>205</v>
      </c>
      <c r="BW51" s="182">
        <f>($AD$47*12*BY8)/BZ17</f>
        <v>18.148358027657373</v>
      </c>
      <c r="BX51" s="176" t="s">
        <v>200</v>
      </c>
      <c r="BY51" s="142" t="str">
        <f>IF(BW52&lt;$AD$46, IF(BW51&lt;$AD$46,"OK","NG"), "NG")</f>
        <v>OK</v>
      </c>
      <c r="BZ51" s="142"/>
      <c r="CA51" s="142"/>
      <c r="CE51" s="176" t="s">
        <v>205</v>
      </c>
      <c r="CF51" s="182">
        <f>($AD$47*12*CH8)/CI17</f>
        <v>18.395656668776272</v>
      </c>
      <c r="CG51" s="176" t="s">
        <v>200</v>
      </c>
      <c r="CH51" s="142" t="str">
        <f>IF(CF52&lt;$AD$46, IF(CF51&lt;$AD$46,"OK","NG"), "NG")</f>
        <v>OK</v>
      </c>
      <c r="CI51" s="142"/>
      <c r="CJ51" s="142"/>
      <c r="CN51" s="176" t="s">
        <v>205</v>
      </c>
      <c r="CO51" s="182">
        <f>($AD$47*12*CQ8)/CR17</f>
        <v>18.203484827573043</v>
      </c>
      <c r="CP51" s="176" t="s">
        <v>200</v>
      </c>
      <c r="CQ51" s="142" t="str">
        <f>IF(CO52&lt;$AD$46, IF(CO51&lt;$AD$46,"OK","NG"), "NG")</f>
        <v>OK</v>
      </c>
      <c r="CR51" s="142"/>
      <c r="CS51" s="142"/>
      <c r="CW51" s="176" t="s">
        <v>205</v>
      </c>
      <c r="CX51" s="182">
        <f>($AD$47*12*CZ8)/DA17</f>
        <v>19.778324634027655</v>
      </c>
      <c r="CY51" s="176" t="s">
        <v>200</v>
      </c>
      <c r="CZ51" s="142" t="str">
        <f>IF(CX52&lt;$AD$46, IF(CX51&lt;$AD$46,"OK","NG"), "NG")</f>
        <v>OK</v>
      </c>
      <c r="DA51" s="142"/>
      <c r="DB51" s="142"/>
      <c r="DF51" s="176" t="s">
        <v>205</v>
      </c>
      <c r="DG51" s="182">
        <f>($AD$47*12*DI8)/DJ17</f>
        <v>37.762361974592118</v>
      </c>
      <c r="DH51" s="176" t="s">
        <v>200</v>
      </c>
      <c r="DI51" s="142" t="str">
        <f>IF(DG52&lt;$AD$46, IF(DG51&lt;$AD$46,"OK","NG"), "NG")</f>
        <v>OK</v>
      </c>
      <c r="DJ51" s="142"/>
      <c r="DK51" s="142"/>
      <c r="DO51" s="176" t="s">
        <v>205</v>
      </c>
      <c r="DP51" s="182">
        <f>($AD$47*12*DR8)/DS17</f>
        <v>37.13211981754263</v>
      </c>
      <c r="DQ51" s="176" t="s">
        <v>200</v>
      </c>
      <c r="DR51" s="142" t="str">
        <f>IF(DP52&lt;$AD$46, IF(DP51&lt;$AD$46,"OK","NG"), "NG")</f>
        <v>OK</v>
      </c>
      <c r="DS51" s="142"/>
      <c r="DT51" s="142"/>
      <c r="DX51" s="176" t="s">
        <v>205</v>
      </c>
      <c r="DY51" s="182">
        <f>($AD$47*12*EA8)/EB17</f>
        <v>34.760825981435737</v>
      </c>
      <c r="DZ51" s="176" t="s">
        <v>200</v>
      </c>
      <c r="EA51" s="142" t="str">
        <f>IF(DY52&lt;$AD$46, IF(DY51&lt;$AD$46,"OK","NG"), "NG")</f>
        <v>OK</v>
      </c>
      <c r="EB51" s="142"/>
      <c r="EC51" s="142"/>
      <c r="EG51" s="176" t="s">
        <v>205</v>
      </c>
      <c r="EH51" s="182">
        <f>($AD$47*12*EJ8)/EK17</f>
        <v>52.784175053146278</v>
      </c>
      <c r="EI51" s="176" t="s">
        <v>200</v>
      </c>
      <c r="EJ51" s="142" t="str">
        <f>IF(EH52&lt;$AD$46, IF(EH51&lt;$AD$46,"OK","NG"), "NG")</f>
        <v>OK</v>
      </c>
      <c r="EK51" s="142"/>
      <c r="EL51" s="142"/>
      <c r="EP51" s="176" t="s">
        <v>205</v>
      </c>
      <c r="EQ51" s="182">
        <f>($AD$47*12*ES8)/ET17</f>
        <v>37.996394265025422</v>
      </c>
      <c r="ER51" s="176" t="s">
        <v>200</v>
      </c>
      <c r="ES51" s="142" t="str">
        <f>IF(EQ52&lt;$AD$46, IF(EQ51&lt;$AD$46,"OK","NG"), "NG")</f>
        <v>OK</v>
      </c>
      <c r="ET51" s="142"/>
      <c r="EU51" s="142"/>
      <c r="EY51" s="176" t="s">
        <v>205</v>
      </c>
      <c r="EZ51" s="182">
        <f>($AD$47*12*FB8)/FC17</f>
        <v>28.379518083258933</v>
      </c>
      <c r="FA51" s="176" t="s">
        <v>200</v>
      </c>
      <c r="FB51" s="142" t="str">
        <f>IF(EZ52&lt;$AD$46, IF(EZ51&lt;$AD$46,"OK","NG"), "NG")</f>
        <v>OK</v>
      </c>
      <c r="FC51" s="142"/>
      <c r="FD51" s="142"/>
    </row>
    <row r="52" spans="1:171" s="6" customFormat="1" ht="18">
      <c r="A52" s="7"/>
      <c r="B52" s="8"/>
      <c r="C52" s="7"/>
      <c r="D52" s="7"/>
      <c r="E52" s="7"/>
      <c r="F52" s="7"/>
      <c r="G52" s="7"/>
      <c r="H52" s="7"/>
      <c r="AL52" s="176" t="s">
        <v>206</v>
      </c>
      <c r="AM52" s="182">
        <f>($AD$47*12*AO8)/AQ17</f>
        <v>19.995287353488834</v>
      </c>
      <c r="AN52" s="176" t="s">
        <v>202</v>
      </c>
      <c r="AO52" s="142" t="str">
        <f>IF(MIN(AM51:AM52)&lt;$AD$48,"OK","NG")</f>
        <v>OK</v>
      </c>
      <c r="AP52" s="142"/>
      <c r="AQ52" s="142"/>
      <c r="AR52" s="142"/>
      <c r="AU52" s="176" t="s">
        <v>206</v>
      </c>
      <c r="AV52" s="182">
        <f>($AD$47*12*AX8)/AZ17</f>
        <v>21.420137349424355</v>
      </c>
      <c r="AW52" s="176" t="s">
        <v>202</v>
      </c>
      <c r="AX52" s="142" t="str">
        <f>IF(MIN(AV51:AV52)&lt;$AD$48,"OK","NG")</f>
        <v>OK</v>
      </c>
      <c r="AY52" s="142"/>
      <c r="AZ52" s="142"/>
      <c r="BD52" s="176" t="s">
        <v>206</v>
      </c>
      <c r="BE52" s="182">
        <f>($AD$47*12*BG8)/BI17</f>
        <v>20.666179940224563</v>
      </c>
      <c r="BF52" s="176" t="s">
        <v>202</v>
      </c>
      <c r="BG52" s="142" t="str">
        <f>IF(MIN(BE51:BE52)&lt;$AD$48,"OK","NG")</f>
        <v>OK</v>
      </c>
      <c r="BH52" s="142"/>
      <c r="BI52" s="142"/>
      <c r="BM52" s="176" t="s">
        <v>206</v>
      </c>
      <c r="BN52" s="182">
        <f>($AD$47*12*BP8)/BR17</f>
        <v>22.462316888298577</v>
      </c>
      <c r="BO52" s="176" t="s">
        <v>202</v>
      </c>
      <c r="BP52" s="142" t="str">
        <f>IF(MIN(BN51:BN52)&lt;$AD$48,"OK","NG")</f>
        <v>OK</v>
      </c>
      <c r="BQ52" s="142"/>
      <c r="BR52" s="142"/>
      <c r="BV52" s="176" t="s">
        <v>206</v>
      </c>
      <c r="BW52" s="182">
        <f>($AD$47*12*BY8)/CA17</f>
        <v>20.418465544464347</v>
      </c>
      <c r="BX52" s="176" t="s">
        <v>202</v>
      </c>
      <c r="BY52" s="142" t="str">
        <f>IF(MIN(BW51:BW52)&lt;$AD$48,"OK","NG")</f>
        <v>OK</v>
      </c>
      <c r="BZ52" s="142"/>
      <c r="CA52" s="142"/>
      <c r="CE52" s="176" t="s">
        <v>206</v>
      </c>
      <c r="CF52" s="182">
        <f>($AD$47*12*CH8)/CJ17</f>
        <v>20.825255976118683</v>
      </c>
      <c r="CG52" s="176" t="s">
        <v>202</v>
      </c>
      <c r="CH52" s="142" t="str">
        <f>IF(MIN(CF51:CF52)&lt;$AD$48,"OK","NG")</f>
        <v>OK</v>
      </c>
      <c r="CI52" s="142"/>
      <c r="CJ52" s="142"/>
      <c r="CN52" s="176" t="s">
        <v>206</v>
      </c>
      <c r="CO52" s="182">
        <f>($AD$47*12*CQ8)/CS17</f>
        <v>21.495547597810056</v>
      </c>
      <c r="CP52" s="176" t="s">
        <v>202</v>
      </c>
      <c r="CQ52" s="142" t="str">
        <f>IF(MIN(CO51:CO52)&lt;$AD$48,"OK","NG")</f>
        <v>OK</v>
      </c>
      <c r="CR52" s="142"/>
      <c r="CS52" s="142"/>
      <c r="CW52" s="176" t="s">
        <v>206</v>
      </c>
      <c r="CX52" s="182">
        <f>($AD$47*12*CZ8)/DB17</f>
        <v>23.809530712609963</v>
      </c>
      <c r="CY52" s="176" t="s">
        <v>202</v>
      </c>
      <c r="CZ52" s="142" t="str">
        <f>IF(MIN(CX51:CX52)&lt;$AD$48,"OK","NG")</f>
        <v>OK</v>
      </c>
      <c r="DA52" s="142"/>
      <c r="DB52" s="142"/>
      <c r="DF52" s="176" t="s">
        <v>206</v>
      </c>
      <c r="DG52" s="182">
        <f>($AD$47*12*DI8)/DK17</f>
        <v>33.016908568668171</v>
      </c>
      <c r="DH52" s="176" t="s">
        <v>202</v>
      </c>
      <c r="DI52" s="142" t="str">
        <f>IF(MIN(DG51:DG52)&lt;$AD$48,"OK","NG")</f>
        <v>OK</v>
      </c>
      <c r="DJ52" s="142"/>
      <c r="DK52" s="142"/>
      <c r="DO52" s="176" t="s">
        <v>206</v>
      </c>
      <c r="DP52" s="182">
        <f>($AD$47*12*DR8)/DT17</f>
        <v>26.72675501380623</v>
      </c>
      <c r="DQ52" s="176" t="s">
        <v>202</v>
      </c>
      <c r="DR52" s="142" t="str">
        <f>IF(MIN(DP51:DP52)&lt;$AD$48,"OK","NG")</f>
        <v>OK</v>
      </c>
      <c r="DS52" s="142"/>
      <c r="DT52" s="142"/>
      <c r="DX52" s="176" t="s">
        <v>206</v>
      </c>
      <c r="DY52" s="182">
        <f>($AD$47*12*EA8)/EC17</f>
        <v>25.768101816231425</v>
      </c>
      <c r="DZ52" s="176" t="s">
        <v>202</v>
      </c>
      <c r="EA52" s="142" t="str">
        <f>IF(MIN(DY51:DY52)&lt;$AD$48,"OK","NG")</f>
        <v>OK</v>
      </c>
      <c r="EB52" s="142"/>
      <c r="EC52" s="142"/>
      <c r="EG52" s="176" t="s">
        <v>206</v>
      </c>
      <c r="EH52" s="182">
        <f>($AD$47*12*EJ8)/EL17</f>
        <v>38.837846439396117</v>
      </c>
      <c r="EI52" s="176" t="s">
        <v>202</v>
      </c>
      <c r="EJ52" s="142" t="str">
        <f>IF(MIN(EH51:EH52)&lt;$AD$48,"OK","NG")</f>
        <v>OK</v>
      </c>
      <c r="EK52" s="142"/>
      <c r="EL52" s="142"/>
      <c r="EP52" s="176" t="s">
        <v>206</v>
      </c>
      <c r="EQ52" s="182">
        <f>($AD$47*12*ES8)/EU17</f>
        <v>32.787601154752025</v>
      </c>
      <c r="ER52" s="176" t="s">
        <v>202</v>
      </c>
      <c r="ES52" s="142" t="str">
        <f>IF(MIN(EQ51:EQ52)&lt;$AD$48,"OK","NG")</f>
        <v>OK</v>
      </c>
      <c r="ET52" s="142"/>
      <c r="EU52" s="142"/>
      <c r="EY52" s="176" t="s">
        <v>206</v>
      </c>
      <c r="EZ52" s="182">
        <f>($AD$47*12*FB8)/FD17</f>
        <v>21.037656350730725</v>
      </c>
      <c r="FA52" s="176" t="s">
        <v>202</v>
      </c>
      <c r="FB52" s="142" t="str">
        <f>IF(MIN(EZ51:EZ52)&lt;$AD$48,"OK","NG")</f>
        <v>OK</v>
      </c>
      <c r="FC52" s="142"/>
      <c r="FD52" s="142"/>
    </row>
    <row r="53" spans="1:171" s="6" customFormat="1" ht="14.25" customHeight="1">
      <c r="A53" s="7"/>
      <c r="B53" s="8"/>
      <c r="C53" s="7"/>
      <c r="D53" s="7"/>
      <c r="E53" s="7"/>
      <c r="F53" s="7"/>
      <c r="G53" s="7"/>
      <c r="H53" s="7"/>
      <c r="AL53" s="176" t="s">
        <v>325</v>
      </c>
      <c r="AM53" s="179">
        <f>MIN(AM51:AM52)</f>
        <v>18.349364031114778</v>
      </c>
      <c r="AN53" s="161"/>
      <c r="AO53" s="161"/>
      <c r="AP53" s="142"/>
      <c r="AQ53" s="142"/>
      <c r="AR53" s="142"/>
      <c r="AU53" s="176" t="s">
        <v>325</v>
      </c>
      <c r="AV53" s="179">
        <f>MIN(AV51:AV52)</f>
        <v>19.062296258960011</v>
      </c>
      <c r="AW53" s="161"/>
      <c r="AX53" s="161"/>
      <c r="AY53" s="142"/>
      <c r="AZ53" s="142"/>
      <c r="BD53" s="176" t="s">
        <v>325</v>
      </c>
      <c r="BE53" s="179">
        <f>MIN(BE51:BE52)</f>
        <v>19.348013538165585</v>
      </c>
      <c r="BF53" s="161"/>
      <c r="BG53" s="161"/>
      <c r="BH53" s="142"/>
      <c r="BI53" s="142"/>
      <c r="BM53" s="176" t="s">
        <v>325</v>
      </c>
      <c r="BN53" s="179">
        <f>MIN(BN51:BN52)</f>
        <v>20.35449102223151</v>
      </c>
      <c r="BO53" s="161"/>
      <c r="BP53" s="161"/>
      <c r="BQ53" s="142"/>
      <c r="BR53" s="142"/>
      <c r="BV53" s="176" t="s">
        <v>325</v>
      </c>
      <c r="BW53" s="179">
        <f>MIN(BW51:BW52)</f>
        <v>18.148358027657373</v>
      </c>
      <c r="BX53" s="161"/>
      <c r="BY53" s="161"/>
      <c r="BZ53" s="142"/>
      <c r="CA53" s="142"/>
      <c r="CE53" s="176" t="s">
        <v>325</v>
      </c>
      <c r="CF53" s="179">
        <f>MIN(CF51:CF52)</f>
        <v>18.395656668776272</v>
      </c>
      <c r="CG53" s="161"/>
      <c r="CH53" s="161"/>
      <c r="CI53" s="142"/>
      <c r="CJ53" s="142"/>
      <c r="CN53" s="176" t="s">
        <v>325</v>
      </c>
      <c r="CO53" s="179">
        <f>MIN(CO51:CO52)</f>
        <v>18.203484827573043</v>
      </c>
      <c r="CP53" s="161"/>
      <c r="CQ53" s="161"/>
      <c r="CR53" s="142"/>
      <c r="CS53" s="142"/>
      <c r="CW53" s="176" t="s">
        <v>325</v>
      </c>
      <c r="CX53" s="179">
        <f>MIN(CX51:CX52)</f>
        <v>19.778324634027655</v>
      </c>
      <c r="CY53" s="161"/>
      <c r="CZ53" s="161"/>
      <c r="DA53" s="142"/>
      <c r="DB53" s="142"/>
      <c r="DF53" s="176" t="s">
        <v>325</v>
      </c>
      <c r="DG53" s="179">
        <f>MIN(DG51:DG52)</f>
        <v>33.016908568668171</v>
      </c>
      <c r="DH53" s="161"/>
      <c r="DI53" s="161"/>
      <c r="DJ53" s="142"/>
      <c r="DK53" s="142"/>
      <c r="DO53" s="176" t="s">
        <v>325</v>
      </c>
      <c r="DP53" s="179">
        <f>MIN(DP51:DP52)</f>
        <v>26.72675501380623</v>
      </c>
      <c r="DQ53" s="161"/>
      <c r="DR53" s="161"/>
      <c r="DS53" s="142"/>
      <c r="DT53" s="142"/>
      <c r="DX53" s="176" t="s">
        <v>325</v>
      </c>
      <c r="DY53" s="179">
        <f>MIN(DY51:DY52)</f>
        <v>25.768101816231425</v>
      </c>
      <c r="DZ53" s="161"/>
      <c r="EA53" s="161"/>
      <c r="EB53" s="142"/>
      <c r="EC53" s="142"/>
      <c r="EG53" s="176" t="s">
        <v>325</v>
      </c>
      <c r="EH53" s="179">
        <f>MIN(EH51:EH52)</f>
        <v>38.837846439396117</v>
      </c>
      <c r="EI53" s="161"/>
      <c r="EJ53" s="161"/>
      <c r="EK53" s="142"/>
      <c r="EL53" s="142"/>
      <c r="EP53" s="176" t="s">
        <v>325</v>
      </c>
      <c r="EQ53" s="179">
        <f>MIN(EQ51:EQ52)</f>
        <v>32.787601154752025</v>
      </c>
      <c r="ER53" s="161"/>
      <c r="ES53" s="161"/>
      <c r="ET53" s="142"/>
      <c r="EU53" s="142"/>
      <c r="EY53" s="176" t="s">
        <v>325</v>
      </c>
      <c r="EZ53" s="179">
        <f>MIN(EZ51:EZ52)</f>
        <v>21.037656350730725</v>
      </c>
      <c r="FA53" s="161"/>
      <c r="FB53" s="161"/>
      <c r="FC53" s="142"/>
      <c r="FD53" s="142"/>
    </row>
    <row r="54" spans="1:171" s="6" customFormat="1">
      <c r="A54" s="7"/>
      <c r="B54" s="8"/>
      <c r="C54" s="7"/>
      <c r="D54" s="7"/>
      <c r="E54" s="7"/>
      <c r="F54" s="7"/>
      <c r="G54" s="7"/>
      <c r="H54" s="7"/>
      <c r="AL54" s="142"/>
      <c r="AM54" s="142"/>
      <c r="AN54" s="142"/>
      <c r="AO54" s="142"/>
      <c r="AP54" s="142"/>
      <c r="AQ54" s="142"/>
      <c r="AR54" s="142"/>
      <c r="AU54" s="142"/>
      <c r="AV54" s="142"/>
      <c r="AW54" s="142"/>
      <c r="AX54" s="142"/>
      <c r="AY54" s="142"/>
      <c r="AZ54" s="142"/>
      <c r="BD54" s="142"/>
      <c r="BE54" s="142"/>
      <c r="BF54" s="142"/>
      <c r="BG54" s="142"/>
      <c r="BH54" s="142"/>
      <c r="BI54" s="142"/>
      <c r="BM54" s="142"/>
      <c r="BN54" s="142"/>
      <c r="BO54" s="142"/>
      <c r="BP54" s="142"/>
      <c r="BQ54" s="142"/>
      <c r="BR54" s="142"/>
      <c r="BV54" s="142"/>
      <c r="BW54" s="142"/>
      <c r="BX54" s="142"/>
      <c r="BY54" s="142"/>
      <c r="BZ54" s="142"/>
      <c r="CA54" s="142"/>
      <c r="CE54" s="142"/>
      <c r="CF54" s="142"/>
      <c r="CG54" s="142"/>
      <c r="CH54" s="142"/>
      <c r="CI54" s="142"/>
      <c r="CJ54" s="142"/>
      <c r="CN54" s="142"/>
      <c r="CO54" s="142"/>
      <c r="CP54" s="142"/>
      <c r="CQ54" s="142"/>
      <c r="CR54" s="142"/>
      <c r="CS54" s="142"/>
      <c r="CW54" s="142"/>
      <c r="CX54" s="142"/>
      <c r="CY54" s="142"/>
      <c r="CZ54" s="142"/>
      <c r="DA54" s="142"/>
      <c r="DB54" s="142"/>
      <c r="DF54" s="142"/>
      <c r="DG54" s="142"/>
      <c r="DH54" s="142"/>
      <c r="DI54" s="142"/>
      <c r="DJ54" s="142"/>
      <c r="DK54" s="142"/>
      <c r="DO54" s="142"/>
      <c r="DP54" s="142"/>
      <c r="DQ54" s="142"/>
      <c r="DR54" s="142"/>
      <c r="DS54" s="142"/>
      <c r="DT54" s="142"/>
      <c r="DX54" s="142"/>
      <c r="DY54" s="142"/>
      <c r="DZ54" s="142"/>
      <c r="EA54" s="142"/>
      <c r="EB54" s="142"/>
      <c r="EC54" s="142"/>
      <c r="EG54" s="142"/>
      <c r="EH54" s="142"/>
      <c r="EI54" s="142"/>
      <c r="EJ54" s="142"/>
      <c r="EK54" s="142"/>
      <c r="EL54" s="142"/>
      <c r="EP54" s="142"/>
      <c r="EQ54" s="142"/>
      <c r="ER54" s="142"/>
      <c r="ES54" s="142"/>
      <c r="ET54" s="142"/>
      <c r="EU54" s="142"/>
      <c r="EY54" s="142"/>
      <c r="EZ54" s="142"/>
      <c r="FA54" s="142"/>
      <c r="FB54" s="142"/>
      <c r="FC54" s="142"/>
      <c r="FD54" s="142"/>
    </row>
    <row r="55" spans="1:171" s="6" customFormat="1">
      <c r="A55" s="7"/>
      <c r="B55" s="8"/>
      <c r="C55" s="7"/>
      <c r="D55" s="7"/>
      <c r="E55" s="7"/>
      <c r="F55" s="7"/>
      <c r="G55" s="7"/>
      <c r="H55" s="7"/>
      <c r="AL55" s="142"/>
      <c r="AM55" s="188" t="s">
        <v>203</v>
      </c>
      <c r="AN55" s="75" t="s">
        <v>204</v>
      </c>
      <c r="AO55" s="188" t="s">
        <v>207</v>
      </c>
      <c r="AQ55" s="142"/>
      <c r="AR55" s="142"/>
      <c r="AU55" s="142"/>
      <c r="AV55" s="188" t="s">
        <v>203</v>
      </c>
      <c r="AW55" s="75" t="s">
        <v>204</v>
      </c>
      <c r="AX55" s="188" t="s">
        <v>207</v>
      </c>
      <c r="AZ55" s="142"/>
      <c r="BD55" s="142"/>
      <c r="BE55" s="188" t="s">
        <v>203</v>
      </c>
      <c r="BF55" s="75" t="s">
        <v>204</v>
      </c>
      <c r="BG55" s="188" t="s">
        <v>207</v>
      </c>
      <c r="BI55" s="142"/>
      <c r="BM55" s="142"/>
      <c r="BN55" s="188" t="s">
        <v>203</v>
      </c>
      <c r="BO55" s="75" t="s">
        <v>204</v>
      </c>
      <c r="BP55" s="188" t="s">
        <v>207</v>
      </c>
      <c r="BR55" s="142"/>
      <c r="BV55" s="142"/>
      <c r="BW55" s="188" t="s">
        <v>203</v>
      </c>
      <c r="BX55" s="75" t="s">
        <v>204</v>
      </c>
      <c r="BY55" s="188" t="s">
        <v>207</v>
      </c>
      <c r="CA55" s="142"/>
      <c r="CE55" s="142"/>
      <c r="CF55" s="188" t="s">
        <v>203</v>
      </c>
      <c r="CG55" s="75" t="s">
        <v>204</v>
      </c>
      <c r="CH55" s="188" t="s">
        <v>207</v>
      </c>
      <c r="CJ55" s="142"/>
      <c r="CN55" s="142"/>
      <c r="CO55" s="188" t="s">
        <v>203</v>
      </c>
      <c r="CP55" s="75" t="s">
        <v>204</v>
      </c>
      <c r="CQ55" s="188" t="s">
        <v>207</v>
      </c>
      <c r="CS55" s="142"/>
      <c r="CW55" s="142"/>
      <c r="CX55" s="188" t="s">
        <v>203</v>
      </c>
      <c r="CY55" s="75" t="s">
        <v>204</v>
      </c>
      <c r="CZ55" s="188" t="s">
        <v>207</v>
      </c>
      <c r="DB55" s="142"/>
      <c r="DF55" s="142"/>
      <c r="DG55" s="188" t="s">
        <v>203</v>
      </c>
      <c r="DH55" s="75" t="s">
        <v>204</v>
      </c>
      <c r="DI55" s="188" t="s">
        <v>207</v>
      </c>
      <c r="DK55" s="142"/>
      <c r="DO55" s="142"/>
      <c r="DP55" s="188" t="s">
        <v>203</v>
      </c>
      <c r="DQ55" s="75" t="s">
        <v>204</v>
      </c>
      <c r="DR55" s="188" t="s">
        <v>207</v>
      </c>
      <c r="DT55" s="142"/>
      <c r="DX55" s="142"/>
      <c r="DY55" s="188" t="s">
        <v>203</v>
      </c>
      <c r="DZ55" s="75" t="s">
        <v>204</v>
      </c>
      <c r="EA55" s="188" t="s">
        <v>207</v>
      </c>
      <c r="EC55" s="142"/>
      <c r="EG55" s="142"/>
      <c r="EH55" s="188" t="s">
        <v>203</v>
      </c>
      <c r="EI55" s="75" t="s">
        <v>204</v>
      </c>
      <c r="EJ55" s="188" t="s">
        <v>207</v>
      </c>
      <c r="EL55" s="142"/>
      <c r="EP55" s="142"/>
      <c r="EQ55" s="188" t="s">
        <v>203</v>
      </c>
      <c r="ER55" s="75" t="s">
        <v>204</v>
      </c>
      <c r="ES55" s="188" t="s">
        <v>207</v>
      </c>
      <c r="EU55" s="142"/>
      <c r="EY55" s="142"/>
      <c r="EZ55" s="188" t="s">
        <v>203</v>
      </c>
      <c r="FA55" s="75" t="s">
        <v>204</v>
      </c>
      <c r="FB55" s="188" t="s">
        <v>207</v>
      </c>
      <c r="FD55" s="142"/>
    </row>
    <row r="56" spans="1:171" s="6" customFormat="1">
      <c r="A56" s="7"/>
      <c r="B56" s="8"/>
      <c r="C56" s="7"/>
      <c r="D56" s="7"/>
      <c r="E56" s="7"/>
      <c r="F56" s="7"/>
      <c r="G56" s="7"/>
      <c r="H56" s="7"/>
      <c r="AL56" s="191" t="s">
        <v>183</v>
      </c>
      <c r="AM56" s="185">
        <f>IF(AM53&lt;$AD$46,(23580-1.03*(AM53)^2)/1000,(135000740/(AM53)^2)/1000)</f>
        <v>23.233199864843243</v>
      </c>
      <c r="AN56" s="162">
        <f>AM56*AO39</f>
        <v>952.56119445857303</v>
      </c>
      <c r="AO56" s="147">
        <f>VLOOKUP(AO6,$L$13:$Q$36,3,FALSE)</f>
        <v>-654.46799999999996</v>
      </c>
      <c r="AP56" s="142"/>
      <c r="AQ56" s="181" t="s">
        <v>208</v>
      </c>
      <c r="AR56" s="142"/>
      <c r="AU56" s="191" t="s">
        <v>183</v>
      </c>
      <c r="AV56" s="185">
        <f>IF(AV53&lt;$AD$46,(23580-1.03*(AV53)^2)/1000,(135000740/(AV53)^2)/1000)</f>
        <v>23.205727727175709</v>
      </c>
      <c r="AW56" s="162">
        <f>AV56*AX39</f>
        <v>2007.2954484006989</v>
      </c>
      <c r="AX56" s="147">
        <f>VLOOKUP(AX6,$L$13:$Q$36,3,FALSE)</f>
        <v>-1512.5920000000001</v>
      </c>
      <c r="AY56" s="142"/>
      <c r="AZ56" s="181" t="s">
        <v>208</v>
      </c>
      <c r="BD56" s="191" t="s">
        <v>183</v>
      </c>
      <c r="BE56" s="185">
        <f>IF(BE53&lt;$AD$46,(23580-1.03*(BE53)^2)/1000,(135000740/(BE53)^2)/1000)</f>
        <v>23.19442400329077</v>
      </c>
      <c r="BF56" s="162">
        <f>BE56*BG39</f>
        <v>1739.5818002468077</v>
      </c>
      <c r="BG56" s="147">
        <f>VLOOKUP(BG6,$L$13:$Q$36,3,FALSE)</f>
        <v>-483.89100000000002</v>
      </c>
      <c r="BH56" s="142"/>
      <c r="BI56" s="181" t="s">
        <v>208</v>
      </c>
      <c r="BM56" s="191" t="s">
        <v>183</v>
      </c>
      <c r="BN56" s="185">
        <f>IF(BN53&lt;$AD$46,(23580-1.03*(BN53)^2)/1000,(135000740/(BN53)^2)/1000)</f>
        <v>23.153265536082671</v>
      </c>
      <c r="BO56" s="162">
        <f>BN56*BP39</f>
        <v>2824.6983954020857</v>
      </c>
      <c r="BP56" s="147">
        <f>VLOOKUP(BP6,$L$13:$Q$36,3,FALSE)</f>
        <v>2167.8760000000002</v>
      </c>
      <c r="BQ56" s="142"/>
      <c r="BR56" s="181" t="s">
        <v>208</v>
      </c>
      <c r="BV56" s="191" t="s">
        <v>183</v>
      </c>
      <c r="BW56" s="185">
        <f>IF(BW53&lt;$AD$46,(23580-1.03*(BW53)^2)/1000,(135000740/(BW53)^2)/1000)</f>
        <v>23.240756213926964</v>
      </c>
      <c r="BX56" s="162">
        <f>BW56*BY39</f>
        <v>1525.174626538957</v>
      </c>
      <c r="BY56" s="147">
        <f>VLOOKUP(BY6,$L$13:$Q$36,3,FALSE)</f>
        <v>6.9000000000000006E-2</v>
      </c>
      <c r="BZ56" s="142"/>
      <c r="CA56" s="181" t="s">
        <v>208</v>
      </c>
      <c r="CE56" s="191" t="s">
        <v>183</v>
      </c>
      <c r="CF56" s="185">
        <f>IF(CF53&lt;$AD$46,(23580-1.03*(CF53)^2)/1000,(135000740/(CF53)^2)/1000)</f>
        <v>23.23144781019624</v>
      </c>
      <c r="CG56" s="162">
        <f>CF56*CH39</f>
        <v>1951.4416160564842</v>
      </c>
      <c r="CH56" s="147">
        <f>VLOOKUP(CH6,$L$13:$Q$36,3,FALSE)</f>
        <v>1191.674</v>
      </c>
      <c r="CI56" s="142"/>
      <c r="CJ56" s="181" t="s">
        <v>208</v>
      </c>
      <c r="CN56" s="191" t="s">
        <v>183</v>
      </c>
      <c r="CO56" s="185">
        <f>IF(CO53&lt;$AD$46,(23580-1.03*(CO53)^2)/1000,(135000740/(CO53)^2)/1000)</f>
        <v>23.23869213433629</v>
      </c>
      <c r="CP56" s="162">
        <f>CO56*CQ39</f>
        <v>2300.6305212992929</v>
      </c>
      <c r="CQ56" s="147">
        <f>VLOOKUP(CQ6,$L$13:$Q$36,3,FALSE)</f>
        <v>1606.3209999999999</v>
      </c>
      <c r="CR56" s="142"/>
      <c r="CS56" s="181" t="s">
        <v>208</v>
      </c>
      <c r="CW56" s="191" t="s">
        <v>183</v>
      </c>
      <c r="CX56" s="185">
        <f>IF(CX53&lt;$AD$46,(23580-1.03*(CX53)^2)/1000,(135000740/(CX53)^2)/1000)</f>
        <v>23.177082410911144</v>
      </c>
      <c r="CY56" s="162">
        <f>CX56*CZ39</f>
        <v>3754.6873505676053</v>
      </c>
      <c r="CZ56" s="147">
        <f>VLOOKUP(CZ6,$L$13:$Q$36,3,FALSE)</f>
        <v>-2732.0479999999998</v>
      </c>
      <c r="DA56" s="142"/>
      <c r="DB56" s="181" t="s">
        <v>208</v>
      </c>
      <c r="DF56" s="191" t="s">
        <v>183</v>
      </c>
      <c r="DG56" s="185">
        <f>IF(DG53&lt;$AD$46,(23580-1.03*(DG53)^2)/1000,(135000740/(DG53)^2)/1000)</f>
        <v>22.457180261025254</v>
      </c>
      <c r="DH56" s="162">
        <f>DG56*DI39</f>
        <v>1201.4591439648511</v>
      </c>
      <c r="DI56" s="147">
        <f>VLOOKUP(DI6,$U$13:$Z$37,3,FALSE)</f>
        <v>852.36099999999999</v>
      </c>
      <c r="DJ56" s="142"/>
      <c r="DK56" s="181" t="s">
        <v>208</v>
      </c>
      <c r="DO56" s="191" t="s">
        <v>183</v>
      </c>
      <c r="DP56" s="185">
        <f>IF(DP53&lt;$AD$46,(23580-1.03*(DP53)^2)/1000,(135000740/(DP53)^2)/1000)</f>
        <v>22.844250983424942</v>
      </c>
      <c r="DQ56" s="162">
        <f>DP56*DR39</f>
        <v>916.6255707099258</v>
      </c>
      <c r="DR56" s="147">
        <f>VLOOKUP(DR6,$U$13:$Z$37,3,FALSE)</f>
        <v>-656.94600000000003</v>
      </c>
      <c r="DS56" s="142"/>
      <c r="DT56" s="181" t="s">
        <v>208</v>
      </c>
      <c r="DX56" s="191" t="s">
        <v>183</v>
      </c>
      <c r="DY56" s="185">
        <f>IF(DY53&lt;$AD$46,(23580-1.03*(DY53)^2)/1000,(135000740/(DY53)^2)/1000)</f>
        <v>22.896085076651978</v>
      </c>
      <c r="DZ56" s="162">
        <f>DY56*EA39</f>
        <v>502.28286636905278</v>
      </c>
      <c r="EA56" s="147">
        <f>VLOOKUP(EA6,$U$13:$Z$37,3,FALSE)</f>
        <v>-113.321</v>
      </c>
      <c r="EB56" s="142"/>
      <c r="EC56" s="181" t="s">
        <v>208</v>
      </c>
      <c r="EG56" s="191" t="s">
        <v>183</v>
      </c>
      <c r="EH56" s="185">
        <f>IF(EH53&lt;$AD$46,(23580-1.03*(EH53)^2)/1000,(135000740/(EH53)^2)/1000)</f>
        <v>22.026370334468382</v>
      </c>
      <c r="EI56" s="162">
        <f>EH56*EJ39</f>
        <v>1409.6877014059764</v>
      </c>
      <c r="EJ56" s="147">
        <f>VLOOKUP(EJ6,$U$13:$Z$37,3,FALSE)</f>
        <v>1014.721</v>
      </c>
      <c r="EK56" s="142"/>
      <c r="EL56" s="181" t="s">
        <v>208</v>
      </c>
      <c r="EP56" s="191" t="s">
        <v>183</v>
      </c>
      <c r="EQ56" s="185">
        <f>IF(EQ53&lt;$AD$46,(23580-1.03*(EQ53)^2)/1000,(135000740/(EQ53)^2)/1000)</f>
        <v>22.472722406832411</v>
      </c>
      <c r="ER56" s="162">
        <f>EQ56*ES39</f>
        <v>619.40441133831837</v>
      </c>
      <c r="ES56" s="147">
        <f>VLOOKUP(ES6,$U$13:$Z$37,3,FALSE)</f>
        <v>77.387</v>
      </c>
      <c r="ET56" s="142"/>
      <c r="EU56" s="181" t="s">
        <v>208</v>
      </c>
      <c r="EY56" s="191" t="s">
        <v>183</v>
      </c>
      <c r="EZ56" s="185">
        <f>IF(EZ53&lt;$AD$46,(23580-1.03*(EZ53)^2)/1000,(135000740/(EZ53)^2)/1000)</f>
        <v>23.124139525726616</v>
      </c>
      <c r="FA56" s="162">
        <f>EZ56*FB39</f>
        <v>507.28581084562762</v>
      </c>
      <c r="FB56" s="147">
        <f>VLOOKUP(FB6,$U$13:$Z$37,3,FALSE)</f>
        <v>-6.26</v>
      </c>
      <c r="FC56" s="142"/>
      <c r="FD56" s="181" t="s">
        <v>208</v>
      </c>
      <c r="FG56" s="248"/>
      <c r="FH56" s="248"/>
      <c r="FI56" s="248"/>
      <c r="FJ56" s="248"/>
      <c r="FK56" s="248"/>
      <c r="FL56" s="248"/>
      <c r="FM56" s="248"/>
      <c r="FN56" s="248"/>
      <c r="FO56" s="248"/>
    </row>
    <row r="57" spans="1:171" s="6" customFormat="1">
      <c r="A57" s="7"/>
      <c r="B57" s="8"/>
      <c r="C57" s="7"/>
      <c r="D57" s="7"/>
      <c r="E57" s="7"/>
      <c r="F57" s="7"/>
      <c r="G57" s="7"/>
      <c r="H57" s="7"/>
      <c r="AL57" s="192" t="s">
        <v>323</v>
      </c>
      <c r="AM57" s="186">
        <f>IF(AM53&lt;$AD$46,(26470-1.04*(AM53)^2)/1000,(168363840/(AM53)^2)/1000)</f>
        <v>26.119832873239776</v>
      </c>
      <c r="AN57" s="183">
        <f>AM57*AO39</f>
        <v>1070.9131478028307</v>
      </c>
      <c r="AO57" s="148" t="str">
        <f>IF(AO56/AN56&lt;1,"OK","NG")</f>
        <v>OK</v>
      </c>
      <c r="AP57" s="142"/>
      <c r="AQ57" s="181" t="s">
        <v>207</v>
      </c>
      <c r="AR57" s="142"/>
      <c r="AU57" s="192" t="s">
        <v>323</v>
      </c>
      <c r="AV57" s="186">
        <f>IF(AV53&lt;$AD$46,(26470-1.04*(AV53)^2)/1000,(168363840/(AV53)^2)/1000)</f>
        <v>26.092094015789066</v>
      </c>
      <c r="AW57" s="183">
        <f>AV57*AX39</f>
        <v>2256.9661323657542</v>
      </c>
      <c r="AX57" s="148" t="str">
        <f>IF(AX56/AW56&lt;1,"OK","NG")</f>
        <v>OK</v>
      </c>
      <c r="AY57" s="142"/>
      <c r="AZ57" s="181" t="s">
        <v>207</v>
      </c>
      <c r="BD57" s="192" t="s">
        <v>323</v>
      </c>
      <c r="BE57" s="186">
        <f>IF(BE53&lt;$AD$46,(26470-1.04*(BE53)^2)/1000,(168363840/(BE53)^2)/1000)</f>
        <v>26.080680547012037</v>
      </c>
      <c r="BF57" s="183">
        <f>BE57*BG39</f>
        <v>1956.0510410259028</v>
      </c>
      <c r="BG57" s="148" t="str">
        <f>IF(BG56/BF56&lt;1,"OK","NG")</f>
        <v>OK</v>
      </c>
      <c r="BH57" s="142"/>
      <c r="BI57" s="181" t="s">
        <v>207</v>
      </c>
      <c r="BM57" s="192" t="s">
        <v>323</v>
      </c>
      <c r="BN57" s="186">
        <f>IF(BN53&lt;$AD$46,(26470-1.04*(BN53)^2)/1000,(168363840/(BN53)^2)/1000)</f>
        <v>26.03912248303493</v>
      </c>
      <c r="BO57" s="183">
        <f>BN57*BP39</f>
        <v>3176.7729429302617</v>
      </c>
      <c r="BP57" s="148" t="str">
        <f>IF(BP56/BO56&lt;1,"OK","NG")</f>
        <v>OK</v>
      </c>
      <c r="BQ57" s="142"/>
      <c r="BR57" s="181" t="s">
        <v>207</v>
      </c>
      <c r="BV57" s="192" t="s">
        <v>323</v>
      </c>
      <c r="BW57" s="186">
        <f>IF(BW53&lt;$AD$46,(26470-1.04*(BW53)^2)/1000,(168363840/(BW53)^2)/1000)</f>
        <v>26.127462584935962</v>
      </c>
      <c r="BX57" s="183">
        <f>BW57*BY39</f>
        <v>1714.6147321364226</v>
      </c>
      <c r="BY57" s="148" t="str">
        <f>IF(BY56/BX56&lt;1,"OK","NG")</f>
        <v>OK</v>
      </c>
      <c r="BZ57" s="142"/>
      <c r="CA57" s="181" t="s">
        <v>207</v>
      </c>
      <c r="CE57" s="192" t="s">
        <v>323</v>
      </c>
      <c r="CF57" s="186">
        <f>IF(CF53&lt;$AD$46,(26470-1.04*(CF53)^2)/1000,(168363840/(CF53)^2)/1000)</f>
        <v>26.118063808353487</v>
      </c>
      <c r="CG57" s="183">
        <f>CF57*CH39</f>
        <v>2193.9173599016931</v>
      </c>
      <c r="CH57" s="148" t="str">
        <f>IF(CH56/CG56&lt;1,"OK","NG")</f>
        <v>OK</v>
      </c>
      <c r="CI57" s="142"/>
      <c r="CJ57" s="181" t="s">
        <v>207</v>
      </c>
      <c r="CN57" s="192" t="s">
        <v>323</v>
      </c>
      <c r="CO57" s="186">
        <f>IF(CO53&lt;$AD$46,(26470-1.04*(CO53)^2)/1000,(168363840/(CO53)^2)/1000)</f>
        <v>26.125378465737608</v>
      </c>
      <c r="CP57" s="183">
        <f>CO57*CQ39</f>
        <v>2586.4124681080234</v>
      </c>
      <c r="CQ57" s="148" t="str">
        <f>IF(CQ56/CP56&lt;1,"OK","NG")</f>
        <v>OK</v>
      </c>
      <c r="CR57" s="142"/>
      <c r="CS57" s="181" t="s">
        <v>207</v>
      </c>
      <c r="CW57" s="192" t="s">
        <v>323</v>
      </c>
      <c r="CX57" s="186">
        <f>IF(CX53&lt;$AD$46,(26470-1.04*(CX53)^2)/1000,(168363840/(CX53)^2)/1000)</f>
        <v>26.063170589657858</v>
      </c>
      <c r="CY57" s="183">
        <f>CX57*CZ39</f>
        <v>4222.2336355245734</v>
      </c>
      <c r="CZ57" s="148" t="str">
        <f>IF(CZ56/CY56&lt;1,"OK","NG")</f>
        <v>OK</v>
      </c>
      <c r="DA57" s="142"/>
      <c r="DB57" s="181" t="s">
        <v>207</v>
      </c>
      <c r="DF57" s="192" t="s">
        <v>323</v>
      </c>
      <c r="DG57" s="186">
        <f>IF(DG53&lt;$AD$46,(26470-1.04*(DG53)^2)/1000,(168363840/(DG53)^2)/1000)</f>
        <v>25.336279098510936</v>
      </c>
      <c r="DH57" s="183">
        <f>DG57*DI39</f>
        <v>1355.490931770335</v>
      </c>
      <c r="DI57" s="148" t="str">
        <f>IF(DI56/DH56&lt;1,"OK","NG")</f>
        <v>OK</v>
      </c>
      <c r="DJ57" s="142"/>
      <c r="DK57" s="181" t="s">
        <v>207</v>
      </c>
      <c r="DO57" s="192" t="s">
        <v>323</v>
      </c>
      <c r="DP57" s="186">
        <f>IF(DP53&lt;$AD$46,(26470-1.04*(DP53)^2)/1000,(168363840/(DP53)^2)/1000)</f>
        <v>25.727107789089263</v>
      </c>
      <c r="DQ57" s="183">
        <f>DP57*DR39</f>
        <v>1032.3002000372067</v>
      </c>
      <c r="DR57" s="148" t="str">
        <f>IF(DR56/DQ56&lt;1,"OK","NG")</f>
        <v>OK</v>
      </c>
      <c r="DS57" s="142"/>
      <c r="DT57" s="181" t="s">
        <v>207</v>
      </c>
      <c r="DX57" s="192" t="s">
        <v>323</v>
      </c>
      <c r="DY57" s="186">
        <f>IF(DY53&lt;$AD$46,(26470-1.04*(DY53)^2)/1000,(168363840/(DY53)^2)/1000)</f>
        <v>25.779445125939862</v>
      </c>
      <c r="DZ57" s="183">
        <f>DY57*EA39</f>
        <v>565.53657745030569</v>
      </c>
      <c r="EA57" s="148" t="str">
        <f>IF(EA56/DZ56&lt;1,"OK","NG")</f>
        <v>OK</v>
      </c>
      <c r="EB57" s="142"/>
      <c r="EC57" s="181" t="s">
        <v>207</v>
      </c>
      <c r="EG57" s="192" t="s">
        <v>323</v>
      </c>
      <c r="EH57" s="186">
        <f>IF(EH53&lt;$AD$46,(26470-1.04*(EH53)^2)/1000,(168363840/(EH53)^2)/1000)</f>
        <v>24.901286551307884</v>
      </c>
      <c r="EI57" s="183">
        <f>EH57*EJ39</f>
        <v>1593.6823392837046</v>
      </c>
      <c r="EJ57" s="148" t="str">
        <f>IF(EJ56/EI56&lt;1,"OK","NG")</f>
        <v>OK</v>
      </c>
      <c r="EK57" s="142"/>
      <c r="EL57" s="181" t="s">
        <v>207</v>
      </c>
      <c r="EP57" s="192" t="s">
        <v>323</v>
      </c>
      <c r="EQ57" s="186">
        <f>IF(EQ53&lt;$AD$46,(26470-1.04*(EQ53)^2)/1000,(168363840/(EQ53)^2)/1000)</f>
        <v>25.35197213893758</v>
      </c>
      <c r="ER57" s="183">
        <f>EQ57*ES39</f>
        <v>698.76373207946699</v>
      </c>
      <c r="ES57" s="148" t="str">
        <f>IF(ES56/ER56&lt;1,"OK","NG")</f>
        <v>OK</v>
      </c>
      <c r="ET57" s="142"/>
      <c r="EU57" s="181" t="s">
        <v>207</v>
      </c>
      <c r="EY57" s="192" t="s">
        <v>323</v>
      </c>
      <c r="EZ57" s="186">
        <f>IF(EZ53&lt;$AD$46,(26470-1.04*(EZ53)^2)/1000,(168363840/(EZ53)^2)/1000)</f>
        <v>26.009713695879302</v>
      </c>
      <c r="FA57" s="183">
        <f>EZ57*FB39</f>
        <v>570.58809420335217</v>
      </c>
      <c r="FB57" s="148" t="str">
        <f>IF(FB56/FA56&lt;1,"OK","NG")</f>
        <v>OK</v>
      </c>
      <c r="FC57" s="142"/>
      <c r="FD57" s="181" t="s">
        <v>207</v>
      </c>
      <c r="FG57" s="248"/>
      <c r="FH57" s="248"/>
      <c r="FI57" s="248"/>
      <c r="FJ57" s="248"/>
      <c r="FK57" s="248"/>
      <c r="FL57" s="248"/>
      <c r="FM57" s="248"/>
      <c r="FN57" s="248"/>
      <c r="FO57" s="248"/>
    </row>
    <row r="58" spans="1:171" s="6" customFormat="1" ht="14.25">
      <c r="A58" s="7"/>
      <c r="B58" s="8"/>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248"/>
      <c r="FH58" s="248"/>
      <c r="FI58" s="248"/>
      <c r="FJ58" s="248"/>
      <c r="FK58" s="248"/>
      <c r="FL58" s="248"/>
      <c r="FM58" s="248"/>
      <c r="FN58" s="248"/>
      <c r="FO58" s="248"/>
    </row>
    <row r="59" spans="1:171">
      <c r="A59" s="246"/>
      <c r="B59" s="246"/>
      <c r="C59" s="246"/>
      <c r="D59" s="246"/>
      <c r="E59" s="247">
        <v>117</v>
      </c>
      <c r="F59" s="246"/>
      <c r="G59" s="246"/>
      <c r="H59" s="246"/>
      <c r="I59" s="246"/>
      <c r="J59" s="246"/>
      <c r="K59" s="246"/>
      <c r="L59" s="246"/>
      <c r="M59" s="246"/>
      <c r="N59" s="247">
        <f>E59+1</f>
        <v>118</v>
      </c>
      <c r="O59" s="246"/>
      <c r="P59" s="246"/>
      <c r="Q59" s="246"/>
      <c r="R59" s="246"/>
      <c r="S59" s="246"/>
      <c r="T59" s="246"/>
      <c r="U59" s="246"/>
      <c r="V59" s="246"/>
      <c r="W59" s="247">
        <f>N59+1</f>
        <v>119</v>
      </c>
      <c r="X59" s="246"/>
      <c r="Y59" s="246"/>
      <c r="Z59" s="246"/>
      <c r="AA59" s="246"/>
      <c r="AB59" s="246"/>
      <c r="AC59" s="246"/>
      <c r="AD59" s="246"/>
      <c r="AE59" s="246"/>
      <c r="AF59" s="247">
        <f>W59+1</f>
        <v>120</v>
      </c>
      <c r="AG59" s="246"/>
      <c r="AH59" s="246"/>
      <c r="AI59" s="246"/>
      <c r="AJ59" s="246"/>
      <c r="AK59" s="246"/>
      <c r="AL59" s="246"/>
      <c r="AM59" s="246"/>
      <c r="AN59" s="246"/>
      <c r="AO59" s="247">
        <f>AF59+1</f>
        <v>121</v>
      </c>
      <c r="AP59" s="246"/>
      <c r="AQ59" s="246"/>
      <c r="AR59" s="246"/>
      <c r="AS59" s="246"/>
      <c r="AT59" s="246"/>
      <c r="AU59" s="246"/>
      <c r="AV59" s="246"/>
      <c r="AW59" s="246"/>
      <c r="AX59" s="247">
        <f>AO59+1</f>
        <v>122</v>
      </c>
      <c r="AY59" s="246"/>
      <c r="AZ59" s="246"/>
      <c r="BA59" s="246"/>
      <c r="BB59" s="246"/>
      <c r="BC59" s="246"/>
      <c r="BD59" s="246"/>
      <c r="BE59" s="246"/>
      <c r="BF59" s="246"/>
      <c r="BG59" s="247">
        <f>AX59+1</f>
        <v>123</v>
      </c>
      <c r="BH59" s="246"/>
      <c r="BI59" s="246"/>
      <c r="BJ59" s="246"/>
      <c r="BK59" s="246"/>
      <c r="BL59" s="246"/>
      <c r="BM59" s="246"/>
      <c r="BN59" s="246"/>
      <c r="BO59" s="246"/>
      <c r="BP59" s="247">
        <f>BG59+1</f>
        <v>124</v>
      </c>
      <c r="BQ59" s="246"/>
      <c r="BR59" s="246"/>
      <c r="BS59" s="246"/>
      <c r="BT59" s="246"/>
      <c r="BU59" s="246"/>
      <c r="BV59" s="246"/>
      <c r="BW59" s="246"/>
      <c r="BX59" s="246"/>
      <c r="BY59" s="247">
        <f>BP59+1</f>
        <v>125</v>
      </c>
      <c r="BZ59" s="246"/>
      <c r="CA59" s="246"/>
      <c r="CB59" s="246"/>
      <c r="CC59" s="246"/>
      <c r="CD59" s="246"/>
      <c r="CE59" s="246"/>
      <c r="CF59" s="246"/>
      <c r="CG59" s="246"/>
      <c r="CH59" s="247">
        <f>BY59+1</f>
        <v>126</v>
      </c>
      <c r="CI59" s="246"/>
      <c r="CJ59" s="246"/>
      <c r="CK59" s="246"/>
      <c r="CL59" s="246"/>
      <c r="CM59" s="246"/>
      <c r="CN59" s="246"/>
      <c r="CO59" s="246"/>
      <c r="CP59" s="246"/>
      <c r="CQ59" s="247">
        <f>CH59+1</f>
        <v>127</v>
      </c>
      <c r="CR59" s="246"/>
      <c r="CS59" s="246"/>
      <c r="CT59" s="246"/>
      <c r="CU59" s="246"/>
      <c r="CV59" s="246"/>
      <c r="CW59" s="246"/>
      <c r="CX59" s="246"/>
      <c r="CY59" s="246"/>
      <c r="CZ59" s="247">
        <f>CQ59+1</f>
        <v>128</v>
      </c>
      <c r="DA59" s="246"/>
      <c r="DB59" s="246"/>
      <c r="DC59" s="246"/>
      <c r="DD59" s="246"/>
      <c r="DE59" s="246"/>
      <c r="DF59" s="246"/>
      <c r="DG59" s="246"/>
      <c r="DH59" s="246"/>
      <c r="DI59" s="247">
        <f>CZ59+1</f>
        <v>129</v>
      </c>
      <c r="DJ59" s="246"/>
      <c r="DK59" s="246"/>
      <c r="DL59" s="246"/>
      <c r="DM59" s="246"/>
      <c r="DN59" s="246"/>
      <c r="DO59" s="246"/>
      <c r="DP59" s="246"/>
      <c r="DQ59" s="246"/>
      <c r="DR59" s="247">
        <f>DI59+1</f>
        <v>130</v>
      </c>
      <c r="DS59" s="246"/>
      <c r="DT59" s="246"/>
      <c r="DU59" s="246"/>
      <c r="DV59" s="246"/>
      <c r="DW59" s="246"/>
      <c r="DX59" s="246"/>
      <c r="DY59" s="246"/>
      <c r="DZ59" s="246"/>
      <c r="EA59" s="247">
        <f>DR59+1</f>
        <v>131</v>
      </c>
      <c r="EB59" s="246"/>
      <c r="EC59" s="246"/>
      <c r="ED59" s="246"/>
      <c r="EE59" s="246"/>
      <c r="EF59" s="246"/>
      <c r="EG59" s="246"/>
      <c r="EH59" s="246"/>
      <c r="EI59" s="246"/>
      <c r="EJ59" s="247">
        <f>EA59+1</f>
        <v>132</v>
      </c>
      <c r="EK59" s="246"/>
      <c r="EL59" s="246"/>
      <c r="EM59" s="246"/>
      <c r="EN59" s="246"/>
      <c r="EO59" s="246"/>
      <c r="EP59" s="246"/>
      <c r="EQ59" s="246"/>
      <c r="ER59" s="246"/>
      <c r="ES59" s="247">
        <f>EJ59+1</f>
        <v>133</v>
      </c>
      <c r="ET59" s="246"/>
      <c r="EU59" s="246"/>
      <c r="EV59" s="246"/>
      <c r="EW59" s="246"/>
      <c r="EX59" s="246"/>
      <c r="EY59" s="246"/>
      <c r="EZ59" s="246"/>
      <c r="FA59" s="246"/>
      <c r="FB59" s="247">
        <f>ES59+1</f>
        <v>134</v>
      </c>
      <c r="FC59" s="246"/>
      <c r="FD59" s="246"/>
      <c r="FE59" s="246"/>
      <c r="FF59" s="246"/>
      <c r="FG59" s="85"/>
      <c r="FH59" s="85"/>
      <c r="FI59" s="85"/>
      <c r="FJ59" s="85"/>
      <c r="FK59" s="41"/>
      <c r="FL59" s="85"/>
      <c r="FM59" s="85"/>
      <c r="FN59" s="85"/>
      <c r="FO59" s="85"/>
    </row>
    <row r="81" spans="1:162">
      <c r="A81" s="7"/>
      <c r="B81" s="8"/>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row>
    <row r="82" spans="1:162">
      <c r="A82" s="7"/>
      <c r="B82" s="8"/>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row>
    <row r="83" spans="1:162">
      <c r="A83" s="7"/>
      <c r="B83" s="8"/>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row>
    <row r="84" spans="1:162">
      <c r="A84" s="7"/>
      <c r="B84" s="8"/>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row>
    <row r="85" spans="1:162">
      <c r="A85" s="7"/>
      <c r="B85" s="8"/>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row>
    <row r="86" spans="1:162">
      <c r="A86" s="7"/>
      <c r="B86" s="8"/>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row>
    <row r="87" spans="1:162">
      <c r="A87" s="7"/>
      <c r="B87" s="8"/>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row>
    <row r="88" spans="1:162">
      <c r="A88" s="7"/>
      <c r="B88" s="8"/>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row>
    <row r="89" spans="1:162">
      <c r="A89" s="7"/>
      <c r="B89" s="8"/>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row>
    <row r="90" spans="1:162">
      <c r="A90" s="7"/>
      <c r="B90" s="8"/>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row>
    <row r="91" spans="1:162">
      <c r="A91" s="7"/>
      <c r="B91" s="8"/>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row>
    <row r="92" spans="1:162">
      <c r="A92" s="7"/>
      <c r="B92" s="8"/>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row>
  </sheetData>
  <mergeCells count="77">
    <mergeCell ref="T8:Z10"/>
    <mergeCell ref="AC3:AF3"/>
    <mergeCell ref="AC4:AF4"/>
    <mergeCell ref="T1:W1"/>
    <mergeCell ref="T2:W2"/>
    <mergeCell ref="T3:W3"/>
    <mergeCell ref="T4:W4"/>
    <mergeCell ref="AC2:AF2"/>
    <mergeCell ref="BD1:BG1"/>
    <mergeCell ref="BD2:BG2"/>
    <mergeCell ref="BD3:BG3"/>
    <mergeCell ref="BD4:BG4"/>
    <mergeCell ref="CN3:CQ3"/>
    <mergeCell ref="BV4:BY4"/>
    <mergeCell ref="CE4:CH4"/>
    <mergeCell ref="CN1:CQ1"/>
    <mergeCell ref="AL1:AO1"/>
    <mergeCell ref="AL2:AO2"/>
    <mergeCell ref="AL3:AO3"/>
    <mergeCell ref="AL4:AO4"/>
    <mergeCell ref="AU1:AX1"/>
    <mergeCell ref="AU2:AX2"/>
    <mergeCell ref="AU3:AX3"/>
    <mergeCell ref="AU4:AX4"/>
    <mergeCell ref="AC12:AC13"/>
    <mergeCell ref="CN4:CQ4"/>
    <mergeCell ref="CW4:CZ4"/>
    <mergeCell ref="DF1:DI1"/>
    <mergeCell ref="DO1:DR1"/>
    <mergeCell ref="DF2:DI2"/>
    <mergeCell ref="DO2:DR2"/>
    <mergeCell ref="DF3:DI3"/>
    <mergeCell ref="BM1:BP1"/>
    <mergeCell ref="BM2:BP2"/>
    <mergeCell ref="BM3:BP3"/>
    <mergeCell ref="BM4:BP4"/>
    <mergeCell ref="DO3:DR3"/>
    <mergeCell ref="DF4:DI4"/>
    <mergeCell ref="DO4:DR4"/>
    <mergeCell ref="AC1:AF1"/>
    <mergeCell ref="EY1:FB1"/>
    <mergeCell ref="EY2:FB2"/>
    <mergeCell ref="EY3:FB3"/>
    <mergeCell ref="EY4:FB4"/>
    <mergeCell ref="DX1:EA1"/>
    <mergeCell ref="EG1:EJ1"/>
    <mergeCell ref="DX2:EA2"/>
    <mergeCell ref="EG2:EJ2"/>
    <mergeCell ref="EP1:ES1"/>
    <mergeCell ref="EP2:ES2"/>
    <mergeCell ref="EP3:ES3"/>
    <mergeCell ref="EP4:ES4"/>
    <mergeCell ref="DX3:EA3"/>
    <mergeCell ref="EG3:EJ3"/>
    <mergeCell ref="DX4:EA4"/>
    <mergeCell ref="EG4:EJ4"/>
    <mergeCell ref="CW1:CZ1"/>
    <mergeCell ref="BV2:BY2"/>
    <mergeCell ref="CE2:CH2"/>
    <mergeCell ref="CN2:CQ2"/>
    <mergeCell ref="CW2:CZ2"/>
    <mergeCell ref="CW3:CZ3"/>
    <mergeCell ref="K8:Q10"/>
    <mergeCell ref="B8:H10"/>
    <mergeCell ref="AC8:AH9"/>
    <mergeCell ref="BV1:BY1"/>
    <mergeCell ref="CE1:CH1"/>
    <mergeCell ref="BV3:BY3"/>
    <mergeCell ref="CE3:CH3"/>
    <mergeCell ref="B2:E2"/>
    <mergeCell ref="B1:E1"/>
    <mergeCell ref="B3:E3"/>
    <mergeCell ref="B4:E4"/>
    <mergeCell ref="K1:N1"/>
    <mergeCell ref="K2:N2"/>
    <mergeCell ref="K3:N3"/>
    <mergeCell ref="K4:N4"/>
  </mergeCells>
  <conditionalFormatting sqref="N13:N36">
    <cfRule type="cellIs" dxfId="47" priority="9" operator="equal">
      <formula>$N$38</formula>
    </cfRule>
    <cfRule type="cellIs" dxfId="46" priority="16" operator="equal">
      <formula>$N$37</formula>
    </cfRule>
  </conditionalFormatting>
  <conditionalFormatting sqref="O13:O36">
    <cfRule type="cellIs" dxfId="45" priority="10" operator="equal">
      <formula>$O$38</formula>
    </cfRule>
    <cfRule type="cellIs" dxfId="44" priority="15" operator="equal">
      <formula>$O$37</formula>
    </cfRule>
  </conditionalFormatting>
  <conditionalFormatting sqref="P13:P36">
    <cfRule type="cellIs" dxfId="43" priority="11" operator="equal">
      <formula>$P$38</formula>
    </cfRule>
    <cfRule type="cellIs" dxfId="42" priority="14" operator="equal">
      <formula>$P$37</formula>
    </cfRule>
  </conditionalFormatting>
  <conditionalFormatting sqref="Q13:Q36">
    <cfRule type="cellIs" dxfId="41" priority="12" operator="equal">
      <formula>$Q$38</formula>
    </cfRule>
    <cfRule type="cellIs" dxfId="40" priority="13" operator="equal">
      <formula>$Q$37</formula>
    </cfRule>
  </conditionalFormatting>
  <conditionalFormatting sqref="W13:W37">
    <cfRule type="cellIs" dxfId="39" priority="1" operator="equal">
      <formula>$W$39</formula>
    </cfRule>
    <cfRule type="cellIs" dxfId="38" priority="8" operator="equal">
      <formula>$W$38</formula>
    </cfRule>
  </conditionalFormatting>
  <conditionalFormatting sqref="X13:X37">
    <cfRule type="cellIs" dxfId="37" priority="2" operator="equal">
      <formula>$X$39</formula>
    </cfRule>
    <cfRule type="cellIs" dxfId="36" priority="7" operator="equal">
      <formula>$X$38</formula>
    </cfRule>
  </conditionalFormatting>
  <conditionalFormatting sqref="Y13:Y37">
    <cfRule type="cellIs" dxfId="35" priority="3" operator="equal">
      <formula>$Y$39</formula>
    </cfRule>
    <cfRule type="cellIs" dxfId="34" priority="6" operator="equal">
      <formula>$Y$38</formula>
    </cfRule>
  </conditionalFormatting>
  <conditionalFormatting sqref="Z13:Z37">
    <cfRule type="cellIs" dxfId="33" priority="4" operator="equal">
      <formula>$Z$39</formula>
    </cfRule>
    <cfRule type="cellIs" dxfId="32" priority="5" operator="equal">
      <formula>$Z$38</formula>
    </cfRule>
  </conditionalFormatting>
  <pageMargins left="0.7" right="0.7" top="0.75" bottom="0.62121212121212122" header="0.3" footer="0.3"/>
  <pageSetup scale="80" orientation="portrait" r:id="rId1"/>
  <colBreaks count="2" manualBreakCount="2">
    <brk id="9" max="1048575" man="1"/>
    <brk id="27" max="1048575" man="1"/>
  </colBreaks>
  <drawing r:id="rId2"/>
</worksheet>
</file>

<file path=xl/worksheets/sheet2.xml><?xml version="1.0" encoding="utf-8"?>
<worksheet xmlns="http://schemas.openxmlformats.org/spreadsheetml/2006/main" xmlns:r="http://schemas.openxmlformats.org/officeDocument/2006/relationships">
  <dimension ref="A1:AG51"/>
  <sheetViews>
    <sheetView workbookViewId="0">
      <pane xSplit="2" ySplit="1" topLeftCell="C2" activePane="bottomRight" state="frozen"/>
      <selection pane="topRight" activeCell="C1" sqref="C1"/>
      <selection pane="bottomLeft" activeCell="A2" sqref="A2"/>
      <selection pane="bottomRight" activeCell="A9" sqref="A9"/>
    </sheetView>
  </sheetViews>
  <sheetFormatPr defaultRowHeight="15"/>
  <cols>
    <col min="2" max="2" width="9.140625" style="211"/>
    <col min="21" max="22" width="9.140625" style="210"/>
    <col min="23" max="28" width="9.140625" style="207"/>
  </cols>
  <sheetData>
    <row r="1" spans="1:33">
      <c r="A1" s="143" t="s">
        <v>65</v>
      </c>
      <c r="B1" s="228" t="s">
        <v>40</v>
      </c>
      <c r="C1" s="121" t="s">
        <v>61</v>
      </c>
      <c r="D1" s="121" t="s">
        <v>62</v>
      </c>
      <c r="E1" s="121" t="s">
        <v>63</v>
      </c>
      <c r="F1" s="121" t="s">
        <v>171</v>
      </c>
      <c r="G1" s="224" t="s">
        <v>212</v>
      </c>
      <c r="H1" s="123" t="s">
        <v>213</v>
      </c>
      <c r="I1" s="121" t="s">
        <v>214</v>
      </c>
      <c r="J1" s="121" t="s">
        <v>215</v>
      </c>
      <c r="K1" s="121" t="s">
        <v>216</v>
      </c>
      <c r="L1" s="228" t="s">
        <v>164</v>
      </c>
      <c r="M1" s="121" t="s">
        <v>217</v>
      </c>
      <c r="N1" s="121" t="s">
        <v>218</v>
      </c>
      <c r="O1" s="230" t="s">
        <v>128</v>
      </c>
      <c r="P1" s="230" t="s">
        <v>219</v>
      </c>
      <c r="Q1" s="230" t="s">
        <v>220</v>
      </c>
      <c r="R1" s="230" t="s">
        <v>127</v>
      </c>
      <c r="S1" s="230" t="s">
        <v>221</v>
      </c>
      <c r="T1" s="230" t="s">
        <v>222</v>
      </c>
      <c r="U1" s="239" t="s">
        <v>278</v>
      </c>
      <c r="V1" s="239" t="s">
        <v>279</v>
      </c>
      <c r="W1" s="229" t="s">
        <v>167</v>
      </c>
      <c r="X1" s="205" t="s">
        <v>225</v>
      </c>
      <c r="Y1" s="205" t="s">
        <v>226</v>
      </c>
      <c r="Z1" s="205" t="s">
        <v>224</v>
      </c>
      <c r="AA1" s="205" t="s">
        <v>225</v>
      </c>
      <c r="AB1" s="205" t="s">
        <v>226</v>
      </c>
      <c r="AC1" s="206" t="s">
        <v>223</v>
      </c>
      <c r="AD1" s="206" t="s">
        <v>228</v>
      </c>
      <c r="AE1" s="219" t="s">
        <v>227</v>
      </c>
      <c r="AF1" s="218" t="s">
        <v>59</v>
      </c>
      <c r="AG1" s="218" t="s">
        <v>60</v>
      </c>
    </row>
    <row r="2" spans="1:33">
      <c r="A2" s="144" t="s">
        <v>66</v>
      </c>
      <c r="B2" s="195" t="s">
        <v>229</v>
      </c>
      <c r="C2" s="163">
        <v>564</v>
      </c>
      <c r="D2" s="163">
        <v>177</v>
      </c>
      <c r="E2" s="163">
        <v>28.283999999999999</v>
      </c>
      <c r="F2" s="163">
        <v>-1145.231</v>
      </c>
      <c r="G2" s="225">
        <f t="shared" ref="G2:G33" si="0">SQRT(AC2^2+AD2^2)</f>
        <v>21.69728565973173</v>
      </c>
      <c r="H2" s="210">
        <v>23</v>
      </c>
      <c r="I2" s="210">
        <v>0.5</v>
      </c>
      <c r="J2" s="210">
        <v>0.5</v>
      </c>
      <c r="K2" s="210">
        <v>30</v>
      </c>
      <c r="L2" s="210">
        <f>K2</f>
        <v>30</v>
      </c>
      <c r="M2" s="231">
        <v>41</v>
      </c>
      <c r="N2" s="236">
        <f>M2*0.49</f>
        <v>20.09</v>
      </c>
      <c r="O2" s="213">
        <v>4643.42</v>
      </c>
      <c r="P2" s="213">
        <v>309.56</v>
      </c>
      <c r="Q2" s="213">
        <v>10.64</v>
      </c>
      <c r="R2" s="213">
        <v>3910.43</v>
      </c>
      <c r="S2" s="213">
        <v>336.12</v>
      </c>
      <c r="T2" s="232">
        <v>9.77</v>
      </c>
      <c r="U2" s="210">
        <v>79</v>
      </c>
      <c r="V2" s="210">
        <v>3</v>
      </c>
      <c r="W2" s="210" t="s">
        <v>10</v>
      </c>
      <c r="X2" s="215">
        <f t="shared" ref="X2:X33" si="1">VLOOKUP(W2,$AE$2:$AG$27,2,FALSE)</f>
        <v>21.666666666666668</v>
      </c>
      <c r="Y2" s="210">
        <f t="shared" ref="Y2:Y33" si="2">VLOOKUP(W2,$AE$2:$AG$27,3,FALSE)</f>
        <v>-16.655999999999999</v>
      </c>
      <c r="Z2" s="210" t="s">
        <v>12</v>
      </c>
      <c r="AA2" s="215">
        <f t="shared" ref="AA2:AA33" si="3">VLOOKUP(Z2,$AE$2:$AG$27,2,FALSE)</f>
        <v>43.333666666666673</v>
      </c>
      <c r="AB2" s="210">
        <f t="shared" ref="AB2:AB33" si="4">VLOOKUP(Z2,$AE$2:$AG$27,3,FALSE)</f>
        <v>-15.51</v>
      </c>
      <c r="AC2" s="215">
        <f t="shared" ref="AC2:AC33" si="5">(AA2-X2)</f>
        <v>21.667000000000005</v>
      </c>
      <c r="AD2" s="210">
        <f t="shared" ref="AD2:AD33" si="6">(AB2-Y2)</f>
        <v>1.145999999999999</v>
      </c>
      <c r="AE2" s="217" t="s">
        <v>104</v>
      </c>
      <c r="AF2" s="221">
        <v>0</v>
      </c>
      <c r="AG2" s="221">
        <v>0</v>
      </c>
    </row>
    <row r="3" spans="1:33">
      <c r="A3" s="145" t="s">
        <v>66</v>
      </c>
      <c r="B3" s="240" t="s">
        <v>230</v>
      </c>
      <c r="C3" s="164">
        <v>564</v>
      </c>
      <c r="D3" s="164">
        <v>177</v>
      </c>
      <c r="E3" s="164">
        <v>28.283999999999999</v>
      </c>
      <c r="F3" s="164">
        <v>-1145.231</v>
      </c>
      <c r="G3" s="225">
        <f t="shared" si="0"/>
        <v>21.696689273814208</v>
      </c>
      <c r="H3" s="210">
        <v>23</v>
      </c>
      <c r="I3" s="210">
        <v>0.5</v>
      </c>
      <c r="J3" s="210">
        <v>0.5</v>
      </c>
      <c r="K3" s="210">
        <v>30</v>
      </c>
      <c r="L3" s="210">
        <f t="shared" ref="L3:L50" si="7">K3</f>
        <v>30</v>
      </c>
      <c r="M3" s="231">
        <v>41</v>
      </c>
      <c r="N3" s="236">
        <f t="shared" ref="N3:N50" si="8">M3*0.49</f>
        <v>20.09</v>
      </c>
      <c r="O3" s="213">
        <v>4643.42</v>
      </c>
      <c r="P3" s="213">
        <v>309.56</v>
      </c>
      <c r="Q3" s="213">
        <v>10.64</v>
      </c>
      <c r="R3" s="213">
        <v>3910.43</v>
      </c>
      <c r="S3" s="213">
        <v>336.12</v>
      </c>
      <c r="T3" s="232">
        <v>9.77</v>
      </c>
      <c r="U3" s="210">
        <v>87</v>
      </c>
      <c r="V3" s="210">
        <f>2+3/16</f>
        <v>2.1875</v>
      </c>
      <c r="W3" s="210" t="s">
        <v>19</v>
      </c>
      <c r="X3" s="210">
        <f t="shared" si="1"/>
        <v>0</v>
      </c>
      <c r="Y3" s="210">
        <f t="shared" si="2"/>
        <v>-17.797000000000001</v>
      </c>
      <c r="Z3" s="210" t="s">
        <v>10</v>
      </c>
      <c r="AA3" s="215">
        <f>VLOOKUP(Z3,$AE$2:$AG$27,2,FALSE)</f>
        <v>21.666666666666668</v>
      </c>
      <c r="AB3" s="210">
        <f t="shared" si="4"/>
        <v>-16.655999999999999</v>
      </c>
      <c r="AC3" s="215">
        <f t="shared" si="5"/>
        <v>21.666666666666668</v>
      </c>
      <c r="AD3" s="210">
        <f t="shared" si="6"/>
        <v>1.1410000000000018</v>
      </c>
      <c r="AE3" s="217" t="s">
        <v>20</v>
      </c>
      <c r="AF3" s="216">
        <v>21.666666666666668</v>
      </c>
      <c r="AG3" s="220">
        <v>0</v>
      </c>
    </row>
    <row r="4" spans="1:33">
      <c r="A4" s="145" t="s">
        <v>119</v>
      </c>
      <c r="B4" s="240" t="s">
        <v>231</v>
      </c>
      <c r="C4" s="151">
        <v>-410</v>
      </c>
      <c r="D4" s="151">
        <v>-116</v>
      </c>
      <c r="E4" s="167">
        <v>-20.829000000000001</v>
      </c>
      <c r="F4" s="151">
        <v>841.05700000000002</v>
      </c>
      <c r="G4" s="225">
        <f t="shared" si="0"/>
        <v>27.012493426396443</v>
      </c>
      <c r="H4" s="210">
        <v>22.5</v>
      </c>
      <c r="I4" s="210">
        <v>0.625</v>
      </c>
      <c r="J4" s="210">
        <v>0.75</v>
      </c>
      <c r="K4" s="210">
        <v>18</v>
      </c>
      <c r="L4" s="210">
        <f t="shared" si="7"/>
        <v>18</v>
      </c>
      <c r="M4" s="231">
        <v>40.130000000000003</v>
      </c>
      <c r="N4" s="236">
        <f t="shared" si="8"/>
        <v>19.663700000000002</v>
      </c>
      <c r="O4" s="213">
        <v>1720.1</v>
      </c>
      <c r="P4" s="213">
        <v>191.11</v>
      </c>
      <c r="Q4" s="213">
        <v>6.55</v>
      </c>
      <c r="R4" s="213">
        <v>3319.99</v>
      </c>
      <c r="S4" s="213">
        <v>288.81</v>
      </c>
      <c r="T4" s="232">
        <v>9.1</v>
      </c>
      <c r="U4" s="210">
        <f>36*2</f>
        <v>72</v>
      </c>
      <c r="V4" s="210">
        <v>1.5</v>
      </c>
      <c r="W4" s="214" t="s">
        <v>24</v>
      </c>
      <c r="X4" s="215">
        <f t="shared" si="1"/>
        <v>108.33466666666668</v>
      </c>
      <c r="Y4" s="210">
        <f t="shared" si="2"/>
        <v>0</v>
      </c>
      <c r="Z4" s="214" t="s">
        <v>16</v>
      </c>
      <c r="AA4" s="215">
        <f t="shared" si="3"/>
        <v>130.00033333333334</v>
      </c>
      <c r="AB4" s="210">
        <f t="shared" si="4"/>
        <v>-16.132999999999999</v>
      </c>
      <c r="AC4" s="215">
        <f t="shared" si="5"/>
        <v>21.665666666666667</v>
      </c>
      <c r="AD4" s="210">
        <f t="shared" si="6"/>
        <v>-16.132999999999999</v>
      </c>
      <c r="AE4" s="217" t="s">
        <v>21</v>
      </c>
      <c r="AF4" s="222">
        <v>43.333666666666673</v>
      </c>
      <c r="AG4" s="221">
        <v>0</v>
      </c>
    </row>
    <row r="5" spans="1:33">
      <c r="A5" s="145" t="s">
        <v>119</v>
      </c>
      <c r="B5" s="240" t="s">
        <v>232</v>
      </c>
      <c r="C5" s="151">
        <v>613</v>
      </c>
      <c r="D5" s="151">
        <v>158</v>
      </c>
      <c r="E5" s="167">
        <v>30.382000000000001</v>
      </c>
      <c r="F5" s="151">
        <v>-1233.0119999999999</v>
      </c>
      <c r="G5" s="225">
        <f t="shared" si="0"/>
        <v>27.01463230259564</v>
      </c>
      <c r="H5" s="210">
        <v>22.5</v>
      </c>
      <c r="I5" s="210">
        <v>0.625</v>
      </c>
      <c r="J5" s="210">
        <v>0.75</v>
      </c>
      <c r="K5" s="210">
        <v>18</v>
      </c>
      <c r="L5" s="210">
        <f t="shared" si="7"/>
        <v>18</v>
      </c>
      <c r="M5" s="231">
        <v>40.130000000000003</v>
      </c>
      <c r="N5" s="236">
        <f t="shared" si="8"/>
        <v>19.663700000000002</v>
      </c>
      <c r="O5" s="213">
        <v>1720.1</v>
      </c>
      <c r="P5" s="213">
        <v>191.11</v>
      </c>
      <c r="Q5" s="213">
        <v>6.55</v>
      </c>
      <c r="R5" s="213">
        <v>3319.99</v>
      </c>
      <c r="S5" s="213">
        <v>288.81</v>
      </c>
      <c r="T5" s="232">
        <v>9.1</v>
      </c>
      <c r="U5" s="210">
        <f>41*2</f>
        <v>82</v>
      </c>
      <c r="V5" s="210">
        <v>1.5</v>
      </c>
      <c r="W5" s="214" t="s">
        <v>16</v>
      </c>
      <c r="X5" s="215">
        <f t="shared" si="1"/>
        <v>130.00033333333334</v>
      </c>
      <c r="Y5" s="210">
        <f t="shared" si="2"/>
        <v>-16.132999999999999</v>
      </c>
      <c r="Z5" s="214" t="s">
        <v>26</v>
      </c>
      <c r="AA5" s="215">
        <f t="shared" si="3"/>
        <v>151.66866666666667</v>
      </c>
      <c r="AB5" s="210">
        <f t="shared" si="4"/>
        <v>0</v>
      </c>
      <c r="AC5" s="215">
        <f t="shared" si="5"/>
        <v>21.668333333333322</v>
      </c>
      <c r="AD5" s="210">
        <f t="shared" si="6"/>
        <v>16.132999999999999</v>
      </c>
      <c r="AE5" s="217" t="s">
        <v>22</v>
      </c>
      <c r="AF5" s="216">
        <f>AF4+21.667</f>
        <v>65.000666666666675</v>
      </c>
      <c r="AG5" s="220">
        <v>0</v>
      </c>
    </row>
    <row r="6" spans="1:33">
      <c r="A6" s="145" t="s">
        <v>119</v>
      </c>
      <c r="B6" s="240" t="s">
        <v>233</v>
      </c>
      <c r="C6" s="151">
        <v>577</v>
      </c>
      <c r="D6" s="151">
        <v>199</v>
      </c>
      <c r="E6" s="167">
        <v>28.355</v>
      </c>
      <c r="F6" s="151">
        <v>-1155.1990000000001</v>
      </c>
      <c r="G6" s="225">
        <f t="shared" si="0"/>
        <v>26.6461815088016</v>
      </c>
      <c r="H6" s="210">
        <v>22.5</v>
      </c>
      <c r="I6" s="210">
        <v>0.625</v>
      </c>
      <c r="J6" s="210">
        <v>0.75</v>
      </c>
      <c r="K6" s="210">
        <v>18</v>
      </c>
      <c r="L6" s="210">
        <f t="shared" si="7"/>
        <v>18</v>
      </c>
      <c r="M6" s="231">
        <v>40.130000000000003</v>
      </c>
      <c r="N6" s="236">
        <f t="shared" si="8"/>
        <v>19.663700000000002</v>
      </c>
      <c r="O6" s="213">
        <v>1720.1</v>
      </c>
      <c r="P6" s="213">
        <v>191.11</v>
      </c>
      <c r="Q6" s="213">
        <v>6.55</v>
      </c>
      <c r="R6" s="213">
        <v>3319.99</v>
      </c>
      <c r="S6" s="213">
        <v>288.81</v>
      </c>
      <c r="T6" s="232">
        <v>9.1</v>
      </c>
      <c r="U6" s="210">
        <f>41+40</f>
        <v>81</v>
      </c>
      <c r="V6" s="210">
        <v>1.5</v>
      </c>
      <c r="W6" s="210" t="s">
        <v>20</v>
      </c>
      <c r="X6" s="215">
        <f t="shared" si="1"/>
        <v>21.666666666666668</v>
      </c>
      <c r="Y6" s="210">
        <f t="shared" si="2"/>
        <v>0</v>
      </c>
      <c r="Z6" s="210" t="s">
        <v>12</v>
      </c>
      <c r="AA6" s="215">
        <f t="shared" si="3"/>
        <v>43.333666666666673</v>
      </c>
      <c r="AB6" s="210">
        <f t="shared" si="4"/>
        <v>-15.51</v>
      </c>
      <c r="AC6" s="215">
        <f t="shared" si="5"/>
        <v>21.667000000000005</v>
      </c>
      <c r="AD6" s="210">
        <f t="shared" si="6"/>
        <v>-15.51</v>
      </c>
      <c r="AE6" s="217" t="s">
        <v>23</v>
      </c>
      <c r="AF6" s="222">
        <f t="shared" ref="AF6:AF14" si="9">AF5+21.667</f>
        <v>86.667666666666676</v>
      </c>
      <c r="AG6" s="221">
        <v>0</v>
      </c>
    </row>
    <row r="7" spans="1:33">
      <c r="A7" s="145" t="s">
        <v>119</v>
      </c>
      <c r="B7" s="240" t="s">
        <v>234</v>
      </c>
      <c r="C7" s="151">
        <v>-350</v>
      </c>
      <c r="D7" s="151">
        <v>-150</v>
      </c>
      <c r="E7" s="167">
        <v>-17.228000000000002</v>
      </c>
      <c r="F7" s="151">
        <v>702.423</v>
      </c>
      <c r="G7" s="225">
        <f t="shared" si="0"/>
        <v>26.646181508801593</v>
      </c>
      <c r="H7" s="210">
        <v>22.5</v>
      </c>
      <c r="I7" s="210">
        <v>0.625</v>
      </c>
      <c r="J7" s="210">
        <v>0.75</v>
      </c>
      <c r="K7" s="210">
        <v>18</v>
      </c>
      <c r="L7" s="210">
        <f t="shared" si="7"/>
        <v>18</v>
      </c>
      <c r="M7" s="231">
        <v>40.130000000000003</v>
      </c>
      <c r="N7" s="236">
        <f t="shared" si="8"/>
        <v>19.663700000000002</v>
      </c>
      <c r="O7" s="213">
        <v>1720.1</v>
      </c>
      <c r="P7" s="213">
        <v>191.11</v>
      </c>
      <c r="Q7" s="213">
        <v>6.55</v>
      </c>
      <c r="R7" s="213">
        <v>3319.99</v>
      </c>
      <c r="S7" s="213">
        <v>288.81</v>
      </c>
      <c r="T7" s="232">
        <v>9.1</v>
      </c>
      <c r="U7" s="210">
        <f>36*2</f>
        <v>72</v>
      </c>
      <c r="V7" s="210">
        <f>1.5</f>
        <v>1.5</v>
      </c>
      <c r="W7" s="214" t="s">
        <v>12</v>
      </c>
      <c r="X7" s="215">
        <f t="shared" si="1"/>
        <v>43.333666666666673</v>
      </c>
      <c r="Y7" s="210">
        <f t="shared" si="2"/>
        <v>-15.51</v>
      </c>
      <c r="Z7" s="214" t="s">
        <v>22</v>
      </c>
      <c r="AA7" s="215">
        <f t="shared" si="3"/>
        <v>65.000666666666675</v>
      </c>
      <c r="AB7" s="210">
        <f t="shared" si="4"/>
        <v>0</v>
      </c>
      <c r="AC7" s="215">
        <f t="shared" si="5"/>
        <v>21.667000000000002</v>
      </c>
      <c r="AD7" s="210">
        <f t="shared" si="6"/>
        <v>15.51</v>
      </c>
      <c r="AE7" s="217" t="s">
        <v>24</v>
      </c>
      <c r="AF7" s="216">
        <f t="shared" si="9"/>
        <v>108.33466666666668</v>
      </c>
      <c r="AG7" s="220">
        <v>0</v>
      </c>
    </row>
    <row r="8" spans="1:33">
      <c r="A8" s="145" t="s">
        <v>120</v>
      </c>
      <c r="B8" s="240" t="s">
        <v>235</v>
      </c>
      <c r="C8" s="151">
        <v>102</v>
      </c>
      <c r="D8" s="151">
        <v>95</v>
      </c>
      <c r="E8" s="167">
        <v>4.867</v>
      </c>
      <c r="F8" s="151">
        <v>-202.05600000000001</v>
      </c>
      <c r="G8" s="225">
        <f t="shared" si="0"/>
        <v>26.334406412735248</v>
      </c>
      <c r="H8" s="210">
        <v>23.25</v>
      </c>
      <c r="I8" s="210">
        <v>0.375</v>
      </c>
      <c r="J8" s="210">
        <v>0.375</v>
      </c>
      <c r="K8" s="210">
        <v>18</v>
      </c>
      <c r="L8" s="210">
        <f t="shared" si="7"/>
        <v>18</v>
      </c>
      <c r="M8" s="231">
        <v>21.94</v>
      </c>
      <c r="N8" s="236">
        <f t="shared" si="8"/>
        <v>10.7506</v>
      </c>
      <c r="O8" s="213">
        <v>1019.86</v>
      </c>
      <c r="P8" s="213">
        <v>113.32</v>
      </c>
      <c r="Q8" s="213">
        <v>6.82</v>
      </c>
      <c r="R8" s="213">
        <v>1855.9</v>
      </c>
      <c r="S8" s="213">
        <v>157.69</v>
      </c>
      <c r="T8" s="232">
        <v>9.1999999999999993</v>
      </c>
      <c r="U8" s="210">
        <f>26*2</f>
        <v>52</v>
      </c>
      <c r="V8" s="210">
        <v>1.5</v>
      </c>
      <c r="W8" s="214" t="s">
        <v>22</v>
      </c>
      <c r="X8" s="215">
        <f t="shared" si="1"/>
        <v>65.000666666666675</v>
      </c>
      <c r="Y8" s="210">
        <f t="shared" si="2"/>
        <v>0</v>
      </c>
      <c r="Z8" s="214" t="s">
        <v>14</v>
      </c>
      <c r="AA8" s="215">
        <f t="shared" si="3"/>
        <v>86.667000000000016</v>
      </c>
      <c r="AB8" s="210">
        <f t="shared" si="4"/>
        <v>-14.968999999999999</v>
      </c>
      <c r="AC8" s="215">
        <f t="shared" si="5"/>
        <v>21.666333333333341</v>
      </c>
      <c r="AD8" s="210">
        <f t="shared" si="6"/>
        <v>-14.968999999999999</v>
      </c>
      <c r="AE8" s="217" t="s">
        <v>25</v>
      </c>
      <c r="AF8" s="222">
        <f t="shared" si="9"/>
        <v>130.00166666666667</v>
      </c>
      <c r="AG8" s="221">
        <v>0</v>
      </c>
    </row>
    <row r="9" spans="1:33">
      <c r="A9" s="145" t="s">
        <v>120</v>
      </c>
      <c r="B9" s="240" t="s">
        <v>236</v>
      </c>
      <c r="C9" s="151">
        <v>183</v>
      </c>
      <c r="D9" s="151">
        <v>60</v>
      </c>
      <c r="E9" s="167">
        <v>9.3719999999999999</v>
      </c>
      <c r="F9" s="151">
        <v>-378.42500000000001</v>
      </c>
      <c r="G9" s="225">
        <f t="shared" si="0"/>
        <v>26.335503408474604</v>
      </c>
      <c r="H9" s="210">
        <v>23.25</v>
      </c>
      <c r="I9" s="210">
        <v>0.375</v>
      </c>
      <c r="J9" s="210">
        <v>0.375</v>
      </c>
      <c r="K9" s="210">
        <v>18</v>
      </c>
      <c r="L9" s="210">
        <f t="shared" si="7"/>
        <v>18</v>
      </c>
      <c r="M9" s="231">
        <v>21.94</v>
      </c>
      <c r="N9" s="236">
        <f t="shared" si="8"/>
        <v>10.7506</v>
      </c>
      <c r="O9" s="213">
        <v>1019.86</v>
      </c>
      <c r="P9" s="213">
        <v>113.32</v>
      </c>
      <c r="Q9" s="213">
        <v>6.82</v>
      </c>
      <c r="R9" s="213">
        <v>1855.9</v>
      </c>
      <c r="S9" s="213">
        <v>157.69</v>
      </c>
      <c r="T9" s="232">
        <v>9.1999999999999993</v>
      </c>
      <c r="U9" s="210">
        <f>26*2</f>
        <v>52</v>
      </c>
      <c r="V9" s="210">
        <v>1.5</v>
      </c>
      <c r="W9" s="214" t="s">
        <v>14</v>
      </c>
      <c r="X9" s="215">
        <f t="shared" si="1"/>
        <v>86.667000000000016</v>
      </c>
      <c r="Y9" s="210">
        <f t="shared" si="2"/>
        <v>-14.968999999999999</v>
      </c>
      <c r="Z9" s="214" t="s">
        <v>24</v>
      </c>
      <c r="AA9" s="215">
        <f t="shared" si="3"/>
        <v>108.33466666666668</v>
      </c>
      <c r="AB9" s="210">
        <f t="shared" si="4"/>
        <v>0</v>
      </c>
      <c r="AC9" s="215">
        <f t="shared" si="5"/>
        <v>21.667666666666662</v>
      </c>
      <c r="AD9" s="210">
        <f t="shared" si="6"/>
        <v>14.968999999999999</v>
      </c>
      <c r="AE9" s="217" t="s">
        <v>26</v>
      </c>
      <c r="AF9" s="216">
        <f t="shared" si="9"/>
        <v>151.66866666666667</v>
      </c>
      <c r="AG9" s="220">
        <v>0</v>
      </c>
    </row>
    <row r="10" spans="1:33">
      <c r="A10" s="145" t="s">
        <v>123</v>
      </c>
      <c r="B10" s="240" t="s">
        <v>237</v>
      </c>
      <c r="C10" s="151">
        <v>-878</v>
      </c>
      <c r="D10" s="151">
        <v>-212</v>
      </c>
      <c r="E10" s="167">
        <v>-42.593000000000004</v>
      </c>
      <c r="F10" s="151">
        <v>1759.8109999999999</v>
      </c>
      <c r="G10" s="225">
        <f t="shared" si="0"/>
        <v>37.304843565473398</v>
      </c>
      <c r="H10" s="210">
        <v>21.5</v>
      </c>
      <c r="I10" s="210">
        <v>1</v>
      </c>
      <c r="J10" s="210">
        <v>1.25</v>
      </c>
      <c r="K10" s="210">
        <v>18</v>
      </c>
      <c r="L10" s="210">
        <f t="shared" si="7"/>
        <v>18</v>
      </c>
      <c r="M10" s="231">
        <v>64</v>
      </c>
      <c r="N10" s="236">
        <f t="shared" si="8"/>
        <v>31.36</v>
      </c>
      <c r="O10" s="213">
        <v>2589.33</v>
      </c>
      <c r="P10" s="213">
        <v>287.7</v>
      </c>
      <c r="Q10" s="213">
        <v>6.36</v>
      </c>
      <c r="R10" s="213">
        <v>4782.83</v>
      </c>
      <c r="S10" s="213">
        <v>430.07</v>
      </c>
      <c r="T10" s="232">
        <v>8.64</v>
      </c>
      <c r="U10" s="210">
        <f>61*2</f>
        <v>122</v>
      </c>
      <c r="V10" s="210">
        <v>1.5</v>
      </c>
      <c r="W10" s="214" t="s">
        <v>107</v>
      </c>
      <c r="X10" s="215">
        <f t="shared" si="1"/>
        <v>238.33666666666667</v>
      </c>
      <c r="Y10" s="210">
        <f t="shared" si="2"/>
        <v>0</v>
      </c>
      <c r="Z10" s="214" t="s">
        <v>44</v>
      </c>
      <c r="AA10" s="215">
        <f t="shared" si="3"/>
        <v>260.00033333333329</v>
      </c>
      <c r="AB10" s="210">
        <f t="shared" si="4"/>
        <v>-30.37</v>
      </c>
      <c r="AC10" s="215">
        <f t="shared" si="5"/>
        <v>21.663666666666614</v>
      </c>
      <c r="AD10" s="210">
        <f t="shared" si="6"/>
        <v>-30.37</v>
      </c>
      <c r="AE10" s="217" t="s">
        <v>27</v>
      </c>
      <c r="AF10" s="222">
        <f t="shared" si="9"/>
        <v>173.33566666666667</v>
      </c>
      <c r="AG10" s="221">
        <v>0</v>
      </c>
    </row>
    <row r="11" spans="1:33">
      <c r="A11" s="145" t="s">
        <v>123</v>
      </c>
      <c r="B11" s="240" t="s">
        <v>238</v>
      </c>
      <c r="C11" s="151">
        <v>-879</v>
      </c>
      <c r="D11" s="151">
        <v>-208</v>
      </c>
      <c r="E11" s="167">
        <v>-43.637</v>
      </c>
      <c r="F11" s="151">
        <v>1778.614</v>
      </c>
      <c r="G11" s="225">
        <f t="shared" si="0"/>
        <v>32.22724344057022</v>
      </c>
      <c r="H11" s="210">
        <v>21.5</v>
      </c>
      <c r="I11" s="210">
        <v>1</v>
      </c>
      <c r="J11" s="210">
        <v>1.25</v>
      </c>
      <c r="K11" s="210">
        <v>18</v>
      </c>
      <c r="L11" s="210">
        <f t="shared" si="7"/>
        <v>18</v>
      </c>
      <c r="M11" s="231">
        <v>64</v>
      </c>
      <c r="N11" s="236">
        <f t="shared" si="8"/>
        <v>31.36</v>
      </c>
      <c r="O11" s="213">
        <v>2589.33</v>
      </c>
      <c r="P11" s="213">
        <v>287.7</v>
      </c>
      <c r="Q11" s="213">
        <v>6.36</v>
      </c>
      <c r="R11" s="213">
        <v>4782.83</v>
      </c>
      <c r="S11" s="213">
        <v>430.07</v>
      </c>
      <c r="T11" s="232">
        <v>8.64</v>
      </c>
      <c r="U11" s="210">
        <f>61*2</f>
        <v>122</v>
      </c>
      <c r="V11" s="210">
        <v>1.5</v>
      </c>
      <c r="W11" s="214" t="s">
        <v>105</v>
      </c>
      <c r="X11" s="215">
        <f t="shared" si="1"/>
        <v>195.00266666666667</v>
      </c>
      <c r="Y11" s="210">
        <f t="shared" si="2"/>
        <v>0</v>
      </c>
      <c r="Z11" s="214" t="s">
        <v>42</v>
      </c>
      <c r="AA11" s="215">
        <f t="shared" si="3"/>
        <v>216.66699999999997</v>
      </c>
      <c r="AB11" s="210">
        <f t="shared" si="4"/>
        <v>-23.859000000000002</v>
      </c>
      <c r="AC11" s="215">
        <f t="shared" si="5"/>
        <v>21.664333333333303</v>
      </c>
      <c r="AD11" s="210">
        <f t="shared" si="6"/>
        <v>-23.859000000000002</v>
      </c>
      <c r="AE11" s="217" t="s">
        <v>105</v>
      </c>
      <c r="AF11" s="216">
        <f t="shared" si="9"/>
        <v>195.00266666666667</v>
      </c>
      <c r="AG11" s="220">
        <v>0</v>
      </c>
    </row>
    <row r="12" spans="1:33">
      <c r="A12" s="145" t="s">
        <v>124</v>
      </c>
      <c r="B12" s="240" t="s">
        <v>239</v>
      </c>
      <c r="C12" s="151">
        <v>-195</v>
      </c>
      <c r="D12" s="151">
        <v>-68</v>
      </c>
      <c r="E12" s="167">
        <v>-10.234</v>
      </c>
      <c r="F12" s="151">
        <v>304.904</v>
      </c>
      <c r="G12" s="225">
        <f t="shared" si="0"/>
        <v>30.370000182929061</v>
      </c>
      <c r="H12" s="210">
        <v>23.25</v>
      </c>
      <c r="I12" s="210">
        <v>0.625</v>
      </c>
      <c r="J12" s="210">
        <v>0.375</v>
      </c>
      <c r="K12" s="210">
        <v>18</v>
      </c>
      <c r="L12" s="210">
        <f t="shared" si="7"/>
        <v>18</v>
      </c>
      <c r="M12" s="231">
        <v>27.56</v>
      </c>
      <c r="N12" s="236">
        <f t="shared" si="8"/>
        <v>13.504399999999999</v>
      </c>
      <c r="O12" s="213">
        <v>1426.29</v>
      </c>
      <c r="P12" s="213">
        <v>158.47999999999999</v>
      </c>
      <c r="Q12" s="213">
        <v>7.19</v>
      </c>
      <c r="R12" s="213">
        <v>1915.46</v>
      </c>
      <c r="S12" s="213">
        <v>162.1</v>
      </c>
      <c r="T12" s="232">
        <v>8.34</v>
      </c>
      <c r="U12" s="210">
        <f>32*2</f>
        <v>64</v>
      </c>
      <c r="V12" s="210">
        <f>1+9/16</f>
        <v>1.5625</v>
      </c>
      <c r="W12" s="214" t="s">
        <v>108</v>
      </c>
      <c r="X12" s="215">
        <f t="shared" si="1"/>
        <v>260.00366666666667</v>
      </c>
      <c r="Y12" s="210">
        <f t="shared" si="2"/>
        <v>0</v>
      </c>
      <c r="Z12" s="214" t="s">
        <v>44</v>
      </c>
      <c r="AA12" s="215">
        <f t="shared" si="3"/>
        <v>260.00033333333329</v>
      </c>
      <c r="AB12" s="210">
        <f t="shared" si="4"/>
        <v>-30.37</v>
      </c>
      <c r="AC12" s="215">
        <f t="shared" si="5"/>
        <v>-3.3333333333871451E-3</v>
      </c>
      <c r="AD12" s="210">
        <f t="shared" si="6"/>
        <v>-30.37</v>
      </c>
      <c r="AE12" s="217" t="s">
        <v>106</v>
      </c>
      <c r="AF12" s="222">
        <f t="shared" si="9"/>
        <v>216.66966666666667</v>
      </c>
      <c r="AG12" s="221">
        <v>0</v>
      </c>
    </row>
    <row r="13" spans="1:33">
      <c r="A13" s="145" t="s">
        <v>124</v>
      </c>
      <c r="B13" s="240" t="s">
        <v>240</v>
      </c>
      <c r="C13" s="151">
        <v>-17</v>
      </c>
      <c r="D13" s="151">
        <v>-7.0000000000000001E-3</v>
      </c>
      <c r="E13" s="167">
        <v>1E-3</v>
      </c>
      <c r="F13" s="151">
        <v>-22.242000000000001</v>
      </c>
      <c r="G13" s="225">
        <f t="shared" si="0"/>
        <v>27.119000165935322</v>
      </c>
      <c r="H13" s="210">
        <v>23.25</v>
      </c>
      <c r="I13" s="210">
        <v>0.625</v>
      </c>
      <c r="J13" s="210">
        <v>0.375</v>
      </c>
      <c r="K13" s="210">
        <v>18</v>
      </c>
      <c r="L13" s="210">
        <f t="shared" si="7"/>
        <v>18</v>
      </c>
      <c r="M13" s="231">
        <v>27.56</v>
      </c>
      <c r="N13" s="236">
        <f t="shared" si="8"/>
        <v>13.504399999999999</v>
      </c>
      <c r="O13" s="213">
        <v>1426.29</v>
      </c>
      <c r="P13" s="213">
        <v>158.47999999999999</v>
      </c>
      <c r="Q13" s="213">
        <v>7.19</v>
      </c>
      <c r="R13" s="213">
        <v>1915.46</v>
      </c>
      <c r="S13" s="213">
        <v>162.1</v>
      </c>
      <c r="T13" s="232">
        <v>8.34</v>
      </c>
      <c r="U13" s="210">
        <f>32*2</f>
        <v>64</v>
      </c>
      <c r="V13" s="210">
        <v>2</v>
      </c>
      <c r="W13" s="214" t="s">
        <v>107</v>
      </c>
      <c r="X13" s="215">
        <f t="shared" si="1"/>
        <v>238.33666666666667</v>
      </c>
      <c r="Y13" s="210">
        <f t="shared" si="2"/>
        <v>0</v>
      </c>
      <c r="Z13" s="214" t="s">
        <v>43</v>
      </c>
      <c r="AA13" s="215">
        <f t="shared" si="3"/>
        <v>238.33366666666663</v>
      </c>
      <c r="AB13" s="210">
        <f t="shared" si="4"/>
        <v>-27.119</v>
      </c>
      <c r="AC13" s="215">
        <f t="shared" si="5"/>
        <v>-3.0000000000427463E-3</v>
      </c>
      <c r="AD13" s="210">
        <f t="shared" si="6"/>
        <v>-27.119</v>
      </c>
      <c r="AE13" s="217" t="s">
        <v>107</v>
      </c>
      <c r="AF13" s="216">
        <f t="shared" si="9"/>
        <v>238.33666666666667</v>
      </c>
      <c r="AG13" s="220">
        <v>0</v>
      </c>
    </row>
    <row r="14" spans="1:33">
      <c r="A14" s="145" t="s">
        <v>124</v>
      </c>
      <c r="B14" s="240" t="s">
        <v>241</v>
      </c>
      <c r="C14" s="151">
        <v>-104</v>
      </c>
      <c r="D14" s="151">
        <v>-53</v>
      </c>
      <c r="E14" s="167">
        <v>-6.12</v>
      </c>
      <c r="F14" s="151">
        <v>231.697</v>
      </c>
      <c r="G14" s="225">
        <f t="shared" si="0"/>
        <v>23.859000149023665</v>
      </c>
      <c r="H14" s="210">
        <v>23.25</v>
      </c>
      <c r="I14" s="210">
        <v>0.625</v>
      </c>
      <c r="J14" s="210">
        <v>0.375</v>
      </c>
      <c r="K14" s="210">
        <v>18</v>
      </c>
      <c r="L14" s="210">
        <f t="shared" si="7"/>
        <v>18</v>
      </c>
      <c r="M14" s="231">
        <v>27.56</v>
      </c>
      <c r="N14" s="236">
        <f t="shared" si="8"/>
        <v>13.504399999999999</v>
      </c>
      <c r="O14" s="213">
        <v>1426.29</v>
      </c>
      <c r="P14" s="213">
        <v>158.47999999999999</v>
      </c>
      <c r="Q14" s="213">
        <v>7.19</v>
      </c>
      <c r="R14" s="213">
        <v>1915.46</v>
      </c>
      <c r="S14" s="213">
        <v>162.1</v>
      </c>
      <c r="T14" s="232">
        <v>8.34</v>
      </c>
      <c r="U14" s="210">
        <f>28*2</f>
        <v>56</v>
      </c>
      <c r="V14" s="244">
        <v>1.5</v>
      </c>
      <c r="W14" s="214" t="s">
        <v>106</v>
      </c>
      <c r="X14" s="215">
        <f t="shared" si="1"/>
        <v>216.66966666666667</v>
      </c>
      <c r="Y14" s="210">
        <f t="shared" si="2"/>
        <v>0</v>
      </c>
      <c r="Z14" s="214" t="s">
        <v>42</v>
      </c>
      <c r="AA14" s="215">
        <f t="shared" si="3"/>
        <v>216.66699999999997</v>
      </c>
      <c r="AB14" s="210">
        <f t="shared" si="4"/>
        <v>-23.859000000000002</v>
      </c>
      <c r="AC14" s="215">
        <f t="shared" si="5"/>
        <v>-2.6666666666983474E-3</v>
      </c>
      <c r="AD14" s="210">
        <f t="shared" si="6"/>
        <v>-23.859000000000002</v>
      </c>
      <c r="AE14" s="217" t="s">
        <v>108</v>
      </c>
      <c r="AF14" s="222">
        <f t="shared" si="9"/>
        <v>260.00366666666667</v>
      </c>
      <c r="AG14" s="221">
        <v>0</v>
      </c>
    </row>
    <row r="15" spans="1:33">
      <c r="A15" s="145" t="s">
        <v>124</v>
      </c>
      <c r="B15" s="240" t="s">
        <v>242</v>
      </c>
      <c r="C15" s="151">
        <v>-103</v>
      </c>
      <c r="D15" s="151">
        <v>-54</v>
      </c>
      <c r="E15" s="167">
        <v>-6.1020000000000003</v>
      </c>
      <c r="F15" s="151">
        <v>224.489</v>
      </c>
      <c r="G15" s="225">
        <f t="shared" si="0"/>
        <v>19.135000104520515</v>
      </c>
      <c r="H15" s="210">
        <v>23.25</v>
      </c>
      <c r="I15" s="210">
        <v>0.625</v>
      </c>
      <c r="J15" s="210">
        <v>0.375</v>
      </c>
      <c r="K15" s="210">
        <v>18</v>
      </c>
      <c r="L15" s="210">
        <f t="shared" si="7"/>
        <v>18</v>
      </c>
      <c r="M15" s="231">
        <v>27.56</v>
      </c>
      <c r="N15" s="236">
        <f t="shared" si="8"/>
        <v>13.504399999999999</v>
      </c>
      <c r="O15" s="213">
        <v>1426.29</v>
      </c>
      <c r="P15" s="213">
        <v>158.47999999999999</v>
      </c>
      <c r="Q15" s="213">
        <v>7.19</v>
      </c>
      <c r="R15" s="213">
        <v>1915.46</v>
      </c>
      <c r="S15" s="213">
        <v>162.1</v>
      </c>
      <c r="T15" s="232">
        <v>8.34</v>
      </c>
      <c r="U15" s="210">
        <f>28*2</f>
        <v>56</v>
      </c>
      <c r="V15" s="210">
        <f>2+1/8</f>
        <v>2.125</v>
      </c>
      <c r="W15" s="214" t="s">
        <v>27</v>
      </c>
      <c r="X15" s="215">
        <f t="shared" si="1"/>
        <v>173.33566666666667</v>
      </c>
      <c r="Y15" s="210">
        <f t="shared" si="2"/>
        <v>0</v>
      </c>
      <c r="Z15" s="214" t="s">
        <v>18</v>
      </c>
      <c r="AA15" s="215">
        <f t="shared" si="3"/>
        <v>173.33366666666666</v>
      </c>
      <c r="AB15" s="210">
        <f t="shared" si="4"/>
        <v>-19.135000000000002</v>
      </c>
      <c r="AC15" s="215">
        <f t="shared" si="5"/>
        <v>-2.0000000000095497E-3</v>
      </c>
      <c r="AD15" s="210">
        <f t="shared" si="6"/>
        <v>-19.135000000000002</v>
      </c>
      <c r="AE15" s="217" t="s">
        <v>19</v>
      </c>
      <c r="AF15" s="216">
        <v>0</v>
      </c>
      <c r="AG15" s="216">
        <v>-17.797000000000001</v>
      </c>
    </row>
    <row r="16" spans="1:33">
      <c r="A16" s="145" t="s">
        <v>124</v>
      </c>
      <c r="B16" s="240" t="s">
        <v>243</v>
      </c>
      <c r="C16" s="151">
        <v>-61</v>
      </c>
      <c r="D16" s="151">
        <v>-46</v>
      </c>
      <c r="E16" s="167">
        <v>-6.6349999999999998</v>
      </c>
      <c r="F16" s="151">
        <v>131.56299999999999</v>
      </c>
      <c r="G16" s="225">
        <f t="shared" si="0"/>
        <v>17.797000000000001</v>
      </c>
      <c r="H16" s="210">
        <v>23.25</v>
      </c>
      <c r="I16" s="210">
        <v>0.625</v>
      </c>
      <c r="J16" s="210">
        <v>0.375</v>
      </c>
      <c r="K16" s="210">
        <v>18</v>
      </c>
      <c r="L16" s="210">
        <f t="shared" si="7"/>
        <v>18</v>
      </c>
      <c r="M16" s="231">
        <v>27.56</v>
      </c>
      <c r="N16" s="236">
        <f t="shared" si="8"/>
        <v>13.504399999999999</v>
      </c>
      <c r="O16" s="213">
        <v>1426.29</v>
      </c>
      <c r="P16" s="213">
        <v>158.47999999999999</v>
      </c>
      <c r="Q16" s="213">
        <v>7.19</v>
      </c>
      <c r="R16" s="213">
        <v>1915.46</v>
      </c>
      <c r="S16" s="213">
        <v>162.1</v>
      </c>
      <c r="T16" s="232">
        <v>8.34</v>
      </c>
      <c r="U16" s="210">
        <f>24*2</f>
        <v>48</v>
      </c>
      <c r="V16" s="210">
        <v>1.75</v>
      </c>
      <c r="W16" s="214" t="s">
        <v>104</v>
      </c>
      <c r="X16" s="215">
        <f t="shared" si="1"/>
        <v>0</v>
      </c>
      <c r="Y16" s="210">
        <f t="shared" si="2"/>
        <v>0</v>
      </c>
      <c r="Z16" s="214" t="s">
        <v>19</v>
      </c>
      <c r="AA16" s="215">
        <f t="shared" si="3"/>
        <v>0</v>
      </c>
      <c r="AB16" s="210">
        <f t="shared" si="4"/>
        <v>-17.797000000000001</v>
      </c>
      <c r="AC16" s="215">
        <f t="shared" si="5"/>
        <v>0</v>
      </c>
      <c r="AD16" s="210">
        <f t="shared" si="6"/>
        <v>-17.797000000000001</v>
      </c>
      <c r="AE16" s="217" t="s">
        <v>10</v>
      </c>
      <c r="AF16" s="223">
        <v>21.666666666666668</v>
      </c>
      <c r="AG16" s="223">
        <v>-16.655999999999999</v>
      </c>
    </row>
    <row r="17" spans="1:33">
      <c r="A17" s="145" t="s">
        <v>124</v>
      </c>
      <c r="B17" s="240" t="s">
        <v>244</v>
      </c>
      <c r="C17" s="151">
        <v>-9</v>
      </c>
      <c r="D17" s="151">
        <v>-1E-3</v>
      </c>
      <c r="E17" s="167">
        <v>0</v>
      </c>
      <c r="F17" s="151">
        <v>-15.755000000000001</v>
      </c>
      <c r="G17" s="225">
        <f t="shared" si="0"/>
        <v>17.656000078663848</v>
      </c>
      <c r="H17" s="210">
        <v>23.25</v>
      </c>
      <c r="I17" s="210">
        <v>0.625</v>
      </c>
      <c r="J17" s="210">
        <v>0.375</v>
      </c>
      <c r="K17" s="210">
        <v>18</v>
      </c>
      <c r="L17" s="210">
        <f t="shared" si="7"/>
        <v>18</v>
      </c>
      <c r="M17" s="231">
        <v>27.56</v>
      </c>
      <c r="N17" s="236">
        <f t="shared" si="8"/>
        <v>13.504399999999999</v>
      </c>
      <c r="O17" s="213">
        <v>1426.29</v>
      </c>
      <c r="P17" s="213">
        <v>158.47999999999999</v>
      </c>
      <c r="Q17" s="213">
        <v>7.19</v>
      </c>
      <c r="R17" s="213">
        <v>1915.46</v>
      </c>
      <c r="S17" s="213">
        <v>162.1</v>
      </c>
      <c r="T17" s="232">
        <v>8.34</v>
      </c>
      <c r="U17" s="210">
        <f>32*2</f>
        <v>64</v>
      </c>
      <c r="V17" s="210">
        <v>1.5</v>
      </c>
      <c r="W17" s="214" t="s">
        <v>26</v>
      </c>
      <c r="X17" s="215">
        <f t="shared" si="1"/>
        <v>151.66866666666667</v>
      </c>
      <c r="Y17" s="210">
        <f t="shared" si="2"/>
        <v>0</v>
      </c>
      <c r="Z17" s="214" t="s">
        <v>17</v>
      </c>
      <c r="AA17" s="215">
        <f t="shared" si="3"/>
        <v>151.667</v>
      </c>
      <c r="AB17" s="210">
        <f t="shared" si="4"/>
        <v>-17.655999999999999</v>
      </c>
      <c r="AC17" s="215">
        <f t="shared" si="5"/>
        <v>-1.6666666666651508E-3</v>
      </c>
      <c r="AD17" s="210">
        <f t="shared" si="6"/>
        <v>-17.655999999999999</v>
      </c>
      <c r="AE17" s="217" t="s">
        <v>12</v>
      </c>
      <c r="AF17" s="216">
        <v>43.333666666666673</v>
      </c>
      <c r="AG17" s="216">
        <v>-15.51</v>
      </c>
    </row>
    <row r="18" spans="1:33">
      <c r="A18" s="145" t="s">
        <v>124</v>
      </c>
      <c r="B18" s="240" t="s">
        <v>245</v>
      </c>
      <c r="C18" s="151">
        <v>-106</v>
      </c>
      <c r="D18" s="151">
        <v>-54</v>
      </c>
      <c r="E18" s="167">
        <v>-5.758</v>
      </c>
      <c r="F18" s="151">
        <v>211.75800000000001</v>
      </c>
      <c r="G18" s="225">
        <f t="shared" si="0"/>
        <v>16.133000055097558</v>
      </c>
      <c r="H18" s="210">
        <v>23.25</v>
      </c>
      <c r="I18" s="210">
        <v>0.625</v>
      </c>
      <c r="J18" s="210">
        <v>0.375</v>
      </c>
      <c r="K18" s="210">
        <v>18</v>
      </c>
      <c r="L18" s="210">
        <f t="shared" si="7"/>
        <v>18</v>
      </c>
      <c r="M18" s="231">
        <v>27.56</v>
      </c>
      <c r="N18" s="236">
        <f t="shared" si="8"/>
        <v>13.504399999999999</v>
      </c>
      <c r="O18" s="213">
        <v>1426.29</v>
      </c>
      <c r="P18" s="213">
        <v>158.47999999999999</v>
      </c>
      <c r="Q18" s="213">
        <v>7.19</v>
      </c>
      <c r="R18" s="213">
        <v>1915.46</v>
      </c>
      <c r="S18" s="213">
        <v>162.1</v>
      </c>
      <c r="T18" s="232">
        <v>8.34</v>
      </c>
      <c r="U18" s="210">
        <f>28*2</f>
        <v>56</v>
      </c>
      <c r="V18" s="210">
        <v>2.5</v>
      </c>
      <c r="W18" s="214" t="s">
        <v>25</v>
      </c>
      <c r="X18" s="215">
        <f t="shared" si="1"/>
        <v>130.00166666666667</v>
      </c>
      <c r="Y18" s="210">
        <f t="shared" si="2"/>
        <v>0</v>
      </c>
      <c r="Z18" s="214" t="s">
        <v>16</v>
      </c>
      <c r="AA18" s="215">
        <f t="shared" si="3"/>
        <v>130.00033333333334</v>
      </c>
      <c r="AB18" s="210">
        <f t="shared" si="4"/>
        <v>-16.132999999999999</v>
      </c>
      <c r="AC18" s="215">
        <f t="shared" si="5"/>
        <v>-1.333333333320752E-3</v>
      </c>
      <c r="AD18" s="210">
        <f t="shared" si="6"/>
        <v>-16.132999999999999</v>
      </c>
      <c r="AE18" s="217" t="s">
        <v>13</v>
      </c>
      <c r="AF18" s="223">
        <f>AF17+$AF$16</f>
        <v>65.000333333333344</v>
      </c>
      <c r="AG18" s="223">
        <v>-15.239000000000001</v>
      </c>
    </row>
    <row r="19" spans="1:33">
      <c r="A19" s="145" t="s">
        <v>124</v>
      </c>
      <c r="B19" s="240" t="s">
        <v>246</v>
      </c>
      <c r="C19" s="151">
        <v>-109</v>
      </c>
      <c r="D19" s="151">
        <v>-54</v>
      </c>
      <c r="E19" s="167">
        <v>-6.0229999999999997</v>
      </c>
      <c r="F19" s="151">
        <v>222.81200000000001</v>
      </c>
      <c r="G19" s="225">
        <f t="shared" si="0"/>
        <v>15.51</v>
      </c>
      <c r="H19" s="210">
        <v>23.25</v>
      </c>
      <c r="I19" s="210">
        <v>0.625</v>
      </c>
      <c r="J19" s="210">
        <v>0.375</v>
      </c>
      <c r="K19" s="210">
        <v>18</v>
      </c>
      <c r="L19" s="210">
        <f t="shared" si="7"/>
        <v>18</v>
      </c>
      <c r="M19" s="231">
        <v>27.56</v>
      </c>
      <c r="N19" s="236">
        <f t="shared" si="8"/>
        <v>13.504399999999999</v>
      </c>
      <c r="O19" s="213">
        <v>1426.29</v>
      </c>
      <c r="P19" s="213">
        <v>158.47999999999999</v>
      </c>
      <c r="Q19" s="213">
        <v>7.19</v>
      </c>
      <c r="R19" s="213">
        <v>1915.46</v>
      </c>
      <c r="S19" s="213">
        <v>162.1</v>
      </c>
      <c r="T19" s="232">
        <v>8.34</v>
      </c>
      <c r="U19" s="210">
        <f>28*2</f>
        <v>56</v>
      </c>
      <c r="V19" s="210">
        <f>2+5/16</f>
        <v>2.3125</v>
      </c>
      <c r="W19" s="214" t="s">
        <v>21</v>
      </c>
      <c r="X19" s="215">
        <f t="shared" si="1"/>
        <v>43.333666666666673</v>
      </c>
      <c r="Y19" s="210">
        <f t="shared" si="2"/>
        <v>0</v>
      </c>
      <c r="Z19" s="214" t="s">
        <v>12</v>
      </c>
      <c r="AA19" s="215">
        <f t="shared" si="3"/>
        <v>43.333666666666673</v>
      </c>
      <c r="AB19" s="210">
        <f t="shared" si="4"/>
        <v>-15.51</v>
      </c>
      <c r="AC19" s="215">
        <f t="shared" si="5"/>
        <v>0</v>
      </c>
      <c r="AD19" s="210">
        <f t="shared" si="6"/>
        <v>-15.51</v>
      </c>
      <c r="AE19" s="217" t="s">
        <v>14</v>
      </c>
      <c r="AF19" s="216">
        <f t="shared" ref="AF19:AF27" si="10">AF18+$AF$16</f>
        <v>86.667000000000016</v>
      </c>
      <c r="AG19" s="216">
        <v>-14.968999999999999</v>
      </c>
    </row>
    <row r="20" spans="1:33">
      <c r="A20" s="145" t="s">
        <v>124</v>
      </c>
      <c r="B20" s="240" t="s">
        <v>247</v>
      </c>
      <c r="C20" s="151">
        <v>-96</v>
      </c>
      <c r="D20" s="151">
        <v>-49</v>
      </c>
      <c r="E20" s="167">
        <v>-5.5359999999999996</v>
      </c>
      <c r="F20" s="151">
        <v>204.1</v>
      </c>
      <c r="G20" s="225">
        <f t="shared" si="0"/>
        <v>14.969000014845495</v>
      </c>
      <c r="H20" s="210">
        <v>23.25</v>
      </c>
      <c r="I20" s="210">
        <v>0.625</v>
      </c>
      <c r="J20" s="210">
        <v>0.375</v>
      </c>
      <c r="K20" s="210">
        <v>18</v>
      </c>
      <c r="L20" s="210">
        <f t="shared" si="7"/>
        <v>18</v>
      </c>
      <c r="M20" s="231">
        <v>27.56</v>
      </c>
      <c r="N20" s="236">
        <f t="shared" si="8"/>
        <v>13.504399999999999</v>
      </c>
      <c r="O20" s="213">
        <v>1426.29</v>
      </c>
      <c r="P20" s="213">
        <v>158.47999999999999</v>
      </c>
      <c r="Q20" s="213">
        <v>7.19</v>
      </c>
      <c r="R20" s="213">
        <v>1915.46</v>
      </c>
      <c r="S20" s="213">
        <v>162.1</v>
      </c>
      <c r="T20" s="232">
        <v>8.34</v>
      </c>
      <c r="U20" s="210">
        <f>28*2</f>
        <v>56</v>
      </c>
      <c r="V20" s="210">
        <f>1+9/16</f>
        <v>1.5625</v>
      </c>
      <c r="W20" s="214" t="s">
        <v>23</v>
      </c>
      <c r="X20" s="215">
        <f t="shared" si="1"/>
        <v>86.667666666666676</v>
      </c>
      <c r="Y20" s="210">
        <f t="shared" si="2"/>
        <v>0</v>
      </c>
      <c r="Z20" s="214" t="s">
        <v>14</v>
      </c>
      <c r="AA20" s="215">
        <f t="shared" si="3"/>
        <v>86.667000000000016</v>
      </c>
      <c r="AB20" s="210">
        <f t="shared" si="4"/>
        <v>-14.968999999999999</v>
      </c>
      <c r="AC20" s="215">
        <f t="shared" si="5"/>
        <v>-6.6666666666037599E-4</v>
      </c>
      <c r="AD20" s="210">
        <f t="shared" si="6"/>
        <v>-14.968999999999999</v>
      </c>
      <c r="AE20" s="217" t="s">
        <v>15</v>
      </c>
      <c r="AF20" s="223">
        <f t="shared" si="10"/>
        <v>108.33366666666669</v>
      </c>
      <c r="AG20" s="223">
        <v>-15.573</v>
      </c>
    </row>
    <row r="21" spans="1:33">
      <c r="A21" s="145" t="s">
        <v>125</v>
      </c>
      <c r="B21" s="240" t="s">
        <v>248</v>
      </c>
      <c r="C21" s="151">
        <v>-12</v>
      </c>
      <c r="D21" s="151">
        <v>0</v>
      </c>
      <c r="E21" s="167">
        <v>-1.7000000000000001E-2</v>
      </c>
      <c r="F21" s="151">
        <v>-15.573</v>
      </c>
      <c r="G21" s="225">
        <f t="shared" si="0"/>
        <v>21.500000126614989</v>
      </c>
      <c r="H21" s="210">
        <v>23.25</v>
      </c>
      <c r="I21" s="210">
        <v>0.375</v>
      </c>
      <c r="J21" s="210">
        <v>0.375</v>
      </c>
      <c r="K21" s="210">
        <v>18</v>
      </c>
      <c r="L21" s="210">
        <f t="shared" si="7"/>
        <v>18</v>
      </c>
      <c r="M21" s="231">
        <v>21.94</v>
      </c>
      <c r="N21" s="236">
        <f t="shared" si="8"/>
        <v>10.7506</v>
      </c>
      <c r="O21" s="213">
        <v>1019.86</v>
      </c>
      <c r="P21" s="213">
        <v>113.32</v>
      </c>
      <c r="Q21" s="213">
        <v>6.82</v>
      </c>
      <c r="R21" s="213">
        <v>1855.9</v>
      </c>
      <c r="S21" s="213">
        <v>157.69</v>
      </c>
      <c r="T21" s="232">
        <v>9.1999999999999993</v>
      </c>
      <c r="U21" s="210">
        <v>28</v>
      </c>
      <c r="V21" s="210">
        <v>1.5</v>
      </c>
      <c r="W21" s="214" t="s">
        <v>105</v>
      </c>
      <c r="X21" s="215">
        <f t="shared" si="1"/>
        <v>195.00266666666667</v>
      </c>
      <c r="Y21" s="210">
        <f t="shared" si="2"/>
        <v>0</v>
      </c>
      <c r="Z21" s="214" t="s">
        <v>41</v>
      </c>
      <c r="AA21" s="215">
        <f t="shared" si="3"/>
        <v>195.00033333333332</v>
      </c>
      <c r="AB21" s="210">
        <f t="shared" si="4"/>
        <v>-21.5</v>
      </c>
      <c r="AC21" s="215">
        <f t="shared" si="5"/>
        <v>-2.3333333333539485E-3</v>
      </c>
      <c r="AD21" s="210">
        <f t="shared" si="6"/>
        <v>-21.5</v>
      </c>
      <c r="AE21" s="217" t="s">
        <v>16</v>
      </c>
      <c r="AF21" s="216">
        <f t="shared" si="10"/>
        <v>130.00033333333334</v>
      </c>
      <c r="AG21" s="216">
        <v>-16.132999999999999</v>
      </c>
    </row>
    <row r="22" spans="1:33">
      <c r="A22" s="145" t="s">
        <v>125</v>
      </c>
      <c r="B22" s="240" t="s">
        <v>249</v>
      </c>
      <c r="C22" s="151">
        <v>-8</v>
      </c>
      <c r="D22" s="151">
        <v>0</v>
      </c>
      <c r="E22" s="167">
        <v>0</v>
      </c>
      <c r="F22" s="151">
        <v>-11.92</v>
      </c>
      <c r="G22" s="225">
        <f t="shared" si="0"/>
        <v>16.655999999999999</v>
      </c>
      <c r="H22" s="210">
        <v>23.25</v>
      </c>
      <c r="I22" s="210">
        <v>0.375</v>
      </c>
      <c r="J22" s="210">
        <v>0.375</v>
      </c>
      <c r="K22" s="210">
        <v>18</v>
      </c>
      <c r="L22" s="210">
        <f t="shared" si="7"/>
        <v>18</v>
      </c>
      <c r="M22" s="231">
        <v>21.94</v>
      </c>
      <c r="N22" s="236">
        <f t="shared" si="8"/>
        <v>10.7506</v>
      </c>
      <c r="O22" s="213">
        <v>1019.86</v>
      </c>
      <c r="P22" s="213">
        <v>113.32</v>
      </c>
      <c r="Q22" s="213">
        <v>6.82</v>
      </c>
      <c r="R22" s="213">
        <v>1855.9</v>
      </c>
      <c r="S22" s="213">
        <v>157.69</v>
      </c>
      <c r="T22" s="232">
        <v>9.1999999999999993</v>
      </c>
      <c r="U22" s="210">
        <f>24*2</f>
        <v>48</v>
      </c>
      <c r="V22" s="210">
        <f>1+9/16</f>
        <v>1.5625</v>
      </c>
      <c r="W22" s="214" t="s">
        <v>20</v>
      </c>
      <c r="X22" s="215">
        <f t="shared" si="1"/>
        <v>21.666666666666668</v>
      </c>
      <c r="Y22" s="210">
        <f t="shared" si="2"/>
        <v>0</v>
      </c>
      <c r="Z22" s="214" t="s">
        <v>10</v>
      </c>
      <c r="AA22" s="215">
        <f t="shared" si="3"/>
        <v>21.666666666666668</v>
      </c>
      <c r="AB22" s="210">
        <f t="shared" si="4"/>
        <v>-16.655999999999999</v>
      </c>
      <c r="AC22" s="215">
        <f t="shared" si="5"/>
        <v>0</v>
      </c>
      <c r="AD22" s="210">
        <f t="shared" si="6"/>
        <v>-16.655999999999999</v>
      </c>
      <c r="AE22" s="217" t="s">
        <v>17</v>
      </c>
      <c r="AF22" s="223">
        <f t="shared" si="10"/>
        <v>151.667</v>
      </c>
      <c r="AG22" s="223">
        <v>-17.655999999999999</v>
      </c>
    </row>
    <row r="23" spans="1:33">
      <c r="A23" s="145" t="s">
        <v>125</v>
      </c>
      <c r="B23" s="240" t="s">
        <v>250</v>
      </c>
      <c r="C23" s="151">
        <v>-12</v>
      </c>
      <c r="D23" s="151">
        <v>-3.6999999999999998E-2</v>
      </c>
      <c r="E23" s="167">
        <v>3.0000000000000001E-3</v>
      </c>
      <c r="F23" s="151">
        <v>-16.725000000000001</v>
      </c>
      <c r="G23" s="225">
        <f t="shared" si="0"/>
        <v>15.573000032106853</v>
      </c>
      <c r="H23" s="210">
        <v>23.25</v>
      </c>
      <c r="I23" s="210">
        <v>0.375</v>
      </c>
      <c r="J23" s="210">
        <v>0.375</v>
      </c>
      <c r="K23" s="210">
        <v>18</v>
      </c>
      <c r="L23" s="210">
        <f t="shared" si="7"/>
        <v>18</v>
      </c>
      <c r="M23" s="231">
        <v>21.94</v>
      </c>
      <c r="N23" s="236">
        <f t="shared" si="8"/>
        <v>10.7506</v>
      </c>
      <c r="O23" s="213">
        <v>1019.86</v>
      </c>
      <c r="P23" s="213">
        <v>113.32</v>
      </c>
      <c r="Q23" s="213">
        <v>6.82</v>
      </c>
      <c r="R23" s="213">
        <v>1855.9</v>
      </c>
      <c r="S23" s="213">
        <v>157.69</v>
      </c>
      <c r="T23" s="232">
        <v>9.1999999999999993</v>
      </c>
      <c r="U23" s="210">
        <f>20*2</f>
        <v>40</v>
      </c>
      <c r="V23" s="210">
        <v>1.5</v>
      </c>
      <c r="W23" s="214" t="s">
        <v>24</v>
      </c>
      <c r="X23" s="215">
        <f t="shared" si="1"/>
        <v>108.33466666666668</v>
      </c>
      <c r="Y23" s="210">
        <f t="shared" si="2"/>
        <v>0</v>
      </c>
      <c r="Z23" s="214" t="s">
        <v>15</v>
      </c>
      <c r="AA23" s="215">
        <f t="shared" si="3"/>
        <v>108.33366666666669</v>
      </c>
      <c r="AB23" s="210">
        <f t="shared" si="4"/>
        <v>-15.573</v>
      </c>
      <c r="AC23" s="215">
        <f t="shared" si="5"/>
        <v>-9.9999999999056399E-4</v>
      </c>
      <c r="AD23" s="210">
        <f t="shared" si="6"/>
        <v>-15.573</v>
      </c>
      <c r="AE23" s="217" t="s">
        <v>18</v>
      </c>
      <c r="AF23" s="216">
        <f t="shared" si="10"/>
        <v>173.33366666666666</v>
      </c>
      <c r="AG23" s="216">
        <v>-19.135000000000002</v>
      </c>
    </row>
    <row r="24" spans="1:33">
      <c r="A24" s="145" t="s">
        <v>125</v>
      </c>
      <c r="B24" s="240" t="s">
        <v>251</v>
      </c>
      <c r="C24" s="151">
        <v>-13</v>
      </c>
      <c r="D24" s="151">
        <v>0</v>
      </c>
      <c r="E24" s="167">
        <v>0</v>
      </c>
      <c r="F24" s="151">
        <v>-16.547999999999998</v>
      </c>
      <c r="G24" s="225">
        <f t="shared" si="0"/>
        <v>15.239000003645618</v>
      </c>
      <c r="H24" s="210">
        <v>23.25</v>
      </c>
      <c r="I24" s="210">
        <v>0.375</v>
      </c>
      <c r="J24" s="210">
        <v>0.375</v>
      </c>
      <c r="K24" s="210">
        <v>18</v>
      </c>
      <c r="L24" s="210">
        <f t="shared" si="7"/>
        <v>18</v>
      </c>
      <c r="M24" s="231">
        <v>21.94</v>
      </c>
      <c r="N24" s="236">
        <f t="shared" si="8"/>
        <v>10.7506</v>
      </c>
      <c r="O24" s="213">
        <v>1019.86</v>
      </c>
      <c r="P24" s="213">
        <v>113.32</v>
      </c>
      <c r="Q24" s="213">
        <v>6.82</v>
      </c>
      <c r="R24" s="213">
        <v>1855.9</v>
      </c>
      <c r="S24" s="213">
        <v>157.69</v>
      </c>
      <c r="T24" s="232">
        <v>9.1999999999999993</v>
      </c>
      <c r="U24" s="210">
        <f>20*2</f>
        <v>40</v>
      </c>
      <c r="V24" s="210">
        <f>1+7/16</f>
        <v>1.4375</v>
      </c>
      <c r="W24" s="214" t="s">
        <v>22</v>
      </c>
      <c r="X24" s="215">
        <f t="shared" si="1"/>
        <v>65.000666666666675</v>
      </c>
      <c r="Y24" s="210">
        <f t="shared" si="2"/>
        <v>0</v>
      </c>
      <c r="Z24" s="214" t="s">
        <v>13</v>
      </c>
      <c r="AA24" s="215">
        <f t="shared" si="3"/>
        <v>65.000333333333344</v>
      </c>
      <c r="AB24" s="210">
        <f t="shared" si="4"/>
        <v>-15.239000000000001</v>
      </c>
      <c r="AC24" s="215">
        <f t="shared" si="5"/>
        <v>-3.33333333330188E-4</v>
      </c>
      <c r="AD24" s="210">
        <f t="shared" si="6"/>
        <v>-15.239000000000001</v>
      </c>
      <c r="AE24" s="217" t="s">
        <v>41</v>
      </c>
      <c r="AF24" s="223">
        <f t="shared" si="10"/>
        <v>195.00033333333332</v>
      </c>
      <c r="AG24" s="223">
        <v>-21.5</v>
      </c>
    </row>
    <row r="25" spans="1:33">
      <c r="A25" s="146" t="s">
        <v>111</v>
      </c>
      <c r="B25" s="196" t="s">
        <v>252</v>
      </c>
      <c r="C25" s="165">
        <v>1250</v>
      </c>
      <c r="D25" s="165">
        <v>514</v>
      </c>
      <c r="E25" s="165">
        <v>61.743000000000002</v>
      </c>
      <c r="F25" s="165">
        <v>-2511.2730000000001</v>
      </c>
      <c r="G25" s="225">
        <f t="shared" si="0"/>
        <v>21.675083862454713</v>
      </c>
      <c r="H25" s="210">
        <v>21.5</v>
      </c>
      <c r="I25" s="210">
        <v>1</v>
      </c>
      <c r="J25" s="210">
        <v>1.125</v>
      </c>
      <c r="K25" s="210">
        <v>30</v>
      </c>
      <c r="L25" s="210">
        <f t="shared" si="7"/>
        <v>30</v>
      </c>
      <c r="M25" s="231">
        <v>94</v>
      </c>
      <c r="N25" s="236">
        <f t="shared" si="8"/>
        <v>46.06</v>
      </c>
      <c r="O25" s="213">
        <v>9621.33</v>
      </c>
      <c r="P25" s="213">
        <v>641.41999999999996</v>
      </c>
      <c r="Q25" s="213">
        <v>10.119999999999999</v>
      </c>
      <c r="R25" s="213">
        <v>7865</v>
      </c>
      <c r="S25" s="213">
        <v>714.83</v>
      </c>
      <c r="T25" s="232">
        <v>9.15</v>
      </c>
      <c r="U25" s="210">
        <v>107</v>
      </c>
      <c r="V25" s="210">
        <v>1.5</v>
      </c>
      <c r="W25" s="214" t="s">
        <v>14</v>
      </c>
      <c r="X25" s="215">
        <f t="shared" si="1"/>
        <v>86.667000000000016</v>
      </c>
      <c r="Y25" s="210">
        <f t="shared" si="2"/>
        <v>-14.968999999999999</v>
      </c>
      <c r="Z25" s="214" t="s">
        <v>15</v>
      </c>
      <c r="AA25" s="215">
        <f t="shared" si="3"/>
        <v>108.33366666666669</v>
      </c>
      <c r="AB25" s="210">
        <f t="shared" si="4"/>
        <v>-15.573</v>
      </c>
      <c r="AC25" s="215">
        <f t="shared" si="5"/>
        <v>21.666666666666671</v>
      </c>
      <c r="AD25" s="210">
        <f t="shared" si="6"/>
        <v>-0.60400000000000098</v>
      </c>
      <c r="AE25" s="217" t="s">
        <v>42</v>
      </c>
      <c r="AF25" s="216">
        <f t="shared" si="10"/>
        <v>216.66699999999997</v>
      </c>
      <c r="AG25" s="216">
        <v>-23.859000000000002</v>
      </c>
    </row>
    <row r="26" spans="1:33">
      <c r="A26" s="144" t="s">
        <v>111</v>
      </c>
      <c r="B26" s="241" t="s">
        <v>253</v>
      </c>
      <c r="C26" s="163">
        <v>1250</v>
      </c>
      <c r="D26" s="163">
        <v>514</v>
      </c>
      <c r="E26" s="163">
        <v>61.743000000000002</v>
      </c>
      <c r="F26" s="163">
        <v>-2511.2739999999999</v>
      </c>
      <c r="G26" s="225">
        <f t="shared" si="0"/>
        <v>21.673902381538127</v>
      </c>
      <c r="H26" s="210">
        <v>21.5</v>
      </c>
      <c r="I26" s="210">
        <v>1</v>
      </c>
      <c r="J26" s="210">
        <v>1.125</v>
      </c>
      <c r="K26" s="210">
        <v>30</v>
      </c>
      <c r="L26" s="210">
        <f t="shared" si="7"/>
        <v>30</v>
      </c>
      <c r="M26" s="231">
        <v>94</v>
      </c>
      <c r="N26" s="236">
        <f t="shared" si="8"/>
        <v>46.06</v>
      </c>
      <c r="O26" s="213">
        <v>9621.33</v>
      </c>
      <c r="P26" s="213">
        <v>641.41999999999996</v>
      </c>
      <c r="Q26" s="213">
        <v>10.119999999999999</v>
      </c>
      <c r="R26" s="213">
        <v>7865</v>
      </c>
      <c r="S26" s="213">
        <v>714.83</v>
      </c>
      <c r="T26" s="232">
        <v>9.15</v>
      </c>
      <c r="U26" s="210">
        <v>113</v>
      </c>
      <c r="V26" s="210">
        <f>1+5/8</f>
        <v>1.625</v>
      </c>
      <c r="W26" s="214" t="s">
        <v>15</v>
      </c>
      <c r="X26" s="215">
        <f t="shared" si="1"/>
        <v>108.33366666666669</v>
      </c>
      <c r="Y26" s="210">
        <f t="shared" si="2"/>
        <v>-15.573</v>
      </c>
      <c r="Z26" s="214" t="s">
        <v>16</v>
      </c>
      <c r="AA26" s="215">
        <f t="shared" si="3"/>
        <v>130.00033333333334</v>
      </c>
      <c r="AB26" s="210">
        <f t="shared" si="4"/>
        <v>-16.132999999999999</v>
      </c>
      <c r="AC26" s="215">
        <f t="shared" si="5"/>
        <v>21.666666666666657</v>
      </c>
      <c r="AD26" s="210">
        <f t="shared" si="6"/>
        <v>-0.55999999999999872</v>
      </c>
      <c r="AE26" s="217" t="s">
        <v>43</v>
      </c>
      <c r="AF26" s="223">
        <f t="shared" si="10"/>
        <v>238.33366666666663</v>
      </c>
      <c r="AG26" s="223">
        <v>-27.119</v>
      </c>
    </row>
    <row r="27" spans="1:33">
      <c r="A27" s="145" t="s">
        <v>111</v>
      </c>
      <c r="B27" s="242" t="s">
        <v>254</v>
      </c>
      <c r="C27" s="164">
        <v>1316</v>
      </c>
      <c r="D27" s="164">
        <v>448</v>
      </c>
      <c r="E27" s="164">
        <v>65.38</v>
      </c>
      <c r="F27" s="164">
        <v>-2654.6309999999999</v>
      </c>
      <c r="G27" s="225">
        <f t="shared" si="0"/>
        <v>21.668361392695218</v>
      </c>
      <c r="H27" s="210">
        <v>21.5</v>
      </c>
      <c r="I27" s="210">
        <v>1</v>
      </c>
      <c r="J27" s="210">
        <v>1.125</v>
      </c>
      <c r="K27" s="210">
        <v>30</v>
      </c>
      <c r="L27" s="210">
        <f t="shared" si="7"/>
        <v>30</v>
      </c>
      <c r="M27" s="231">
        <v>94</v>
      </c>
      <c r="N27" s="236">
        <f t="shared" si="8"/>
        <v>46.06</v>
      </c>
      <c r="O27" s="213">
        <v>9621.33</v>
      </c>
      <c r="P27" s="213">
        <v>641.41999999999996</v>
      </c>
      <c r="Q27" s="213">
        <v>10.119999999999999</v>
      </c>
      <c r="R27" s="213">
        <v>7865</v>
      </c>
      <c r="S27" s="213">
        <v>714.83</v>
      </c>
      <c r="T27" s="232">
        <v>9.15</v>
      </c>
      <c r="U27" s="210">
        <v>112</v>
      </c>
      <c r="V27" s="210">
        <v>3</v>
      </c>
      <c r="W27" s="214" t="s">
        <v>12</v>
      </c>
      <c r="X27" s="215">
        <f t="shared" si="1"/>
        <v>43.333666666666673</v>
      </c>
      <c r="Y27" s="210">
        <f t="shared" si="2"/>
        <v>-15.51</v>
      </c>
      <c r="Z27" s="214" t="s">
        <v>13</v>
      </c>
      <c r="AA27" s="215">
        <f t="shared" si="3"/>
        <v>65.000333333333344</v>
      </c>
      <c r="AB27" s="210">
        <f t="shared" si="4"/>
        <v>-15.239000000000001</v>
      </c>
      <c r="AC27" s="215">
        <f t="shared" si="5"/>
        <v>21.666666666666671</v>
      </c>
      <c r="AD27" s="210">
        <f t="shared" si="6"/>
        <v>0.27099999999999902</v>
      </c>
      <c r="AE27" s="217" t="s">
        <v>44</v>
      </c>
      <c r="AF27" s="216">
        <f t="shared" si="10"/>
        <v>260.00033333333329</v>
      </c>
      <c r="AG27" s="216">
        <v>-30.37</v>
      </c>
    </row>
    <row r="28" spans="1:33">
      <c r="A28" s="145" t="s">
        <v>111</v>
      </c>
      <c r="B28" s="242" t="s">
        <v>255</v>
      </c>
      <c r="C28" s="164">
        <v>1316</v>
      </c>
      <c r="D28" s="164">
        <v>448</v>
      </c>
      <c r="E28" s="164">
        <v>65.38</v>
      </c>
      <c r="F28" s="164">
        <v>-2654.6309999999999</v>
      </c>
      <c r="G28" s="225">
        <f t="shared" si="0"/>
        <v>21.668348909052686</v>
      </c>
      <c r="H28" s="210">
        <v>21.5</v>
      </c>
      <c r="I28" s="210">
        <v>1</v>
      </c>
      <c r="J28" s="210">
        <v>1.125</v>
      </c>
      <c r="K28" s="210">
        <v>30</v>
      </c>
      <c r="L28" s="210">
        <f t="shared" si="7"/>
        <v>30</v>
      </c>
      <c r="M28" s="231">
        <v>94</v>
      </c>
      <c r="N28" s="236">
        <f t="shared" si="8"/>
        <v>46.06</v>
      </c>
      <c r="O28" s="213">
        <v>9621.33</v>
      </c>
      <c r="P28" s="213">
        <v>641.41999999999996</v>
      </c>
      <c r="Q28" s="213">
        <v>10.119999999999999</v>
      </c>
      <c r="R28" s="213">
        <v>7865</v>
      </c>
      <c r="S28" s="213">
        <v>714.83</v>
      </c>
      <c r="T28" s="232">
        <v>9.15</v>
      </c>
      <c r="U28" s="210">
        <v>107</v>
      </c>
      <c r="V28" s="210">
        <v>1.5</v>
      </c>
      <c r="W28" s="214" t="s">
        <v>13</v>
      </c>
      <c r="X28" s="215">
        <f t="shared" si="1"/>
        <v>65.000333333333344</v>
      </c>
      <c r="Y28" s="210">
        <f t="shared" si="2"/>
        <v>-15.239000000000001</v>
      </c>
      <c r="Z28" s="214" t="s">
        <v>14</v>
      </c>
      <c r="AA28" s="215">
        <f t="shared" si="3"/>
        <v>86.667000000000016</v>
      </c>
      <c r="AB28" s="210">
        <f t="shared" si="4"/>
        <v>-14.968999999999999</v>
      </c>
      <c r="AC28" s="215">
        <f t="shared" si="5"/>
        <v>21.666666666666671</v>
      </c>
      <c r="AD28" s="210">
        <f t="shared" si="6"/>
        <v>0.27000000000000135</v>
      </c>
    </row>
    <row r="29" spans="1:33">
      <c r="A29" s="145" t="s">
        <v>112</v>
      </c>
      <c r="B29" s="242" t="s">
        <v>256</v>
      </c>
      <c r="C29" s="164">
        <v>-706</v>
      </c>
      <c r="D29" s="164">
        <v>-175</v>
      </c>
      <c r="E29" s="164">
        <v>-36.875</v>
      </c>
      <c r="F29" s="164">
        <v>1495.6569999999999</v>
      </c>
      <c r="G29" s="225">
        <f t="shared" si="0"/>
        <v>21.795358896894633</v>
      </c>
      <c r="H29" s="210">
        <v>22</v>
      </c>
      <c r="I29" s="210">
        <v>0.75</v>
      </c>
      <c r="J29" s="210">
        <v>1</v>
      </c>
      <c r="K29" s="210">
        <v>30</v>
      </c>
      <c r="L29" s="210">
        <f t="shared" si="7"/>
        <v>30</v>
      </c>
      <c r="M29" s="231">
        <v>75</v>
      </c>
      <c r="N29" s="236">
        <f t="shared" si="8"/>
        <v>36.75</v>
      </c>
      <c r="O29" s="213">
        <v>7709.06</v>
      </c>
      <c r="P29" s="213">
        <v>513.94000000000005</v>
      </c>
      <c r="Q29" s="213">
        <v>10.14</v>
      </c>
      <c r="R29" s="213">
        <v>6757</v>
      </c>
      <c r="S29" s="213">
        <v>603.29999999999995</v>
      </c>
      <c r="T29" s="232">
        <v>9.49</v>
      </c>
      <c r="U29" s="210">
        <v>79</v>
      </c>
      <c r="V29" s="210">
        <v>3</v>
      </c>
      <c r="W29" s="214" t="s">
        <v>18</v>
      </c>
      <c r="X29" s="215">
        <f t="shared" si="1"/>
        <v>173.33366666666666</v>
      </c>
      <c r="Y29" s="210">
        <f t="shared" si="2"/>
        <v>-19.135000000000002</v>
      </c>
      <c r="Z29" s="214" t="s">
        <v>41</v>
      </c>
      <c r="AA29" s="215">
        <f t="shared" si="3"/>
        <v>195.00033333333332</v>
      </c>
      <c r="AB29" s="210">
        <f t="shared" si="4"/>
        <v>-21.5</v>
      </c>
      <c r="AC29" s="215">
        <f t="shared" si="5"/>
        <v>21.666666666666657</v>
      </c>
      <c r="AD29" s="210">
        <f t="shared" si="6"/>
        <v>-2.3649999999999984</v>
      </c>
    </row>
    <row r="30" spans="1:33">
      <c r="A30" s="145" t="s">
        <v>112</v>
      </c>
      <c r="B30" s="242" t="s">
        <v>257</v>
      </c>
      <c r="C30" s="164">
        <v>-706</v>
      </c>
      <c r="D30" s="164">
        <v>-175</v>
      </c>
      <c r="E30" s="164">
        <v>-36.877000000000002</v>
      </c>
      <c r="F30" s="164">
        <v>1495.7190000000001</v>
      </c>
      <c r="G30" s="225">
        <f t="shared" si="0"/>
        <v>21.794708657021413</v>
      </c>
      <c r="H30" s="210">
        <v>22</v>
      </c>
      <c r="I30" s="210">
        <v>0.75</v>
      </c>
      <c r="J30" s="210">
        <v>1</v>
      </c>
      <c r="K30" s="210">
        <v>30</v>
      </c>
      <c r="L30" s="210">
        <f t="shared" si="7"/>
        <v>30</v>
      </c>
      <c r="M30" s="231">
        <v>75</v>
      </c>
      <c r="N30" s="236">
        <f t="shared" si="8"/>
        <v>36.75</v>
      </c>
      <c r="O30" s="213">
        <v>7709.06</v>
      </c>
      <c r="P30" s="213">
        <v>513.94000000000005</v>
      </c>
      <c r="Q30" s="213">
        <v>10.14</v>
      </c>
      <c r="R30" s="213">
        <v>6757</v>
      </c>
      <c r="S30" s="213">
        <v>603.29999999999995</v>
      </c>
      <c r="T30" s="232">
        <v>9.49</v>
      </c>
      <c r="U30" s="210">
        <v>87</v>
      </c>
      <c r="V30" s="210">
        <v>3</v>
      </c>
      <c r="W30" s="214" t="s">
        <v>41</v>
      </c>
      <c r="X30" s="215">
        <f t="shared" si="1"/>
        <v>195.00033333333332</v>
      </c>
      <c r="Y30" s="210">
        <f t="shared" si="2"/>
        <v>-21.5</v>
      </c>
      <c r="Z30" s="214" t="s">
        <v>42</v>
      </c>
      <c r="AA30" s="215">
        <f t="shared" si="3"/>
        <v>216.66699999999997</v>
      </c>
      <c r="AB30" s="210">
        <f t="shared" si="4"/>
        <v>-23.859000000000002</v>
      </c>
      <c r="AC30" s="215">
        <f t="shared" si="5"/>
        <v>21.666666666666657</v>
      </c>
      <c r="AD30" s="210">
        <f t="shared" si="6"/>
        <v>-2.3590000000000018</v>
      </c>
    </row>
    <row r="31" spans="1:33">
      <c r="A31" s="145" t="s">
        <v>112</v>
      </c>
      <c r="B31" s="242" t="s">
        <v>258</v>
      </c>
      <c r="C31" s="164">
        <v>436</v>
      </c>
      <c r="D31" s="164">
        <v>377</v>
      </c>
      <c r="E31" s="164">
        <v>20.794</v>
      </c>
      <c r="F31" s="164">
        <v>-850.57799999999997</v>
      </c>
      <c r="G31" s="225">
        <f t="shared" si="0"/>
        <v>21.720128301749142</v>
      </c>
      <c r="H31" s="210">
        <v>22</v>
      </c>
      <c r="I31" s="210">
        <v>0.75</v>
      </c>
      <c r="J31" s="210">
        <v>1</v>
      </c>
      <c r="K31" s="210">
        <v>30</v>
      </c>
      <c r="L31" s="210">
        <f t="shared" si="7"/>
        <v>30</v>
      </c>
      <c r="M31" s="231">
        <v>75</v>
      </c>
      <c r="N31" s="236">
        <f t="shared" si="8"/>
        <v>36.75</v>
      </c>
      <c r="O31" s="213">
        <v>7709.06</v>
      </c>
      <c r="P31" s="213">
        <v>513.94000000000005</v>
      </c>
      <c r="Q31" s="213">
        <v>10.14</v>
      </c>
      <c r="R31" s="213">
        <v>6757</v>
      </c>
      <c r="S31" s="213">
        <v>603.29999999999995</v>
      </c>
      <c r="T31" s="232">
        <v>9.49</v>
      </c>
      <c r="U31" s="210">
        <v>78</v>
      </c>
      <c r="V31" s="210">
        <f>1+9/16</f>
        <v>1.5625</v>
      </c>
      <c r="W31" s="214" t="s">
        <v>16</v>
      </c>
      <c r="X31" s="215">
        <f t="shared" si="1"/>
        <v>130.00033333333334</v>
      </c>
      <c r="Y31" s="210">
        <f t="shared" si="2"/>
        <v>-16.132999999999999</v>
      </c>
      <c r="Z31" s="214" t="s">
        <v>17</v>
      </c>
      <c r="AA31" s="215">
        <f t="shared" si="3"/>
        <v>151.667</v>
      </c>
      <c r="AB31" s="210">
        <f t="shared" si="4"/>
        <v>-17.655999999999999</v>
      </c>
      <c r="AC31" s="215">
        <f t="shared" si="5"/>
        <v>21.666666666666657</v>
      </c>
      <c r="AD31" s="210">
        <f t="shared" si="6"/>
        <v>-1.5229999999999997</v>
      </c>
    </row>
    <row r="32" spans="1:33">
      <c r="A32" s="145" t="s">
        <v>112</v>
      </c>
      <c r="B32" s="242" t="s">
        <v>259</v>
      </c>
      <c r="C32" s="164">
        <v>436</v>
      </c>
      <c r="D32" s="164">
        <v>377</v>
      </c>
      <c r="E32" s="164">
        <v>20.794</v>
      </c>
      <c r="F32" s="164">
        <v>-850.57799999999997</v>
      </c>
      <c r="G32" s="225">
        <f t="shared" si="0"/>
        <v>21.717087407026849</v>
      </c>
      <c r="H32" s="210">
        <v>22</v>
      </c>
      <c r="I32" s="210">
        <v>0.75</v>
      </c>
      <c r="J32" s="210">
        <v>1</v>
      </c>
      <c r="K32" s="210">
        <v>30</v>
      </c>
      <c r="L32" s="210">
        <f t="shared" si="7"/>
        <v>30</v>
      </c>
      <c r="M32" s="231">
        <v>75</v>
      </c>
      <c r="N32" s="236">
        <f t="shared" si="8"/>
        <v>36.75</v>
      </c>
      <c r="O32" s="213">
        <v>7709.06</v>
      </c>
      <c r="P32" s="213">
        <v>513.94000000000005</v>
      </c>
      <c r="Q32" s="213">
        <v>10.14</v>
      </c>
      <c r="R32" s="213">
        <v>6757</v>
      </c>
      <c r="S32" s="213">
        <v>603.29999999999995</v>
      </c>
      <c r="T32" s="232">
        <v>9.49</v>
      </c>
      <c r="U32" s="210">
        <v>84</v>
      </c>
      <c r="V32" s="210">
        <f>1+13/16</f>
        <v>1.8125</v>
      </c>
      <c r="W32" s="214" t="s">
        <v>17</v>
      </c>
      <c r="X32" s="215">
        <f t="shared" si="1"/>
        <v>151.667</v>
      </c>
      <c r="Y32" s="210">
        <f t="shared" si="2"/>
        <v>-17.655999999999999</v>
      </c>
      <c r="Z32" s="214" t="s">
        <v>18</v>
      </c>
      <c r="AA32" s="215">
        <f t="shared" si="3"/>
        <v>173.33366666666666</v>
      </c>
      <c r="AB32" s="210">
        <f t="shared" si="4"/>
        <v>-19.135000000000002</v>
      </c>
      <c r="AC32" s="215">
        <f t="shared" si="5"/>
        <v>21.666666666666657</v>
      </c>
      <c r="AD32" s="210">
        <f t="shared" si="6"/>
        <v>-1.4790000000000028</v>
      </c>
    </row>
    <row r="33" spans="1:30">
      <c r="A33" s="145" t="s">
        <v>113</v>
      </c>
      <c r="B33" s="242" t="s">
        <v>260</v>
      </c>
      <c r="C33" s="164">
        <v>-1841</v>
      </c>
      <c r="D33" s="164">
        <v>-414</v>
      </c>
      <c r="E33" s="164">
        <v>-93.275000000000006</v>
      </c>
      <c r="F33" s="164">
        <v>3809.797</v>
      </c>
      <c r="G33" s="225">
        <f t="shared" si="0"/>
        <v>21.910546420489929</v>
      </c>
      <c r="H33" s="210">
        <v>20.5</v>
      </c>
      <c r="I33" s="210">
        <v>1</v>
      </c>
      <c r="J33" s="210">
        <v>1.75</v>
      </c>
      <c r="K33" s="210">
        <v>30</v>
      </c>
      <c r="L33" s="210">
        <f t="shared" si="7"/>
        <v>30</v>
      </c>
      <c r="M33" s="231">
        <v>122</v>
      </c>
      <c r="N33" s="236">
        <f t="shared" si="8"/>
        <v>59.78</v>
      </c>
      <c r="O33" s="213">
        <v>11450.67</v>
      </c>
      <c r="P33" s="213">
        <v>763.38</v>
      </c>
      <c r="Q33" s="213">
        <v>9.69</v>
      </c>
      <c r="R33" s="213">
        <v>9402.4699999999993</v>
      </c>
      <c r="S33" s="213">
        <v>896</v>
      </c>
      <c r="T33" s="232">
        <v>8.7799999999999994</v>
      </c>
      <c r="U33" s="210">
        <v>135</v>
      </c>
      <c r="V33" s="210">
        <v>1.5</v>
      </c>
      <c r="W33" s="214" t="s">
        <v>42</v>
      </c>
      <c r="X33" s="215">
        <f t="shared" si="1"/>
        <v>216.66699999999997</v>
      </c>
      <c r="Y33" s="210">
        <f t="shared" si="2"/>
        <v>-23.859000000000002</v>
      </c>
      <c r="Z33" s="214" t="s">
        <v>43</v>
      </c>
      <c r="AA33" s="215">
        <f t="shared" si="3"/>
        <v>238.33366666666663</v>
      </c>
      <c r="AB33" s="210">
        <f t="shared" si="4"/>
        <v>-27.119</v>
      </c>
      <c r="AC33" s="215">
        <f t="shared" si="5"/>
        <v>21.666666666666657</v>
      </c>
      <c r="AD33" s="210">
        <f t="shared" si="6"/>
        <v>-3.259999999999998</v>
      </c>
    </row>
    <row r="34" spans="1:30">
      <c r="A34" s="145" t="s">
        <v>113</v>
      </c>
      <c r="B34" s="242" t="s">
        <v>261</v>
      </c>
      <c r="C34" s="164">
        <v>-1841</v>
      </c>
      <c r="D34" s="164">
        <v>-414</v>
      </c>
      <c r="E34" s="164">
        <v>-93.275000000000006</v>
      </c>
      <c r="F34" s="164">
        <v>3809.7939999999999</v>
      </c>
      <c r="G34" s="225">
        <f t="shared" ref="G34:G50" si="11">SQRT(AC34^2+AD34^2)</f>
        <v>21.909209146941933</v>
      </c>
      <c r="H34" s="210">
        <v>20.5</v>
      </c>
      <c r="I34" s="210">
        <v>1</v>
      </c>
      <c r="J34" s="210">
        <v>1.75</v>
      </c>
      <c r="K34" s="210">
        <v>30</v>
      </c>
      <c r="L34" s="210">
        <f t="shared" si="7"/>
        <v>30</v>
      </c>
      <c r="M34" s="231">
        <v>122</v>
      </c>
      <c r="N34" s="236">
        <f t="shared" si="8"/>
        <v>59.78</v>
      </c>
      <c r="O34" s="213">
        <v>11450.67</v>
      </c>
      <c r="P34" s="213">
        <v>763.38</v>
      </c>
      <c r="Q34" s="213">
        <v>9.69</v>
      </c>
      <c r="R34" s="213">
        <v>9402.4699999999993</v>
      </c>
      <c r="S34" s="213">
        <v>896</v>
      </c>
      <c r="T34" s="232">
        <v>8.7799999999999994</v>
      </c>
      <c r="U34" s="210">
        <v>130</v>
      </c>
      <c r="V34" s="210">
        <v>1.5</v>
      </c>
      <c r="W34" s="214" t="s">
        <v>43</v>
      </c>
      <c r="X34" s="215">
        <f t="shared" ref="X34:X50" si="12">VLOOKUP(W34,$AE$2:$AG$27,2,FALSE)</f>
        <v>238.33366666666663</v>
      </c>
      <c r="Y34" s="210">
        <f t="shared" ref="Y34:Y50" si="13">VLOOKUP(W34,$AE$2:$AG$27,3,FALSE)</f>
        <v>-27.119</v>
      </c>
      <c r="Z34" s="214" t="s">
        <v>44</v>
      </c>
      <c r="AA34" s="215">
        <f t="shared" ref="AA34:AA50" si="14">VLOOKUP(Z34,$AE$2:$AG$27,2,FALSE)</f>
        <v>260.00033333333329</v>
      </c>
      <c r="AB34" s="210">
        <f t="shared" ref="AB34:AB50" si="15">VLOOKUP(Z34,$AE$2:$AG$27,3,FALSE)</f>
        <v>-30.37</v>
      </c>
      <c r="AC34" s="215">
        <f t="shared" ref="AC34:AC50" si="16">(AA34-X34)</f>
        <v>21.666666666666657</v>
      </c>
      <c r="AD34" s="210">
        <f t="shared" ref="AD34:AD50" si="17">(AB34-Y34)</f>
        <v>-3.2510000000000012</v>
      </c>
    </row>
    <row r="35" spans="1:30">
      <c r="A35" s="145" t="s">
        <v>114</v>
      </c>
      <c r="B35" s="242" t="s">
        <v>262</v>
      </c>
      <c r="C35" s="164">
        <v>128</v>
      </c>
      <c r="D35" s="164">
        <v>66</v>
      </c>
      <c r="E35" s="164">
        <v>7.593</v>
      </c>
      <c r="F35" s="164">
        <v>-302.80099999999999</v>
      </c>
      <c r="G35" s="225">
        <f t="shared" si="11"/>
        <v>21.667000000000002</v>
      </c>
      <c r="H35" s="210">
        <v>22.5</v>
      </c>
      <c r="I35" s="210">
        <v>0.625</v>
      </c>
      <c r="J35" s="210">
        <v>0.75</v>
      </c>
      <c r="K35" s="210">
        <v>30</v>
      </c>
      <c r="L35" s="210">
        <f t="shared" si="7"/>
        <v>30</v>
      </c>
      <c r="M35" s="231">
        <v>65.63</v>
      </c>
      <c r="N35" s="236">
        <f t="shared" si="8"/>
        <v>32.158699999999996</v>
      </c>
      <c r="O35" s="213">
        <v>7576.65</v>
      </c>
      <c r="P35" s="213">
        <v>454.27</v>
      </c>
      <c r="Q35" s="213">
        <v>10.74</v>
      </c>
      <c r="R35" s="213">
        <v>5985.57</v>
      </c>
      <c r="S35" s="213">
        <v>521.13</v>
      </c>
      <c r="T35" s="232">
        <v>9.5500000000000007</v>
      </c>
      <c r="U35" s="210">
        <v>86</v>
      </c>
      <c r="V35" s="210">
        <v>2</v>
      </c>
      <c r="W35" s="214" t="s">
        <v>26</v>
      </c>
      <c r="X35" s="215">
        <f t="shared" si="12"/>
        <v>151.66866666666667</v>
      </c>
      <c r="Y35" s="210">
        <f t="shared" si="13"/>
        <v>0</v>
      </c>
      <c r="Z35" s="214" t="s">
        <v>27</v>
      </c>
      <c r="AA35" s="215">
        <f t="shared" si="14"/>
        <v>173.33566666666667</v>
      </c>
      <c r="AB35" s="210">
        <f t="shared" si="15"/>
        <v>0</v>
      </c>
      <c r="AC35" s="215">
        <f t="shared" si="16"/>
        <v>21.667000000000002</v>
      </c>
      <c r="AD35" s="210">
        <f t="shared" si="17"/>
        <v>0</v>
      </c>
    </row>
    <row r="36" spans="1:30">
      <c r="A36" s="145" t="s">
        <v>114</v>
      </c>
      <c r="B36" s="242" t="s">
        <v>263</v>
      </c>
      <c r="C36" s="164">
        <v>128</v>
      </c>
      <c r="D36" s="164">
        <v>66</v>
      </c>
      <c r="E36" s="164">
        <v>7.6</v>
      </c>
      <c r="F36" s="164">
        <v>-303.053</v>
      </c>
      <c r="G36" s="225">
        <f t="shared" si="11"/>
        <v>21.667000000000002</v>
      </c>
      <c r="H36" s="210">
        <v>22.5</v>
      </c>
      <c r="I36" s="210">
        <v>0.625</v>
      </c>
      <c r="J36" s="210">
        <v>0.75</v>
      </c>
      <c r="K36" s="210">
        <v>30</v>
      </c>
      <c r="L36" s="210">
        <f t="shared" si="7"/>
        <v>30</v>
      </c>
      <c r="M36" s="231">
        <v>65.63</v>
      </c>
      <c r="N36" s="236">
        <f t="shared" si="8"/>
        <v>32.158699999999996</v>
      </c>
      <c r="O36" s="213">
        <v>7576.65</v>
      </c>
      <c r="P36" s="213">
        <v>454.27</v>
      </c>
      <c r="Q36" s="213">
        <v>10.74</v>
      </c>
      <c r="R36" s="213">
        <v>5985.57</v>
      </c>
      <c r="S36" s="213">
        <v>521.13</v>
      </c>
      <c r="T36" s="232">
        <v>9.5500000000000007</v>
      </c>
      <c r="U36" s="210">
        <v>58</v>
      </c>
      <c r="V36" s="210">
        <f>2+1/16</f>
        <v>2.0625</v>
      </c>
      <c r="W36" s="214" t="s">
        <v>27</v>
      </c>
      <c r="X36" s="215">
        <f t="shared" si="12"/>
        <v>173.33566666666667</v>
      </c>
      <c r="Y36" s="210">
        <f t="shared" si="13"/>
        <v>0</v>
      </c>
      <c r="Z36" s="214" t="s">
        <v>105</v>
      </c>
      <c r="AA36" s="215">
        <f t="shared" si="14"/>
        <v>195.00266666666667</v>
      </c>
      <c r="AB36" s="210">
        <f t="shared" si="15"/>
        <v>0</v>
      </c>
      <c r="AC36" s="215">
        <f t="shared" si="16"/>
        <v>21.667000000000002</v>
      </c>
      <c r="AD36" s="210">
        <f t="shared" si="17"/>
        <v>0</v>
      </c>
    </row>
    <row r="37" spans="1:30">
      <c r="A37" s="145" t="s">
        <v>114</v>
      </c>
      <c r="B37" s="242" t="s">
        <v>264</v>
      </c>
      <c r="C37" s="164">
        <v>0</v>
      </c>
      <c r="D37" s="164">
        <v>0</v>
      </c>
      <c r="E37" s="167">
        <v>-3.0000000000000001E-3</v>
      </c>
      <c r="F37" s="164">
        <v>0.157</v>
      </c>
      <c r="G37" s="225">
        <f t="shared" si="11"/>
        <v>21.666666666666668</v>
      </c>
      <c r="H37" s="210">
        <v>22.5</v>
      </c>
      <c r="I37" s="210">
        <v>0.625</v>
      </c>
      <c r="J37" s="210">
        <v>0.75</v>
      </c>
      <c r="K37" s="210">
        <v>30</v>
      </c>
      <c r="L37" s="210">
        <f t="shared" si="7"/>
        <v>30</v>
      </c>
      <c r="M37" s="231">
        <v>65.63</v>
      </c>
      <c r="N37" s="236">
        <f t="shared" si="8"/>
        <v>32.158699999999996</v>
      </c>
      <c r="O37" s="213">
        <v>7576.65</v>
      </c>
      <c r="P37" s="213">
        <v>454.27</v>
      </c>
      <c r="Q37" s="213">
        <v>10.74</v>
      </c>
      <c r="R37" s="213">
        <v>5985.57</v>
      </c>
      <c r="S37" s="213">
        <v>521.13</v>
      </c>
      <c r="T37" s="232">
        <v>9.5500000000000007</v>
      </c>
      <c r="U37" s="210">
        <v>73</v>
      </c>
      <c r="V37" s="210">
        <f>2+9/16</f>
        <v>2.5625</v>
      </c>
      <c r="W37" s="214" t="s">
        <v>104</v>
      </c>
      <c r="X37" s="215">
        <f t="shared" si="12"/>
        <v>0</v>
      </c>
      <c r="Y37" s="210">
        <f t="shared" si="13"/>
        <v>0</v>
      </c>
      <c r="Z37" s="214" t="s">
        <v>20</v>
      </c>
      <c r="AA37" s="215">
        <f t="shared" si="14"/>
        <v>21.666666666666668</v>
      </c>
      <c r="AB37" s="210">
        <f t="shared" si="15"/>
        <v>0</v>
      </c>
      <c r="AC37" s="215">
        <f t="shared" si="16"/>
        <v>21.666666666666668</v>
      </c>
      <c r="AD37" s="210">
        <f t="shared" si="17"/>
        <v>0</v>
      </c>
    </row>
    <row r="38" spans="1:30">
      <c r="A38" s="145" t="s">
        <v>116</v>
      </c>
      <c r="B38" s="242" t="s">
        <v>265</v>
      </c>
      <c r="C38" s="164">
        <v>-1035</v>
      </c>
      <c r="D38" s="164">
        <v>-336</v>
      </c>
      <c r="E38" s="164">
        <v>-51.470999999999997</v>
      </c>
      <c r="F38" s="164">
        <v>2088.924</v>
      </c>
      <c r="G38" s="225">
        <f t="shared" si="11"/>
        <v>21.667000000000005</v>
      </c>
      <c r="H38" s="210">
        <v>22</v>
      </c>
      <c r="I38" s="210">
        <v>0.75</v>
      </c>
      <c r="J38" s="210">
        <v>1</v>
      </c>
      <c r="K38" s="210">
        <v>30</v>
      </c>
      <c r="L38" s="210">
        <f t="shared" si="7"/>
        <v>30</v>
      </c>
      <c r="M38" s="231">
        <v>84</v>
      </c>
      <c r="N38" s="236">
        <f t="shared" si="8"/>
        <v>41.16</v>
      </c>
      <c r="O38" s="213">
        <v>9439.1200000000008</v>
      </c>
      <c r="P38" s="213">
        <v>569.76</v>
      </c>
      <c r="Q38" s="213">
        <v>10.6</v>
      </c>
      <c r="R38" s="213">
        <v>7365.14</v>
      </c>
      <c r="S38" s="213">
        <v>652.61</v>
      </c>
      <c r="T38" s="232">
        <v>9.36</v>
      </c>
      <c r="U38" s="210">
        <v>86</v>
      </c>
      <c r="V38" s="210">
        <v>2</v>
      </c>
      <c r="W38" s="214" t="s">
        <v>20</v>
      </c>
      <c r="X38" s="215">
        <f t="shared" si="12"/>
        <v>21.666666666666668</v>
      </c>
      <c r="Y38" s="210">
        <f t="shared" si="13"/>
        <v>0</v>
      </c>
      <c r="Z38" s="214" t="s">
        <v>21</v>
      </c>
      <c r="AA38" s="215">
        <f t="shared" si="14"/>
        <v>43.333666666666673</v>
      </c>
      <c r="AB38" s="210">
        <f t="shared" si="15"/>
        <v>0</v>
      </c>
      <c r="AC38" s="215">
        <f t="shared" si="16"/>
        <v>21.667000000000005</v>
      </c>
      <c r="AD38" s="210">
        <f t="shared" si="17"/>
        <v>0</v>
      </c>
    </row>
    <row r="39" spans="1:30">
      <c r="A39" s="145" t="s">
        <v>116</v>
      </c>
      <c r="B39" s="242" t="s">
        <v>266</v>
      </c>
      <c r="C39" s="164">
        <v>-1035</v>
      </c>
      <c r="D39" s="164">
        <v>-336</v>
      </c>
      <c r="E39" s="164">
        <v>-51.463000000000001</v>
      </c>
      <c r="F39" s="164">
        <v>2088.6210000000001</v>
      </c>
      <c r="G39" s="225">
        <f t="shared" si="11"/>
        <v>21.667000000000002</v>
      </c>
      <c r="H39" s="210">
        <v>22</v>
      </c>
      <c r="I39" s="210">
        <v>0.75</v>
      </c>
      <c r="J39" s="210">
        <v>1</v>
      </c>
      <c r="K39" s="210">
        <v>30</v>
      </c>
      <c r="L39" s="210">
        <f t="shared" si="7"/>
        <v>30</v>
      </c>
      <c r="M39" s="231">
        <v>84</v>
      </c>
      <c r="N39" s="236">
        <f t="shared" si="8"/>
        <v>41.16</v>
      </c>
      <c r="O39" s="213">
        <v>9439.1200000000008</v>
      </c>
      <c r="P39" s="213">
        <v>569.76</v>
      </c>
      <c r="Q39" s="213">
        <v>10.6</v>
      </c>
      <c r="R39" s="213">
        <v>7365.14</v>
      </c>
      <c r="S39" s="213">
        <v>652.61</v>
      </c>
      <c r="T39" s="232">
        <v>9.36</v>
      </c>
      <c r="U39" s="210">
        <v>74</v>
      </c>
      <c r="V39" s="210">
        <v>2</v>
      </c>
      <c r="W39" s="214" t="s">
        <v>21</v>
      </c>
      <c r="X39" s="215">
        <f t="shared" si="12"/>
        <v>43.333666666666673</v>
      </c>
      <c r="Y39" s="210">
        <f t="shared" si="13"/>
        <v>0</v>
      </c>
      <c r="Z39" s="214" t="s">
        <v>22</v>
      </c>
      <c r="AA39" s="215">
        <f t="shared" si="14"/>
        <v>65.000666666666675</v>
      </c>
      <c r="AB39" s="210">
        <f t="shared" si="15"/>
        <v>0</v>
      </c>
      <c r="AC39" s="215">
        <f t="shared" si="16"/>
        <v>21.667000000000002</v>
      </c>
      <c r="AD39" s="210">
        <f t="shared" si="17"/>
        <v>0</v>
      </c>
    </row>
    <row r="40" spans="1:30">
      <c r="A40" s="145" t="s">
        <v>116</v>
      </c>
      <c r="B40" s="242" t="s">
        <v>267</v>
      </c>
      <c r="C40" s="164">
        <v>-471</v>
      </c>
      <c r="D40" s="164">
        <v>-921</v>
      </c>
      <c r="E40" s="164">
        <v>-44.923000000000002</v>
      </c>
      <c r="F40" s="164">
        <v>1830.903</v>
      </c>
      <c r="G40" s="225">
        <f t="shared" si="11"/>
        <v>21.666999999999987</v>
      </c>
      <c r="H40" s="210">
        <v>22</v>
      </c>
      <c r="I40" s="210">
        <v>0.75</v>
      </c>
      <c r="J40" s="210">
        <v>1</v>
      </c>
      <c r="K40" s="210">
        <v>30</v>
      </c>
      <c r="L40" s="210">
        <f t="shared" si="7"/>
        <v>30</v>
      </c>
      <c r="M40" s="231">
        <v>84</v>
      </c>
      <c r="N40" s="236">
        <f t="shared" si="8"/>
        <v>41.16</v>
      </c>
      <c r="O40" s="213">
        <v>9439.1200000000008</v>
      </c>
      <c r="P40" s="213">
        <v>569.76</v>
      </c>
      <c r="Q40" s="213">
        <v>10.6</v>
      </c>
      <c r="R40" s="213">
        <v>7365.14</v>
      </c>
      <c r="S40" s="213">
        <v>652.61</v>
      </c>
      <c r="T40" s="232">
        <v>9.36</v>
      </c>
      <c r="U40" s="210">
        <v>90</v>
      </c>
      <c r="V40" s="210">
        <f>2+3/16</f>
        <v>2.1875</v>
      </c>
      <c r="W40" s="214" t="s">
        <v>24</v>
      </c>
      <c r="X40" s="215">
        <f t="shared" si="12"/>
        <v>108.33466666666668</v>
      </c>
      <c r="Y40" s="210">
        <f t="shared" si="13"/>
        <v>0</v>
      </c>
      <c r="Z40" s="214" t="s">
        <v>25</v>
      </c>
      <c r="AA40" s="215">
        <f t="shared" si="14"/>
        <v>130.00166666666667</v>
      </c>
      <c r="AB40" s="210">
        <f t="shared" si="15"/>
        <v>0</v>
      </c>
      <c r="AC40" s="215">
        <f t="shared" si="16"/>
        <v>21.666999999999987</v>
      </c>
      <c r="AD40" s="210">
        <f t="shared" si="17"/>
        <v>0</v>
      </c>
    </row>
    <row r="41" spans="1:30">
      <c r="A41" s="145" t="s">
        <v>116</v>
      </c>
      <c r="B41" s="242" t="s">
        <v>268</v>
      </c>
      <c r="C41" s="164">
        <v>-471</v>
      </c>
      <c r="D41" s="164">
        <v>-921</v>
      </c>
      <c r="E41" s="164">
        <v>-44.91</v>
      </c>
      <c r="F41" s="164">
        <v>1830.413</v>
      </c>
      <c r="G41" s="225">
        <f t="shared" si="11"/>
        <v>21.667000000000002</v>
      </c>
      <c r="H41" s="210">
        <v>22</v>
      </c>
      <c r="I41" s="210">
        <v>0.75</v>
      </c>
      <c r="J41" s="210">
        <v>1</v>
      </c>
      <c r="K41" s="210">
        <v>30</v>
      </c>
      <c r="L41" s="210">
        <f t="shared" si="7"/>
        <v>30</v>
      </c>
      <c r="M41" s="231">
        <v>84</v>
      </c>
      <c r="N41" s="236">
        <f t="shared" si="8"/>
        <v>41.16</v>
      </c>
      <c r="O41" s="213">
        <v>9439.1200000000008</v>
      </c>
      <c r="P41" s="213">
        <v>569.76</v>
      </c>
      <c r="Q41" s="213">
        <v>10.6</v>
      </c>
      <c r="R41" s="213">
        <v>7365.14</v>
      </c>
      <c r="S41" s="213">
        <v>652.61</v>
      </c>
      <c r="T41" s="232">
        <v>9.36</v>
      </c>
      <c r="U41" s="210">
        <v>86</v>
      </c>
      <c r="V41" s="210">
        <f>2+1/16</f>
        <v>2.0625</v>
      </c>
      <c r="W41" s="214" t="s">
        <v>25</v>
      </c>
      <c r="X41" s="215">
        <f t="shared" si="12"/>
        <v>130.00166666666667</v>
      </c>
      <c r="Y41" s="210">
        <f t="shared" si="13"/>
        <v>0</v>
      </c>
      <c r="Z41" s="214" t="s">
        <v>26</v>
      </c>
      <c r="AA41" s="215">
        <f t="shared" si="14"/>
        <v>151.66866666666667</v>
      </c>
      <c r="AB41" s="210">
        <f t="shared" si="15"/>
        <v>0</v>
      </c>
      <c r="AC41" s="215">
        <f t="shared" si="16"/>
        <v>21.667000000000002</v>
      </c>
      <c r="AD41" s="210">
        <f t="shared" si="17"/>
        <v>0</v>
      </c>
    </row>
    <row r="42" spans="1:30">
      <c r="A42" s="145" t="s">
        <v>115</v>
      </c>
      <c r="B42" s="242" t="s">
        <v>269</v>
      </c>
      <c r="C42" s="164">
        <v>-1399</v>
      </c>
      <c r="D42" s="164">
        <v>-513</v>
      </c>
      <c r="E42" s="164">
        <v>-69.405000000000001</v>
      </c>
      <c r="F42" s="164">
        <v>2821.3249999999998</v>
      </c>
      <c r="G42" s="225">
        <f t="shared" si="11"/>
        <v>21.667000000000002</v>
      </c>
      <c r="H42" s="210">
        <v>21.75</v>
      </c>
      <c r="I42" s="210">
        <v>1</v>
      </c>
      <c r="J42" s="210">
        <v>1.125</v>
      </c>
      <c r="K42" s="210">
        <v>30</v>
      </c>
      <c r="L42" s="210">
        <f t="shared" si="7"/>
        <v>30</v>
      </c>
      <c r="M42" s="231">
        <v>99</v>
      </c>
      <c r="N42" s="236">
        <f t="shared" si="8"/>
        <v>48.51</v>
      </c>
      <c r="O42" s="213">
        <v>11360.79</v>
      </c>
      <c r="P42" s="213">
        <v>677.95</v>
      </c>
      <c r="Q42" s="213">
        <v>10.71</v>
      </c>
      <c r="R42" s="213">
        <v>8147.43</v>
      </c>
      <c r="S42" s="213">
        <v>725.32</v>
      </c>
      <c r="T42" s="232">
        <v>9.07</v>
      </c>
      <c r="U42" s="210">
        <v>109</v>
      </c>
      <c r="V42" s="210">
        <f>2+1/16</f>
        <v>2.0625</v>
      </c>
      <c r="W42" s="214" t="s">
        <v>22</v>
      </c>
      <c r="X42" s="215">
        <f t="shared" si="12"/>
        <v>65.000666666666675</v>
      </c>
      <c r="Y42" s="210">
        <f t="shared" si="13"/>
        <v>0</v>
      </c>
      <c r="Z42" s="214" t="s">
        <v>23</v>
      </c>
      <c r="AA42" s="215">
        <f t="shared" si="14"/>
        <v>86.667666666666676</v>
      </c>
      <c r="AB42" s="210">
        <f t="shared" si="15"/>
        <v>0</v>
      </c>
      <c r="AC42" s="215">
        <f t="shared" si="16"/>
        <v>21.667000000000002</v>
      </c>
      <c r="AD42" s="210">
        <f t="shared" si="17"/>
        <v>0</v>
      </c>
    </row>
    <row r="43" spans="1:30">
      <c r="A43" s="145" t="s">
        <v>115</v>
      </c>
      <c r="B43" s="242" t="s">
        <v>270</v>
      </c>
      <c r="C43" s="164">
        <v>-1399</v>
      </c>
      <c r="D43" s="164">
        <v>-513</v>
      </c>
      <c r="E43" s="164">
        <v>-69.388999999999996</v>
      </c>
      <c r="F43" s="164">
        <v>2820.6709999999998</v>
      </c>
      <c r="G43" s="225">
        <f t="shared" si="11"/>
        <v>21.667000000000002</v>
      </c>
      <c r="H43" s="210">
        <v>21.75</v>
      </c>
      <c r="I43" s="210">
        <v>1</v>
      </c>
      <c r="J43" s="210">
        <v>1.125</v>
      </c>
      <c r="K43" s="210">
        <v>30</v>
      </c>
      <c r="L43" s="210">
        <f t="shared" si="7"/>
        <v>30</v>
      </c>
      <c r="M43" s="231">
        <v>99</v>
      </c>
      <c r="N43" s="236">
        <f t="shared" si="8"/>
        <v>48.51</v>
      </c>
      <c r="O43" s="213">
        <v>11360.79</v>
      </c>
      <c r="P43" s="213">
        <v>677.95</v>
      </c>
      <c r="Q43" s="213">
        <v>10.71</v>
      </c>
      <c r="R43" s="213">
        <v>8147.43</v>
      </c>
      <c r="S43" s="213">
        <v>725.32</v>
      </c>
      <c r="T43" s="232">
        <v>9.07</v>
      </c>
      <c r="U43" s="210">
        <v>107</v>
      </c>
      <c r="V43" s="210">
        <f>2+1/16</f>
        <v>2.0625</v>
      </c>
      <c r="W43" s="214" t="s">
        <v>23</v>
      </c>
      <c r="X43" s="215">
        <f t="shared" si="12"/>
        <v>86.667666666666676</v>
      </c>
      <c r="Y43" s="210">
        <f t="shared" si="13"/>
        <v>0</v>
      </c>
      <c r="Z43" s="214" t="s">
        <v>24</v>
      </c>
      <c r="AA43" s="215">
        <f t="shared" si="14"/>
        <v>108.33466666666668</v>
      </c>
      <c r="AB43" s="210">
        <f t="shared" si="15"/>
        <v>0</v>
      </c>
      <c r="AC43" s="215">
        <f t="shared" si="16"/>
        <v>21.667000000000002</v>
      </c>
      <c r="AD43" s="210">
        <f t="shared" si="17"/>
        <v>0</v>
      </c>
    </row>
    <row r="44" spans="1:30">
      <c r="A44" s="145" t="s">
        <v>115</v>
      </c>
      <c r="B44" s="242" t="s">
        <v>271</v>
      </c>
      <c r="C44" s="164">
        <v>1296</v>
      </c>
      <c r="D44" s="164">
        <v>299</v>
      </c>
      <c r="E44" s="164">
        <v>66.314999999999998</v>
      </c>
      <c r="F44" s="164">
        <v>-2698.2829999999999</v>
      </c>
      <c r="G44" s="225">
        <f t="shared" si="11"/>
        <v>21.667000000000002</v>
      </c>
      <c r="H44" s="210">
        <v>21.75</v>
      </c>
      <c r="I44" s="210">
        <v>1</v>
      </c>
      <c r="J44" s="210">
        <v>1.125</v>
      </c>
      <c r="K44" s="210">
        <v>30</v>
      </c>
      <c r="L44" s="210">
        <f t="shared" si="7"/>
        <v>30</v>
      </c>
      <c r="M44" s="231">
        <v>99</v>
      </c>
      <c r="N44" s="236">
        <f t="shared" si="8"/>
        <v>48.51</v>
      </c>
      <c r="O44" s="213">
        <v>11360.79</v>
      </c>
      <c r="P44" s="213">
        <v>677.95</v>
      </c>
      <c r="Q44" s="213">
        <v>10.71</v>
      </c>
      <c r="R44" s="213">
        <v>8147.43</v>
      </c>
      <c r="S44" s="213">
        <v>725.32</v>
      </c>
      <c r="T44" s="232">
        <v>9.07</v>
      </c>
      <c r="U44" s="210">
        <v>94</v>
      </c>
      <c r="V44" s="210">
        <f>2+1/8</f>
        <v>2.125</v>
      </c>
      <c r="W44" s="214" t="s">
        <v>105</v>
      </c>
      <c r="X44" s="215">
        <f t="shared" si="12"/>
        <v>195.00266666666667</v>
      </c>
      <c r="Y44" s="210">
        <f t="shared" si="13"/>
        <v>0</v>
      </c>
      <c r="Z44" s="214" t="s">
        <v>106</v>
      </c>
      <c r="AA44" s="215">
        <f t="shared" si="14"/>
        <v>216.66966666666667</v>
      </c>
      <c r="AB44" s="210">
        <f t="shared" si="15"/>
        <v>0</v>
      </c>
      <c r="AC44" s="215">
        <f t="shared" si="16"/>
        <v>21.667000000000002</v>
      </c>
      <c r="AD44" s="210">
        <f t="shared" si="17"/>
        <v>0</v>
      </c>
    </row>
    <row r="45" spans="1:30">
      <c r="A45" s="145" t="s">
        <v>115</v>
      </c>
      <c r="B45" s="242" t="s">
        <v>272</v>
      </c>
      <c r="C45" s="164">
        <v>1296</v>
      </c>
      <c r="D45" s="164">
        <v>299</v>
      </c>
      <c r="E45" s="164">
        <v>66.322000000000003</v>
      </c>
      <c r="F45" s="164">
        <v>-2698.4749999999999</v>
      </c>
      <c r="G45" s="225">
        <f t="shared" si="11"/>
        <v>21.667000000000002</v>
      </c>
      <c r="H45" s="210">
        <v>21.75</v>
      </c>
      <c r="I45" s="210">
        <v>1</v>
      </c>
      <c r="J45" s="210">
        <v>1.125</v>
      </c>
      <c r="K45" s="210">
        <v>30</v>
      </c>
      <c r="L45" s="210">
        <f t="shared" si="7"/>
        <v>30</v>
      </c>
      <c r="M45" s="231">
        <v>99</v>
      </c>
      <c r="N45" s="236">
        <f t="shared" si="8"/>
        <v>48.51</v>
      </c>
      <c r="O45" s="213">
        <v>11360.79</v>
      </c>
      <c r="P45" s="213">
        <v>677.95</v>
      </c>
      <c r="Q45" s="213">
        <v>10.71</v>
      </c>
      <c r="R45" s="213">
        <v>8147.43</v>
      </c>
      <c r="S45" s="213">
        <v>725.32</v>
      </c>
      <c r="T45" s="232">
        <v>9.07</v>
      </c>
      <c r="U45" s="210">
        <v>96</v>
      </c>
      <c r="V45" s="210">
        <f>2+1/8</f>
        <v>2.125</v>
      </c>
      <c r="W45" s="214" t="s">
        <v>106</v>
      </c>
      <c r="X45" s="215">
        <f t="shared" si="12"/>
        <v>216.66966666666667</v>
      </c>
      <c r="Y45" s="210">
        <f t="shared" si="13"/>
        <v>0</v>
      </c>
      <c r="Z45" s="214" t="s">
        <v>107</v>
      </c>
      <c r="AA45" s="215">
        <f t="shared" si="14"/>
        <v>238.33666666666667</v>
      </c>
      <c r="AB45" s="210">
        <f t="shared" si="15"/>
        <v>0</v>
      </c>
      <c r="AC45" s="215">
        <f t="shared" si="16"/>
        <v>21.667000000000002</v>
      </c>
      <c r="AD45" s="210">
        <f t="shared" si="17"/>
        <v>0</v>
      </c>
    </row>
    <row r="46" spans="1:30">
      <c r="A46" s="145" t="s">
        <v>117</v>
      </c>
      <c r="B46" s="242" t="s">
        <v>273</v>
      </c>
      <c r="C46" s="164">
        <v>2336</v>
      </c>
      <c r="D46" s="164">
        <v>515</v>
      </c>
      <c r="E46" s="164">
        <v>117.417</v>
      </c>
      <c r="F46" s="164">
        <v>-4810.9560000000001</v>
      </c>
      <c r="G46" s="225">
        <f t="shared" si="11"/>
        <v>21.667000000000002</v>
      </c>
      <c r="H46" s="210">
        <v>19.5</v>
      </c>
      <c r="I46" s="210">
        <v>1</v>
      </c>
      <c r="J46" s="210">
        <v>2.25</v>
      </c>
      <c r="K46" s="210">
        <v>30</v>
      </c>
      <c r="L46" s="210">
        <f t="shared" si="7"/>
        <v>30</v>
      </c>
      <c r="M46" s="231">
        <v>162</v>
      </c>
      <c r="N46" s="236">
        <f t="shared" si="8"/>
        <v>79.38</v>
      </c>
      <c r="O46" s="213">
        <v>15747.75</v>
      </c>
      <c r="P46" s="213">
        <v>979.7</v>
      </c>
      <c r="Q46" s="213">
        <v>9.86</v>
      </c>
      <c r="R46" s="213">
        <v>10866.66</v>
      </c>
      <c r="S46" s="213">
        <v>1073.25</v>
      </c>
      <c r="T46" s="232">
        <v>8.19</v>
      </c>
      <c r="U46" s="210">
        <v>117</v>
      </c>
      <c r="V46" s="210">
        <v>1.5</v>
      </c>
      <c r="W46" s="214" t="s">
        <v>107</v>
      </c>
      <c r="X46" s="215">
        <f t="shared" si="12"/>
        <v>238.33666666666667</v>
      </c>
      <c r="Y46" s="210">
        <f t="shared" si="13"/>
        <v>0</v>
      </c>
      <c r="Z46" s="214" t="s">
        <v>108</v>
      </c>
      <c r="AA46" s="215">
        <f t="shared" si="14"/>
        <v>260.00366666666667</v>
      </c>
      <c r="AB46" s="210">
        <f t="shared" si="15"/>
        <v>0</v>
      </c>
      <c r="AC46" s="215">
        <f t="shared" si="16"/>
        <v>21.667000000000002</v>
      </c>
      <c r="AD46" s="210">
        <f t="shared" si="17"/>
        <v>0</v>
      </c>
    </row>
    <row r="47" spans="1:30">
      <c r="A47" s="145" t="s">
        <v>118</v>
      </c>
      <c r="B47" s="242" t="s">
        <v>274</v>
      </c>
      <c r="C47" s="151">
        <v>795</v>
      </c>
      <c r="D47" s="151">
        <v>197</v>
      </c>
      <c r="E47" s="167">
        <v>39.264000000000003</v>
      </c>
      <c r="F47" s="151">
        <v>-1617.18</v>
      </c>
      <c r="G47" s="225">
        <f t="shared" si="11"/>
        <v>32.230828944419748</v>
      </c>
      <c r="H47" s="210">
        <v>22</v>
      </c>
      <c r="I47" s="210">
        <v>0.875</v>
      </c>
      <c r="J47" s="210">
        <v>1</v>
      </c>
      <c r="K47" s="210">
        <v>18</v>
      </c>
      <c r="L47" s="210">
        <f t="shared" si="7"/>
        <v>18</v>
      </c>
      <c r="M47" s="231">
        <v>53.5</v>
      </c>
      <c r="N47" s="236">
        <f t="shared" si="8"/>
        <v>26.215</v>
      </c>
      <c r="O47" s="213">
        <v>3156.92</v>
      </c>
      <c r="P47" s="213">
        <v>350.77</v>
      </c>
      <c r="Q47" s="213">
        <v>7.68</v>
      </c>
      <c r="R47" s="213">
        <v>4129.6099999999997</v>
      </c>
      <c r="S47" s="213">
        <v>364.58</v>
      </c>
      <c r="T47" s="232">
        <v>8.7899999999999991</v>
      </c>
      <c r="U47" s="210">
        <f>55*2</f>
        <v>110</v>
      </c>
      <c r="V47" s="210">
        <v>1.5</v>
      </c>
      <c r="W47" s="214" t="s">
        <v>42</v>
      </c>
      <c r="X47" s="215">
        <f t="shared" si="12"/>
        <v>216.66699999999997</v>
      </c>
      <c r="Y47" s="210">
        <f t="shared" si="13"/>
        <v>-23.859000000000002</v>
      </c>
      <c r="Z47" s="214" t="s">
        <v>107</v>
      </c>
      <c r="AA47" s="215">
        <f t="shared" si="14"/>
        <v>238.33666666666667</v>
      </c>
      <c r="AB47" s="210">
        <f t="shared" si="15"/>
        <v>0</v>
      </c>
      <c r="AC47" s="215">
        <f t="shared" si="16"/>
        <v>21.6696666666667</v>
      </c>
      <c r="AD47" s="210">
        <f t="shared" si="17"/>
        <v>23.859000000000002</v>
      </c>
    </row>
    <row r="48" spans="1:30">
      <c r="A48" s="145" t="s">
        <v>118</v>
      </c>
      <c r="B48" s="242" t="s">
        <v>275</v>
      </c>
      <c r="C48" s="151">
        <v>-746</v>
      </c>
      <c r="D48" s="151">
        <v>-183</v>
      </c>
      <c r="E48" s="167">
        <v>-37.506999999999998</v>
      </c>
      <c r="F48" s="151">
        <v>1521.366</v>
      </c>
      <c r="G48" s="225">
        <f t="shared" si="11"/>
        <v>28.9053706082451</v>
      </c>
      <c r="H48" s="210">
        <v>22</v>
      </c>
      <c r="I48" s="210">
        <v>0.875</v>
      </c>
      <c r="J48" s="210">
        <v>1</v>
      </c>
      <c r="K48" s="210">
        <v>18</v>
      </c>
      <c r="L48" s="210">
        <f t="shared" si="7"/>
        <v>18</v>
      </c>
      <c r="M48" s="231">
        <v>53.5</v>
      </c>
      <c r="N48" s="236">
        <f t="shared" si="8"/>
        <v>26.215</v>
      </c>
      <c r="O48" s="213">
        <v>3156.92</v>
      </c>
      <c r="P48" s="213">
        <v>350.77</v>
      </c>
      <c r="Q48" s="213">
        <v>7.68</v>
      </c>
      <c r="R48" s="213">
        <v>4129.6099999999997</v>
      </c>
      <c r="S48" s="213">
        <v>364.58</v>
      </c>
      <c r="T48" s="232">
        <v>8.7899999999999991</v>
      </c>
      <c r="U48" s="210">
        <f>51*2</f>
        <v>102</v>
      </c>
      <c r="V48" s="210">
        <v>1.5</v>
      </c>
      <c r="W48" s="214" t="s">
        <v>26</v>
      </c>
      <c r="X48" s="215">
        <f t="shared" si="12"/>
        <v>151.66866666666667</v>
      </c>
      <c r="Y48" s="210">
        <f t="shared" si="13"/>
        <v>0</v>
      </c>
      <c r="Z48" s="214" t="s">
        <v>18</v>
      </c>
      <c r="AA48" s="215">
        <f t="shared" si="14"/>
        <v>173.33366666666666</v>
      </c>
      <c r="AB48" s="210">
        <f t="shared" si="15"/>
        <v>-19.135000000000002</v>
      </c>
      <c r="AC48" s="215">
        <f t="shared" si="16"/>
        <v>21.664999999999992</v>
      </c>
      <c r="AD48" s="210">
        <f t="shared" si="17"/>
        <v>-19.135000000000002</v>
      </c>
    </row>
    <row r="49" spans="1:30">
      <c r="A49" s="145" t="s">
        <v>118</v>
      </c>
      <c r="B49" s="242" t="s">
        <v>276</v>
      </c>
      <c r="C49" s="151">
        <v>775</v>
      </c>
      <c r="D49" s="151">
        <v>189</v>
      </c>
      <c r="E49" s="167">
        <v>39.195999999999998</v>
      </c>
      <c r="F49" s="151">
        <v>-1594.6410000000001</v>
      </c>
      <c r="G49" s="225">
        <f t="shared" si="11"/>
        <v>28.908368788293824</v>
      </c>
      <c r="H49" s="210">
        <v>22</v>
      </c>
      <c r="I49" s="210">
        <v>0.875</v>
      </c>
      <c r="J49" s="210">
        <v>1</v>
      </c>
      <c r="K49" s="210">
        <v>18</v>
      </c>
      <c r="L49" s="210">
        <f t="shared" si="7"/>
        <v>18</v>
      </c>
      <c r="M49" s="231">
        <v>53.5</v>
      </c>
      <c r="N49" s="236">
        <f t="shared" si="8"/>
        <v>26.215</v>
      </c>
      <c r="O49" s="213">
        <v>3156.92</v>
      </c>
      <c r="P49" s="213">
        <v>350.77</v>
      </c>
      <c r="Q49" s="213">
        <v>7.68</v>
      </c>
      <c r="R49" s="213">
        <v>4129.6099999999997</v>
      </c>
      <c r="S49" s="213">
        <v>364.58</v>
      </c>
      <c r="T49" s="232">
        <v>8.7899999999999991</v>
      </c>
      <c r="U49" s="210">
        <f>56+53</f>
        <v>109</v>
      </c>
      <c r="V49" s="210">
        <f>1+7/16</f>
        <v>1.4375</v>
      </c>
      <c r="W49" s="214" t="s">
        <v>18</v>
      </c>
      <c r="X49" s="215">
        <f t="shared" si="12"/>
        <v>173.33366666666666</v>
      </c>
      <c r="Y49" s="210">
        <f t="shared" si="13"/>
        <v>-19.135000000000002</v>
      </c>
      <c r="Z49" s="214" t="s">
        <v>105</v>
      </c>
      <c r="AA49" s="215">
        <f t="shared" si="14"/>
        <v>195.00266666666667</v>
      </c>
      <c r="AB49" s="210">
        <f t="shared" si="15"/>
        <v>0</v>
      </c>
      <c r="AC49" s="215">
        <f t="shared" si="16"/>
        <v>21.669000000000011</v>
      </c>
      <c r="AD49" s="210">
        <f t="shared" si="17"/>
        <v>19.135000000000002</v>
      </c>
    </row>
    <row r="50" spans="1:30">
      <c r="A50" s="146" t="s">
        <v>118</v>
      </c>
      <c r="B50" s="243" t="s">
        <v>277</v>
      </c>
      <c r="C50" s="149">
        <v>-737</v>
      </c>
      <c r="D50" s="149">
        <v>-230</v>
      </c>
      <c r="E50" s="168">
        <v>-36.835999999999999</v>
      </c>
      <c r="F50" s="149">
        <v>1493.998</v>
      </c>
      <c r="G50" s="226">
        <f t="shared" si="11"/>
        <v>28.038859702998703</v>
      </c>
      <c r="H50" s="210">
        <v>22</v>
      </c>
      <c r="I50" s="210">
        <v>0.875</v>
      </c>
      <c r="J50" s="210">
        <v>1</v>
      </c>
      <c r="K50" s="210">
        <v>18</v>
      </c>
      <c r="L50" s="210">
        <f t="shared" si="7"/>
        <v>18</v>
      </c>
      <c r="M50" s="233">
        <v>53.5</v>
      </c>
      <c r="N50" s="237">
        <f t="shared" si="8"/>
        <v>26.215</v>
      </c>
      <c r="O50" s="234">
        <v>3156.92</v>
      </c>
      <c r="P50" s="234">
        <v>350.77</v>
      </c>
      <c r="Q50" s="234">
        <v>7.68</v>
      </c>
      <c r="R50" s="234">
        <v>4129.6099999999997</v>
      </c>
      <c r="S50" s="234">
        <v>364.58</v>
      </c>
      <c r="T50" s="235">
        <v>8.7899999999999991</v>
      </c>
      <c r="U50" s="210">
        <f>51*2</f>
        <v>102</v>
      </c>
      <c r="V50" s="210">
        <v>1.5</v>
      </c>
      <c r="W50" s="214" t="s">
        <v>19</v>
      </c>
      <c r="X50" s="215">
        <f t="shared" si="12"/>
        <v>0</v>
      </c>
      <c r="Y50" s="210">
        <f t="shared" si="13"/>
        <v>-17.797000000000001</v>
      </c>
      <c r="Z50" s="214" t="s">
        <v>20</v>
      </c>
      <c r="AA50" s="215">
        <f t="shared" si="14"/>
        <v>21.666666666666668</v>
      </c>
      <c r="AB50" s="210">
        <f t="shared" si="15"/>
        <v>0</v>
      </c>
      <c r="AC50" s="215">
        <f t="shared" si="16"/>
        <v>21.666666666666668</v>
      </c>
      <c r="AD50" s="210">
        <f t="shared" si="17"/>
        <v>17.797000000000001</v>
      </c>
    </row>
    <row r="51" spans="1:30" s="177" customFormat="1">
      <c r="B51" s="249">
        <v>1</v>
      </c>
      <c r="C51" s="177">
        <f>B51+1</f>
        <v>2</v>
      </c>
      <c r="D51" s="177">
        <f t="shared" ref="D51:AD51" si="18">C51+1</f>
        <v>3</v>
      </c>
      <c r="E51" s="177">
        <f t="shared" si="18"/>
        <v>4</v>
      </c>
      <c r="F51" s="177">
        <f t="shared" si="18"/>
        <v>5</v>
      </c>
      <c r="G51" s="177">
        <f t="shared" si="18"/>
        <v>6</v>
      </c>
      <c r="H51" s="177">
        <f t="shared" si="18"/>
        <v>7</v>
      </c>
      <c r="I51" s="177">
        <f t="shared" si="18"/>
        <v>8</v>
      </c>
      <c r="J51" s="177">
        <f t="shared" si="18"/>
        <v>9</v>
      </c>
      <c r="K51" s="177">
        <f t="shared" si="18"/>
        <v>10</v>
      </c>
      <c r="L51" s="177">
        <f t="shared" si="18"/>
        <v>11</v>
      </c>
      <c r="M51" s="177">
        <f t="shared" si="18"/>
        <v>12</v>
      </c>
      <c r="N51" s="177">
        <f t="shared" si="18"/>
        <v>13</v>
      </c>
      <c r="O51" s="177">
        <f t="shared" si="18"/>
        <v>14</v>
      </c>
      <c r="P51" s="177">
        <f t="shared" si="18"/>
        <v>15</v>
      </c>
      <c r="Q51" s="177">
        <f t="shared" si="18"/>
        <v>16</v>
      </c>
      <c r="R51" s="177">
        <f t="shared" si="18"/>
        <v>17</v>
      </c>
      <c r="S51" s="177">
        <f t="shared" si="18"/>
        <v>18</v>
      </c>
      <c r="T51" s="177">
        <f t="shared" si="18"/>
        <v>19</v>
      </c>
      <c r="U51" s="177">
        <f t="shared" si="18"/>
        <v>20</v>
      </c>
      <c r="V51" s="177">
        <f t="shared" si="18"/>
        <v>21</v>
      </c>
      <c r="W51" s="177">
        <f t="shared" si="18"/>
        <v>22</v>
      </c>
      <c r="X51" s="177">
        <f t="shared" si="18"/>
        <v>23</v>
      </c>
      <c r="Y51" s="177">
        <f t="shared" si="18"/>
        <v>24</v>
      </c>
      <c r="Z51" s="177">
        <f t="shared" si="18"/>
        <v>25</v>
      </c>
      <c r="AA51" s="177">
        <f t="shared" si="18"/>
        <v>26</v>
      </c>
      <c r="AB51" s="177">
        <f t="shared" si="18"/>
        <v>27</v>
      </c>
      <c r="AC51" s="177">
        <f t="shared" si="18"/>
        <v>28</v>
      </c>
      <c r="AD51" s="177">
        <f t="shared" si="18"/>
        <v>29</v>
      </c>
    </row>
  </sheetData>
  <sortState ref="A2:AB50">
    <sortCondition ref="A2:A50"/>
    <sortCondition descending="1" ref="G2:G50"/>
  </sortState>
  <conditionalFormatting sqref="C26:C50">
    <cfRule type="cellIs" dxfId="31" priority="3" operator="equal">
      <formula>$Y$38</formula>
    </cfRule>
    <cfRule type="cellIs" dxfId="30" priority="4" operator="equal">
      <formula>$Y$37</formula>
    </cfRule>
  </conditionalFormatting>
  <conditionalFormatting sqref="C2:C25">
    <cfRule type="cellIs" dxfId="29" priority="17" operator="equal">
      <formula>$N$37</formula>
    </cfRule>
    <cfRule type="cellIs" dxfId="28" priority="18" operator="equal">
      <formula>$N$36</formula>
    </cfRule>
  </conditionalFormatting>
  <conditionalFormatting sqref="D2:D25">
    <cfRule type="cellIs" dxfId="27" priority="19" operator="equal">
      <formula>$O$37</formula>
    </cfRule>
    <cfRule type="cellIs" dxfId="26" priority="20" operator="equal">
      <formula>$O$36</formula>
    </cfRule>
  </conditionalFormatting>
  <conditionalFormatting sqref="E2:E25">
    <cfRule type="cellIs" dxfId="25" priority="21" operator="equal">
      <formula>$P$37</formula>
    </cfRule>
    <cfRule type="cellIs" dxfId="24" priority="22" operator="equal">
      <formula>$P$36</formula>
    </cfRule>
  </conditionalFormatting>
  <conditionalFormatting sqref="F2:F25">
    <cfRule type="cellIs" dxfId="23" priority="23" operator="equal">
      <formula>$Q$37</formula>
    </cfRule>
    <cfRule type="cellIs" dxfId="22" priority="24" operator="equal">
      <formula>$Q$36</formula>
    </cfRule>
  </conditionalFormatting>
  <conditionalFormatting sqref="D26:D50">
    <cfRule type="cellIs" dxfId="21" priority="27" operator="equal">
      <formula>#REF!</formula>
    </cfRule>
    <cfRule type="cellIs" dxfId="20" priority="28" operator="equal">
      <formula>#REF!</formula>
    </cfRule>
  </conditionalFormatting>
  <conditionalFormatting sqref="E26:E50">
    <cfRule type="cellIs" dxfId="19" priority="31" operator="equal">
      <formula>$AA$38</formula>
    </cfRule>
    <cfRule type="cellIs" dxfId="18" priority="32" operator="equal">
      <formula>$AA$37</formula>
    </cfRule>
  </conditionalFormatting>
  <conditionalFormatting sqref="F26:F50">
    <cfRule type="cellIs" dxfId="17" priority="33" operator="equal">
      <formula>$AB$38</formula>
    </cfRule>
    <cfRule type="cellIs" dxfId="16" priority="34" operator="equal">
      <formula>$AB$37</formula>
    </cfRule>
  </conditionalFormatting>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AE51"/>
  <sheetViews>
    <sheetView workbookViewId="0">
      <selection activeCell="F2" sqref="F2"/>
    </sheetView>
  </sheetViews>
  <sheetFormatPr defaultRowHeight="15"/>
  <cols>
    <col min="1" max="20" width="9.140625" style="208"/>
    <col min="21" max="28" width="9.140625" style="207"/>
    <col min="29" max="16384" width="9.140625" style="208"/>
  </cols>
  <sheetData>
    <row r="1" spans="1:31">
      <c r="A1" s="143" t="s">
        <v>65</v>
      </c>
      <c r="B1" s="124" t="s">
        <v>40</v>
      </c>
      <c r="C1" s="121" t="s">
        <v>61</v>
      </c>
      <c r="D1" s="121" t="s">
        <v>62</v>
      </c>
      <c r="E1" s="121" t="s">
        <v>63</v>
      </c>
      <c r="F1" s="121" t="s">
        <v>171</v>
      </c>
      <c r="G1" s="224" t="s">
        <v>212</v>
      </c>
      <c r="H1" s="123" t="s">
        <v>213</v>
      </c>
      <c r="I1" s="121" t="s">
        <v>214</v>
      </c>
      <c r="J1" s="121" t="s">
        <v>215</v>
      </c>
      <c r="K1" s="121" t="s">
        <v>216</v>
      </c>
      <c r="L1" s="228" t="s">
        <v>164</v>
      </c>
      <c r="M1" s="121" t="s">
        <v>217</v>
      </c>
      <c r="N1" s="121" t="s">
        <v>218</v>
      </c>
      <c r="O1" s="230" t="s">
        <v>128</v>
      </c>
      <c r="P1" s="230" t="s">
        <v>219</v>
      </c>
      <c r="Q1" s="230" t="s">
        <v>220</v>
      </c>
      <c r="R1" s="230" t="s">
        <v>127</v>
      </c>
      <c r="S1" s="230" t="s">
        <v>221</v>
      </c>
      <c r="T1" s="230" t="s">
        <v>222</v>
      </c>
      <c r="U1" s="229" t="s">
        <v>167</v>
      </c>
      <c r="V1" s="205" t="s">
        <v>225</v>
      </c>
      <c r="W1" s="205" t="s">
        <v>226</v>
      </c>
      <c r="X1" s="205" t="s">
        <v>224</v>
      </c>
      <c r="Y1" s="205" t="s">
        <v>225</v>
      </c>
      <c r="Z1" s="205" t="s">
        <v>226</v>
      </c>
      <c r="AA1" s="206" t="s">
        <v>223</v>
      </c>
      <c r="AB1" s="206" t="s">
        <v>228</v>
      </c>
      <c r="AC1" s="219" t="s">
        <v>227</v>
      </c>
      <c r="AD1" s="218" t="s">
        <v>59</v>
      </c>
      <c r="AE1" s="218" t="s">
        <v>60</v>
      </c>
    </row>
    <row r="2" spans="1:31">
      <c r="A2" s="144" t="s">
        <v>66</v>
      </c>
      <c r="B2" s="154" t="s">
        <v>229</v>
      </c>
      <c r="C2" s="163">
        <v>-654.46799999999996</v>
      </c>
      <c r="D2" s="163">
        <v>-372.36399999999998</v>
      </c>
      <c r="E2" s="163">
        <v>-28.283999999999999</v>
      </c>
      <c r="F2" s="163">
        <v>-1145.231</v>
      </c>
      <c r="G2" s="225">
        <f t="shared" ref="G2:G33" si="0">SQRT(AA2^2+AB2^2)</f>
        <v>21.69728565973173</v>
      </c>
      <c r="H2" s="210">
        <v>23</v>
      </c>
      <c r="I2" s="210">
        <v>0.5</v>
      </c>
      <c r="J2" s="210">
        <v>0.5</v>
      </c>
      <c r="K2" s="210">
        <v>30</v>
      </c>
      <c r="L2" s="210">
        <f>K2</f>
        <v>30</v>
      </c>
      <c r="M2" s="231">
        <v>41</v>
      </c>
      <c r="N2" s="236">
        <f>M2*0.49</f>
        <v>20.09</v>
      </c>
      <c r="O2" s="213">
        <v>4643.42</v>
      </c>
      <c r="P2" s="213">
        <v>309.56</v>
      </c>
      <c r="Q2" s="213">
        <v>10.64</v>
      </c>
      <c r="R2" s="213">
        <v>3910.43</v>
      </c>
      <c r="S2" s="213">
        <v>336.12</v>
      </c>
      <c r="T2" s="232">
        <v>9.77</v>
      </c>
      <c r="U2" s="210" t="s">
        <v>10</v>
      </c>
      <c r="V2" s="215">
        <f t="shared" ref="V2:V33" si="1">VLOOKUP(U2,$AC$2:$AE$27,2,FALSE)</f>
        <v>21.666666666666668</v>
      </c>
      <c r="W2" s="210">
        <f t="shared" ref="W2:W33" si="2">VLOOKUP(U2,$AC$2:$AE$27,3,FALSE)</f>
        <v>-16.655999999999999</v>
      </c>
      <c r="X2" s="210" t="s">
        <v>12</v>
      </c>
      <c r="Y2" s="215">
        <f t="shared" ref="Y2:Y33" si="3">VLOOKUP(X2,$AC$2:$AE$27,2,FALSE)</f>
        <v>43.333666666666673</v>
      </c>
      <c r="Z2" s="210">
        <f t="shared" ref="Z2:Z33" si="4">VLOOKUP(X2,$AC$2:$AE$27,3,FALSE)</f>
        <v>-15.51</v>
      </c>
      <c r="AA2" s="215">
        <f t="shared" ref="AA2:AA33" si="5">(Y2-V2)</f>
        <v>21.667000000000005</v>
      </c>
      <c r="AB2" s="210">
        <f t="shared" ref="AB2:AB33" si="6">(Z2-W2)</f>
        <v>1.145999999999999</v>
      </c>
      <c r="AC2" s="217" t="s">
        <v>104</v>
      </c>
      <c r="AD2" s="221">
        <v>0</v>
      </c>
      <c r="AE2" s="221">
        <v>0</v>
      </c>
    </row>
    <row r="3" spans="1:31">
      <c r="A3" s="145" t="s">
        <v>66</v>
      </c>
      <c r="B3" s="153" t="s">
        <v>230</v>
      </c>
      <c r="C3" s="164">
        <v>-654.46799999999996</v>
      </c>
      <c r="D3" s="164">
        <v>-372.36399999999998</v>
      </c>
      <c r="E3" s="164">
        <v>-28.283999999999999</v>
      </c>
      <c r="F3" s="164">
        <v>-1145.231</v>
      </c>
      <c r="G3" s="225">
        <f t="shared" si="0"/>
        <v>21.696689273814208</v>
      </c>
      <c r="H3" s="210">
        <v>23</v>
      </c>
      <c r="I3" s="210">
        <v>0.5</v>
      </c>
      <c r="J3" s="210">
        <v>0.5</v>
      </c>
      <c r="K3" s="210">
        <v>30</v>
      </c>
      <c r="L3" s="210">
        <f t="shared" ref="L3:L50" si="7">K3</f>
        <v>30</v>
      </c>
      <c r="M3" s="231">
        <v>41</v>
      </c>
      <c r="N3" s="236">
        <f t="shared" ref="N3:N50" si="8">M3*0.49</f>
        <v>20.09</v>
      </c>
      <c r="O3" s="213">
        <v>4643.42</v>
      </c>
      <c r="P3" s="213">
        <v>309.56</v>
      </c>
      <c r="Q3" s="213">
        <v>10.64</v>
      </c>
      <c r="R3" s="213">
        <v>3910.43</v>
      </c>
      <c r="S3" s="213">
        <v>336.12</v>
      </c>
      <c r="T3" s="232">
        <v>9.77</v>
      </c>
      <c r="U3" s="210" t="s">
        <v>19</v>
      </c>
      <c r="V3" s="210">
        <f t="shared" si="1"/>
        <v>0</v>
      </c>
      <c r="W3" s="210">
        <f t="shared" si="2"/>
        <v>-17.797000000000001</v>
      </c>
      <c r="X3" s="210" t="s">
        <v>10</v>
      </c>
      <c r="Y3" s="215">
        <f t="shared" si="3"/>
        <v>21.666666666666668</v>
      </c>
      <c r="Z3" s="210">
        <f t="shared" si="4"/>
        <v>-16.655999999999999</v>
      </c>
      <c r="AA3" s="215">
        <f t="shared" si="5"/>
        <v>21.666666666666668</v>
      </c>
      <c r="AB3" s="210">
        <f t="shared" si="6"/>
        <v>1.1410000000000018</v>
      </c>
      <c r="AC3" s="217" t="s">
        <v>20</v>
      </c>
      <c r="AD3" s="216">
        <v>21.666666666666668</v>
      </c>
      <c r="AE3" s="220">
        <v>0</v>
      </c>
    </row>
    <row r="4" spans="1:31">
      <c r="A4" s="145" t="s">
        <v>119</v>
      </c>
      <c r="B4" s="153" t="s">
        <v>231</v>
      </c>
      <c r="C4" s="151">
        <v>479.86599999999999</v>
      </c>
      <c r="D4" s="151">
        <v>274.39100000000002</v>
      </c>
      <c r="E4" s="167">
        <v>20.829000000000001</v>
      </c>
      <c r="F4" s="151">
        <v>841.05700000000002</v>
      </c>
      <c r="G4" s="225">
        <f t="shared" si="0"/>
        <v>27.013562852759726</v>
      </c>
      <c r="H4" s="210">
        <v>22.5</v>
      </c>
      <c r="I4" s="210">
        <v>0.625</v>
      </c>
      <c r="J4" s="210">
        <v>0.75</v>
      </c>
      <c r="K4" s="210">
        <v>18</v>
      </c>
      <c r="L4" s="210">
        <f t="shared" si="7"/>
        <v>18</v>
      </c>
      <c r="M4" s="231">
        <v>40.130000000000003</v>
      </c>
      <c r="N4" s="236">
        <f t="shared" si="8"/>
        <v>19.663700000000002</v>
      </c>
      <c r="O4" s="213">
        <v>1720.1</v>
      </c>
      <c r="P4" s="213">
        <v>191.11</v>
      </c>
      <c r="Q4" s="213">
        <v>6.55</v>
      </c>
      <c r="R4" s="213">
        <v>3319.99</v>
      </c>
      <c r="S4" s="213">
        <v>288.81</v>
      </c>
      <c r="T4" s="232">
        <v>9.1</v>
      </c>
      <c r="U4" s="214" t="s">
        <v>24</v>
      </c>
      <c r="V4" s="215">
        <f t="shared" si="1"/>
        <v>21.666666666666668</v>
      </c>
      <c r="W4" s="210">
        <f t="shared" si="2"/>
        <v>0</v>
      </c>
      <c r="X4" s="214" t="s">
        <v>16</v>
      </c>
      <c r="Y4" s="215">
        <f t="shared" si="3"/>
        <v>43.333666666666673</v>
      </c>
      <c r="Z4" s="210">
        <f t="shared" si="4"/>
        <v>-16.132999999999999</v>
      </c>
      <c r="AA4" s="215">
        <f t="shared" si="5"/>
        <v>21.667000000000005</v>
      </c>
      <c r="AB4" s="210">
        <f t="shared" si="6"/>
        <v>-16.132999999999999</v>
      </c>
      <c r="AC4" s="217" t="s">
        <v>21</v>
      </c>
      <c r="AD4" s="222">
        <v>43.333666666666673</v>
      </c>
      <c r="AE4" s="221">
        <v>0</v>
      </c>
    </row>
    <row r="5" spans="1:31">
      <c r="A5" s="145" t="s">
        <v>119</v>
      </c>
      <c r="B5" s="153" t="s">
        <v>232</v>
      </c>
      <c r="C5" s="151">
        <v>-702.66300000000001</v>
      </c>
      <c r="D5" s="151">
        <v>-400.23200000000003</v>
      </c>
      <c r="E5" s="167">
        <v>-30.382000000000001</v>
      </c>
      <c r="F5" s="151">
        <v>-1233.0119999999999</v>
      </c>
      <c r="G5" s="225">
        <f t="shared" si="0"/>
        <v>27.013562852759726</v>
      </c>
      <c r="H5" s="210">
        <v>22.5</v>
      </c>
      <c r="I5" s="210">
        <v>0.625</v>
      </c>
      <c r="J5" s="210">
        <v>0.75</v>
      </c>
      <c r="K5" s="210">
        <v>18</v>
      </c>
      <c r="L5" s="210">
        <f t="shared" si="7"/>
        <v>18</v>
      </c>
      <c r="M5" s="231">
        <v>40.130000000000003</v>
      </c>
      <c r="N5" s="236">
        <f t="shared" si="8"/>
        <v>19.663700000000002</v>
      </c>
      <c r="O5" s="213">
        <v>1720.1</v>
      </c>
      <c r="P5" s="213">
        <v>191.11</v>
      </c>
      <c r="Q5" s="213">
        <v>6.55</v>
      </c>
      <c r="R5" s="213">
        <v>3319.99</v>
      </c>
      <c r="S5" s="213">
        <v>288.81</v>
      </c>
      <c r="T5" s="232">
        <v>9.1</v>
      </c>
      <c r="U5" s="214" t="s">
        <v>16</v>
      </c>
      <c r="V5" s="215">
        <f t="shared" si="1"/>
        <v>43.333666666666673</v>
      </c>
      <c r="W5" s="210">
        <f t="shared" si="2"/>
        <v>-16.132999999999999</v>
      </c>
      <c r="X5" s="214" t="s">
        <v>26</v>
      </c>
      <c r="Y5" s="215">
        <f t="shared" si="3"/>
        <v>21.666666666666668</v>
      </c>
      <c r="Z5" s="210">
        <f t="shared" si="4"/>
        <v>0</v>
      </c>
      <c r="AA5" s="215">
        <f t="shared" si="5"/>
        <v>-21.667000000000005</v>
      </c>
      <c r="AB5" s="210">
        <f t="shared" si="6"/>
        <v>16.132999999999999</v>
      </c>
      <c r="AC5" s="217" t="s">
        <v>22</v>
      </c>
      <c r="AD5" s="216">
        <v>21.666666666666668</v>
      </c>
      <c r="AE5" s="220">
        <v>0</v>
      </c>
    </row>
    <row r="6" spans="1:31">
      <c r="A6" s="145" t="s">
        <v>119</v>
      </c>
      <c r="B6" s="153" t="s">
        <v>233</v>
      </c>
      <c r="C6" s="151">
        <v>-656.94600000000003</v>
      </c>
      <c r="D6" s="151">
        <v>-373.79899999999998</v>
      </c>
      <c r="E6" s="167">
        <v>-28.355</v>
      </c>
      <c r="F6" s="151">
        <v>-1155.1990000000001</v>
      </c>
      <c r="G6" s="225">
        <f t="shared" si="0"/>
        <v>26.6461815088016</v>
      </c>
      <c r="H6" s="210">
        <v>22.5</v>
      </c>
      <c r="I6" s="210">
        <v>0.625</v>
      </c>
      <c r="J6" s="210">
        <v>0.75</v>
      </c>
      <c r="K6" s="210">
        <v>18</v>
      </c>
      <c r="L6" s="210">
        <f t="shared" si="7"/>
        <v>18</v>
      </c>
      <c r="M6" s="231">
        <v>40.130000000000003</v>
      </c>
      <c r="N6" s="236">
        <f t="shared" si="8"/>
        <v>19.663700000000002</v>
      </c>
      <c r="O6" s="213">
        <v>1720.1</v>
      </c>
      <c r="P6" s="213">
        <v>191.11</v>
      </c>
      <c r="Q6" s="213">
        <v>6.55</v>
      </c>
      <c r="R6" s="213">
        <v>3319.99</v>
      </c>
      <c r="S6" s="213">
        <v>288.81</v>
      </c>
      <c r="T6" s="232">
        <v>9.1</v>
      </c>
      <c r="U6" s="210" t="s">
        <v>20</v>
      </c>
      <c r="V6" s="215">
        <f t="shared" si="1"/>
        <v>21.666666666666668</v>
      </c>
      <c r="W6" s="210">
        <f t="shared" si="2"/>
        <v>0</v>
      </c>
      <c r="X6" s="210" t="s">
        <v>12</v>
      </c>
      <c r="Y6" s="215">
        <f t="shared" si="3"/>
        <v>43.333666666666673</v>
      </c>
      <c r="Z6" s="210">
        <f t="shared" si="4"/>
        <v>-15.51</v>
      </c>
      <c r="AA6" s="215">
        <f t="shared" si="5"/>
        <v>21.667000000000005</v>
      </c>
      <c r="AB6" s="210">
        <f t="shared" si="6"/>
        <v>-15.51</v>
      </c>
      <c r="AC6" s="217" t="s">
        <v>23</v>
      </c>
      <c r="AD6" s="222">
        <v>43.333666666666673</v>
      </c>
      <c r="AE6" s="221">
        <v>0</v>
      </c>
    </row>
    <row r="7" spans="1:31">
      <c r="A7" s="145" t="s">
        <v>119</v>
      </c>
      <c r="B7" s="153" t="s">
        <v>234</v>
      </c>
      <c r="C7" s="151">
        <v>397.495</v>
      </c>
      <c r="D7" s="151">
        <v>226.85900000000001</v>
      </c>
      <c r="E7" s="167">
        <v>17.228000000000002</v>
      </c>
      <c r="F7" s="151">
        <v>702.423</v>
      </c>
      <c r="G7" s="225">
        <f t="shared" si="0"/>
        <v>26.6461815088016</v>
      </c>
      <c r="H7" s="210">
        <v>22.5</v>
      </c>
      <c r="I7" s="210">
        <v>0.625</v>
      </c>
      <c r="J7" s="210">
        <v>0.75</v>
      </c>
      <c r="K7" s="210">
        <v>18</v>
      </c>
      <c r="L7" s="210">
        <f t="shared" si="7"/>
        <v>18</v>
      </c>
      <c r="M7" s="231">
        <v>40.130000000000003</v>
      </c>
      <c r="N7" s="236">
        <f t="shared" si="8"/>
        <v>19.663700000000002</v>
      </c>
      <c r="O7" s="213">
        <v>1720.1</v>
      </c>
      <c r="P7" s="213">
        <v>191.11</v>
      </c>
      <c r="Q7" s="213">
        <v>6.55</v>
      </c>
      <c r="R7" s="213">
        <v>3319.99</v>
      </c>
      <c r="S7" s="213">
        <v>288.81</v>
      </c>
      <c r="T7" s="232">
        <v>9.1</v>
      </c>
      <c r="U7" s="214" t="s">
        <v>12</v>
      </c>
      <c r="V7" s="215">
        <f t="shared" si="1"/>
        <v>43.333666666666673</v>
      </c>
      <c r="W7" s="210">
        <f t="shared" si="2"/>
        <v>-15.51</v>
      </c>
      <c r="X7" s="214" t="s">
        <v>22</v>
      </c>
      <c r="Y7" s="215">
        <f t="shared" si="3"/>
        <v>21.666666666666668</v>
      </c>
      <c r="Z7" s="210">
        <f t="shared" si="4"/>
        <v>0</v>
      </c>
      <c r="AA7" s="215">
        <f t="shared" si="5"/>
        <v>-21.667000000000005</v>
      </c>
      <c r="AB7" s="210">
        <f t="shared" si="6"/>
        <v>15.51</v>
      </c>
      <c r="AC7" s="217" t="s">
        <v>24</v>
      </c>
      <c r="AD7" s="216">
        <v>21.666666666666668</v>
      </c>
      <c r="AE7" s="220">
        <v>0</v>
      </c>
    </row>
    <row r="8" spans="1:31">
      <c r="A8" s="145" t="s">
        <v>120</v>
      </c>
      <c r="B8" s="153" t="s">
        <v>235</v>
      </c>
      <c r="C8" s="151">
        <v>-113.321</v>
      </c>
      <c r="D8" s="151">
        <v>-64.11</v>
      </c>
      <c r="E8" s="167">
        <v>-4.867</v>
      </c>
      <c r="F8" s="151">
        <v>-202.05600000000001</v>
      </c>
      <c r="G8" s="225">
        <f t="shared" si="0"/>
        <v>26.334954907878622</v>
      </c>
      <c r="H8" s="210">
        <v>23.25</v>
      </c>
      <c r="I8" s="210">
        <v>0.375</v>
      </c>
      <c r="J8" s="210">
        <v>0.375</v>
      </c>
      <c r="K8" s="210">
        <v>18</v>
      </c>
      <c r="L8" s="210">
        <f t="shared" si="7"/>
        <v>18</v>
      </c>
      <c r="M8" s="231">
        <v>21.94</v>
      </c>
      <c r="N8" s="236">
        <f t="shared" si="8"/>
        <v>10.7506</v>
      </c>
      <c r="O8" s="213">
        <v>1019.86</v>
      </c>
      <c r="P8" s="213">
        <v>113.32</v>
      </c>
      <c r="Q8" s="213">
        <v>6.82</v>
      </c>
      <c r="R8" s="213">
        <v>1855.9</v>
      </c>
      <c r="S8" s="213">
        <v>157.69</v>
      </c>
      <c r="T8" s="232">
        <v>9.1999999999999993</v>
      </c>
      <c r="U8" s="214" t="s">
        <v>22</v>
      </c>
      <c r="V8" s="215">
        <f t="shared" si="1"/>
        <v>21.666666666666668</v>
      </c>
      <c r="W8" s="210">
        <f t="shared" si="2"/>
        <v>0</v>
      </c>
      <c r="X8" s="214" t="s">
        <v>14</v>
      </c>
      <c r="Y8" s="215">
        <f t="shared" si="3"/>
        <v>43.333666666666673</v>
      </c>
      <c r="Z8" s="210">
        <f t="shared" si="4"/>
        <v>-14.968999999999999</v>
      </c>
      <c r="AA8" s="215">
        <f t="shared" si="5"/>
        <v>21.667000000000005</v>
      </c>
      <c r="AB8" s="210">
        <f t="shared" si="6"/>
        <v>-14.968999999999999</v>
      </c>
      <c r="AC8" s="217" t="s">
        <v>25</v>
      </c>
      <c r="AD8" s="222">
        <v>43.333666666666673</v>
      </c>
      <c r="AE8" s="221">
        <v>0</v>
      </c>
    </row>
    <row r="9" spans="1:31">
      <c r="A9" s="145" t="s">
        <v>120</v>
      </c>
      <c r="B9" s="153" t="s">
        <v>236</v>
      </c>
      <c r="C9" s="151">
        <v>-216.37700000000001</v>
      </c>
      <c r="D9" s="151">
        <v>-123.473</v>
      </c>
      <c r="E9" s="167">
        <v>-9.3719999999999999</v>
      </c>
      <c r="F9" s="151">
        <v>-378.42500000000001</v>
      </c>
      <c r="G9" s="225">
        <f t="shared" si="0"/>
        <v>26.334954907878622</v>
      </c>
      <c r="H9" s="210">
        <v>23.25</v>
      </c>
      <c r="I9" s="210">
        <v>0.375</v>
      </c>
      <c r="J9" s="210">
        <v>0.375</v>
      </c>
      <c r="K9" s="210">
        <v>18</v>
      </c>
      <c r="L9" s="210">
        <f t="shared" si="7"/>
        <v>18</v>
      </c>
      <c r="M9" s="231">
        <v>21.94</v>
      </c>
      <c r="N9" s="236">
        <f t="shared" si="8"/>
        <v>10.7506</v>
      </c>
      <c r="O9" s="213">
        <v>1019.86</v>
      </c>
      <c r="P9" s="213">
        <v>113.32</v>
      </c>
      <c r="Q9" s="213">
        <v>6.82</v>
      </c>
      <c r="R9" s="213">
        <v>1855.9</v>
      </c>
      <c r="S9" s="213">
        <v>157.69</v>
      </c>
      <c r="T9" s="232">
        <v>9.1999999999999993</v>
      </c>
      <c r="U9" s="214" t="s">
        <v>14</v>
      </c>
      <c r="V9" s="215">
        <f t="shared" si="1"/>
        <v>43.333666666666673</v>
      </c>
      <c r="W9" s="210">
        <f t="shared" si="2"/>
        <v>-14.968999999999999</v>
      </c>
      <c r="X9" s="214" t="s">
        <v>24</v>
      </c>
      <c r="Y9" s="215">
        <f t="shared" si="3"/>
        <v>21.666666666666668</v>
      </c>
      <c r="Z9" s="210">
        <f t="shared" si="4"/>
        <v>0</v>
      </c>
      <c r="AA9" s="215">
        <f t="shared" si="5"/>
        <v>-21.667000000000005</v>
      </c>
      <c r="AB9" s="210">
        <f t="shared" si="6"/>
        <v>14.968999999999999</v>
      </c>
      <c r="AC9" s="217" t="s">
        <v>26</v>
      </c>
      <c r="AD9" s="216">
        <v>21.666666666666668</v>
      </c>
      <c r="AE9" s="220">
        <v>0</v>
      </c>
    </row>
    <row r="10" spans="1:31">
      <c r="A10" s="145" t="s">
        <v>123</v>
      </c>
      <c r="B10" s="153" t="s">
        <v>237</v>
      </c>
      <c r="C10" s="151">
        <v>995.1</v>
      </c>
      <c r="D10" s="151">
        <v>558.85299999999995</v>
      </c>
      <c r="E10" s="167">
        <v>42.593000000000004</v>
      </c>
      <c r="F10" s="151">
        <v>1759.8109999999999</v>
      </c>
      <c r="G10" s="225">
        <f t="shared" si="0"/>
        <v>37.306779397315985</v>
      </c>
      <c r="H10" s="210">
        <v>21.5</v>
      </c>
      <c r="I10" s="210">
        <v>1</v>
      </c>
      <c r="J10" s="210">
        <v>1.25</v>
      </c>
      <c r="K10" s="210">
        <v>18</v>
      </c>
      <c r="L10" s="210">
        <f t="shared" si="7"/>
        <v>18</v>
      </c>
      <c r="M10" s="231">
        <v>64</v>
      </c>
      <c r="N10" s="236">
        <f t="shared" si="8"/>
        <v>31.36</v>
      </c>
      <c r="O10" s="213">
        <v>2589.33</v>
      </c>
      <c r="P10" s="213">
        <v>287.7</v>
      </c>
      <c r="Q10" s="213">
        <v>6.36</v>
      </c>
      <c r="R10" s="213">
        <v>4782.83</v>
      </c>
      <c r="S10" s="213">
        <v>430.07</v>
      </c>
      <c r="T10" s="232">
        <v>8.64</v>
      </c>
      <c r="U10" s="214" t="s">
        <v>107</v>
      </c>
      <c r="V10" s="215">
        <f t="shared" si="1"/>
        <v>21.666666666666668</v>
      </c>
      <c r="W10" s="210">
        <f t="shared" si="2"/>
        <v>0</v>
      </c>
      <c r="X10" s="214" t="s">
        <v>44</v>
      </c>
      <c r="Y10" s="215">
        <f t="shared" si="3"/>
        <v>43.333666666666673</v>
      </c>
      <c r="Z10" s="210">
        <f t="shared" si="4"/>
        <v>-30.37</v>
      </c>
      <c r="AA10" s="215">
        <f t="shared" si="5"/>
        <v>21.667000000000005</v>
      </c>
      <c r="AB10" s="210">
        <f t="shared" si="6"/>
        <v>-30.37</v>
      </c>
      <c r="AC10" s="217" t="s">
        <v>27</v>
      </c>
      <c r="AD10" s="222">
        <v>43.333666666666673</v>
      </c>
      <c r="AE10" s="221">
        <v>0</v>
      </c>
    </row>
    <row r="11" spans="1:31">
      <c r="A11" s="145" t="s">
        <v>123</v>
      </c>
      <c r="B11" s="153" t="s">
        <v>238</v>
      </c>
      <c r="C11" s="151">
        <v>1014.721</v>
      </c>
      <c r="D11" s="151">
        <v>574.62099999999998</v>
      </c>
      <c r="E11" s="167">
        <v>43.637</v>
      </c>
      <c r="F11" s="151">
        <v>1778.614</v>
      </c>
      <c r="G11" s="225">
        <f t="shared" si="0"/>
        <v>32.229036132034736</v>
      </c>
      <c r="H11" s="210">
        <v>21.5</v>
      </c>
      <c r="I11" s="210">
        <v>1</v>
      </c>
      <c r="J11" s="210">
        <v>1.25</v>
      </c>
      <c r="K11" s="210">
        <v>18</v>
      </c>
      <c r="L11" s="210">
        <f t="shared" si="7"/>
        <v>18</v>
      </c>
      <c r="M11" s="231">
        <v>64</v>
      </c>
      <c r="N11" s="236">
        <f t="shared" si="8"/>
        <v>31.36</v>
      </c>
      <c r="O11" s="213">
        <v>2589.33</v>
      </c>
      <c r="P11" s="213">
        <v>287.7</v>
      </c>
      <c r="Q11" s="213">
        <v>6.36</v>
      </c>
      <c r="R11" s="213">
        <v>4782.83</v>
      </c>
      <c r="S11" s="213">
        <v>430.07</v>
      </c>
      <c r="T11" s="232">
        <v>8.64</v>
      </c>
      <c r="U11" s="214" t="s">
        <v>105</v>
      </c>
      <c r="V11" s="215">
        <f t="shared" si="1"/>
        <v>21.666666666666668</v>
      </c>
      <c r="W11" s="210">
        <f t="shared" si="2"/>
        <v>0</v>
      </c>
      <c r="X11" s="214" t="s">
        <v>42</v>
      </c>
      <c r="Y11" s="215">
        <f t="shared" si="3"/>
        <v>43.333666666666673</v>
      </c>
      <c r="Z11" s="210">
        <f t="shared" si="4"/>
        <v>-23.859000000000002</v>
      </c>
      <c r="AA11" s="215">
        <f t="shared" si="5"/>
        <v>21.667000000000005</v>
      </c>
      <c r="AB11" s="210">
        <f t="shared" si="6"/>
        <v>-23.859000000000002</v>
      </c>
      <c r="AC11" s="217" t="s">
        <v>105</v>
      </c>
      <c r="AD11" s="216">
        <v>21.666666666666668</v>
      </c>
      <c r="AE11" s="220">
        <v>0</v>
      </c>
    </row>
    <row r="12" spans="1:31">
      <c r="A12" s="145" t="s">
        <v>124</v>
      </c>
      <c r="B12" s="231" t="s">
        <v>239</v>
      </c>
      <c r="C12" s="151">
        <v>170.09200000000001</v>
      </c>
      <c r="D12" s="151">
        <v>95.611000000000004</v>
      </c>
      <c r="E12" s="167">
        <v>10.234</v>
      </c>
      <c r="F12" s="151">
        <v>304.904</v>
      </c>
      <c r="G12" s="225">
        <f t="shared" si="0"/>
        <v>30.37</v>
      </c>
      <c r="H12" s="210">
        <v>23.25</v>
      </c>
      <c r="I12" s="210">
        <v>0.625</v>
      </c>
      <c r="J12" s="210">
        <v>0.375</v>
      </c>
      <c r="K12" s="210">
        <v>18</v>
      </c>
      <c r="L12" s="210">
        <f t="shared" si="7"/>
        <v>18</v>
      </c>
      <c r="M12" s="231">
        <v>27.56</v>
      </c>
      <c r="N12" s="236">
        <f t="shared" si="8"/>
        <v>13.504399999999999</v>
      </c>
      <c r="O12" s="213">
        <v>1426.29</v>
      </c>
      <c r="P12" s="213">
        <v>158.47999999999999</v>
      </c>
      <c r="Q12" s="213">
        <v>7.19</v>
      </c>
      <c r="R12" s="213">
        <v>1915.46</v>
      </c>
      <c r="S12" s="213">
        <v>162.1</v>
      </c>
      <c r="T12" s="232">
        <v>8.34</v>
      </c>
      <c r="U12" s="214" t="s">
        <v>108</v>
      </c>
      <c r="V12" s="215">
        <f t="shared" si="1"/>
        <v>43.333666666666673</v>
      </c>
      <c r="W12" s="210">
        <f t="shared" si="2"/>
        <v>0</v>
      </c>
      <c r="X12" s="214" t="s">
        <v>44</v>
      </c>
      <c r="Y12" s="215">
        <f t="shared" si="3"/>
        <v>43.333666666666673</v>
      </c>
      <c r="Z12" s="210">
        <f t="shared" si="4"/>
        <v>-30.37</v>
      </c>
      <c r="AA12" s="215">
        <f t="shared" si="5"/>
        <v>0</v>
      </c>
      <c r="AB12" s="210">
        <f t="shared" si="6"/>
        <v>-30.37</v>
      </c>
      <c r="AC12" s="217" t="s">
        <v>106</v>
      </c>
      <c r="AD12" s="222">
        <v>43.333666666666673</v>
      </c>
      <c r="AE12" s="221">
        <v>0</v>
      </c>
    </row>
    <row r="13" spans="1:31">
      <c r="A13" s="145" t="s">
        <v>124</v>
      </c>
      <c r="B13" s="153" t="s">
        <v>240</v>
      </c>
      <c r="C13" s="151">
        <v>-7.4729999999999999</v>
      </c>
      <c r="D13" s="151">
        <v>-7.0000000000000001E-3</v>
      </c>
      <c r="E13" s="167">
        <v>-1E-3</v>
      </c>
      <c r="F13" s="151">
        <v>-22.242000000000001</v>
      </c>
      <c r="G13" s="225">
        <f t="shared" si="0"/>
        <v>27.119</v>
      </c>
      <c r="H13" s="210">
        <v>23.25</v>
      </c>
      <c r="I13" s="210">
        <v>0.625</v>
      </c>
      <c r="J13" s="210">
        <v>0.375</v>
      </c>
      <c r="K13" s="210">
        <v>18</v>
      </c>
      <c r="L13" s="210">
        <f t="shared" si="7"/>
        <v>18</v>
      </c>
      <c r="M13" s="231">
        <v>27.56</v>
      </c>
      <c r="N13" s="236">
        <f t="shared" si="8"/>
        <v>13.504399999999999</v>
      </c>
      <c r="O13" s="213">
        <v>1426.29</v>
      </c>
      <c r="P13" s="213">
        <v>158.47999999999999</v>
      </c>
      <c r="Q13" s="213">
        <v>7.19</v>
      </c>
      <c r="R13" s="213">
        <v>1915.46</v>
      </c>
      <c r="S13" s="213">
        <v>162.1</v>
      </c>
      <c r="T13" s="232">
        <v>8.34</v>
      </c>
      <c r="U13" s="214" t="s">
        <v>107</v>
      </c>
      <c r="V13" s="215">
        <f t="shared" si="1"/>
        <v>21.666666666666668</v>
      </c>
      <c r="W13" s="210">
        <f t="shared" si="2"/>
        <v>0</v>
      </c>
      <c r="X13" s="214" t="s">
        <v>43</v>
      </c>
      <c r="Y13" s="215">
        <f t="shared" si="3"/>
        <v>21.666666666666668</v>
      </c>
      <c r="Z13" s="210">
        <f t="shared" si="4"/>
        <v>-27.119</v>
      </c>
      <c r="AA13" s="215">
        <f t="shared" si="5"/>
        <v>0</v>
      </c>
      <c r="AB13" s="210">
        <f t="shared" si="6"/>
        <v>-27.119</v>
      </c>
      <c r="AC13" s="217" t="s">
        <v>107</v>
      </c>
      <c r="AD13" s="216">
        <v>21.666666666666668</v>
      </c>
      <c r="AE13" s="220">
        <v>0</v>
      </c>
    </row>
    <row r="14" spans="1:31">
      <c r="A14" s="145" t="s">
        <v>124</v>
      </c>
      <c r="B14" s="153" t="s">
        <v>241</v>
      </c>
      <c r="C14" s="151">
        <v>136.185</v>
      </c>
      <c r="D14" s="151">
        <v>81.448999999999998</v>
      </c>
      <c r="E14" s="167">
        <v>6.12</v>
      </c>
      <c r="F14" s="151">
        <v>231.697</v>
      </c>
      <c r="G14" s="225">
        <f t="shared" si="0"/>
        <v>23.859000000000002</v>
      </c>
      <c r="H14" s="210">
        <v>23.25</v>
      </c>
      <c r="I14" s="210">
        <v>0.625</v>
      </c>
      <c r="J14" s="210">
        <v>0.375</v>
      </c>
      <c r="K14" s="210">
        <v>18</v>
      </c>
      <c r="L14" s="210">
        <f t="shared" si="7"/>
        <v>18</v>
      </c>
      <c r="M14" s="231">
        <v>27.56</v>
      </c>
      <c r="N14" s="236">
        <f t="shared" si="8"/>
        <v>13.504399999999999</v>
      </c>
      <c r="O14" s="213">
        <v>1426.29</v>
      </c>
      <c r="P14" s="213">
        <v>158.47999999999999</v>
      </c>
      <c r="Q14" s="213">
        <v>7.19</v>
      </c>
      <c r="R14" s="213">
        <v>1915.46</v>
      </c>
      <c r="S14" s="213">
        <v>162.1</v>
      </c>
      <c r="T14" s="232">
        <v>8.34</v>
      </c>
      <c r="U14" s="214" t="s">
        <v>106</v>
      </c>
      <c r="V14" s="215">
        <f t="shared" si="1"/>
        <v>43.333666666666673</v>
      </c>
      <c r="W14" s="210">
        <f t="shared" si="2"/>
        <v>0</v>
      </c>
      <c r="X14" s="214" t="s">
        <v>42</v>
      </c>
      <c r="Y14" s="215">
        <f t="shared" si="3"/>
        <v>43.333666666666673</v>
      </c>
      <c r="Z14" s="210">
        <f t="shared" si="4"/>
        <v>-23.859000000000002</v>
      </c>
      <c r="AA14" s="215">
        <f t="shared" si="5"/>
        <v>0</v>
      </c>
      <c r="AB14" s="210">
        <f t="shared" si="6"/>
        <v>-23.859000000000002</v>
      </c>
      <c r="AC14" s="217" t="s">
        <v>108</v>
      </c>
      <c r="AD14" s="222">
        <v>43.333666666666673</v>
      </c>
      <c r="AE14" s="221">
        <v>0</v>
      </c>
    </row>
    <row r="15" spans="1:31">
      <c r="A15" s="145" t="s">
        <v>124</v>
      </c>
      <c r="B15" s="153" t="s">
        <v>242</v>
      </c>
      <c r="C15" s="151">
        <v>133.387</v>
      </c>
      <c r="D15" s="151">
        <v>80.41</v>
      </c>
      <c r="E15" s="167">
        <v>6.1020000000000003</v>
      </c>
      <c r="F15" s="151">
        <v>224.489</v>
      </c>
      <c r="G15" s="225">
        <f t="shared" si="0"/>
        <v>19.135000000000002</v>
      </c>
      <c r="H15" s="210">
        <v>23.25</v>
      </c>
      <c r="I15" s="210">
        <v>0.625</v>
      </c>
      <c r="J15" s="210">
        <v>0.375</v>
      </c>
      <c r="K15" s="210">
        <v>18</v>
      </c>
      <c r="L15" s="210">
        <f t="shared" si="7"/>
        <v>18</v>
      </c>
      <c r="M15" s="231">
        <v>27.56</v>
      </c>
      <c r="N15" s="236">
        <f t="shared" si="8"/>
        <v>13.504399999999999</v>
      </c>
      <c r="O15" s="213">
        <v>1426.29</v>
      </c>
      <c r="P15" s="213">
        <v>158.47999999999999</v>
      </c>
      <c r="Q15" s="213">
        <v>7.19</v>
      </c>
      <c r="R15" s="213">
        <v>1915.46</v>
      </c>
      <c r="S15" s="213">
        <v>162.1</v>
      </c>
      <c r="T15" s="232">
        <v>8.34</v>
      </c>
      <c r="U15" s="214" t="s">
        <v>27</v>
      </c>
      <c r="V15" s="215">
        <f t="shared" si="1"/>
        <v>43.333666666666673</v>
      </c>
      <c r="W15" s="210">
        <f t="shared" si="2"/>
        <v>0</v>
      </c>
      <c r="X15" s="214" t="s">
        <v>18</v>
      </c>
      <c r="Y15" s="215">
        <f t="shared" si="3"/>
        <v>43.333666666666673</v>
      </c>
      <c r="Z15" s="210">
        <f t="shared" si="4"/>
        <v>-19.135000000000002</v>
      </c>
      <c r="AA15" s="215">
        <f t="shared" si="5"/>
        <v>0</v>
      </c>
      <c r="AB15" s="210">
        <f t="shared" si="6"/>
        <v>-19.135000000000002</v>
      </c>
      <c r="AC15" s="217" t="s">
        <v>19</v>
      </c>
      <c r="AD15" s="216">
        <v>0</v>
      </c>
      <c r="AE15" s="216">
        <v>-17.797000000000001</v>
      </c>
    </row>
    <row r="16" spans="1:31">
      <c r="A16" s="145" t="s">
        <v>124</v>
      </c>
      <c r="B16" s="153" t="s">
        <v>243</v>
      </c>
      <c r="C16" s="151">
        <v>77.387</v>
      </c>
      <c r="D16" s="151">
        <v>44.881</v>
      </c>
      <c r="E16" s="167">
        <v>6.6349999999999998</v>
      </c>
      <c r="F16" s="151">
        <v>131.56299999999999</v>
      </c>
      <c r="G16" s="225">
        <f t="shared" si="0"/>
        <v>17.797000000000001</v>
      </c>
      <c r="H16" s="210">
        <v>23.25</v>
      </c>
      <c r="I16" s="210">
        <v>0.625</v>
      </c>
      <c r="J16" s="210">
        <v>0.375</v>
      </c>
      <c r="K16" s="210">
        <v>18</v>
      </c>
      <c r="L16" s="210">
        <f t="shared" si="7"/>
        <v>18</v>
      </c>
      <c r="M16" s="231">
        <v>27.56</v>
      </c>
      <c r="N16" s="236">
        <f t="shared" si="8"/>
        <v>13.504399999999999</v>
      </c>
      <c r="O16" s="213">
        <v>1426.29</v>
      </c>
      <c r="P16" s="213">
        <v>158.47999999999999</v>
      </c>
      <c r="Q16" s="213">
        <v>7.19</v>
      </c>
      <c r="R16" s="213">
        <v>1915.46</v>
      </c>
      <c r="S16" s="213">
        <v>162.1</v>
      </c>
      <c r="T16" s="232">
        <v>8.34</v>
      </c>
      <c r="U16" s="214" t="s">
        <v>104</v>
      </c>
      <c r="V16" s="215">
        <f t="shared" si="1"/>
        <v>0</v>
      </c>
      <c r="W16" s="210">
        <f t="shared" si="2"/>
        <v>0</v>
      </c>
      <c r="X16" s="214" t="s">
        <v>19</v>
      </c>
      <c r="Y16" s="215">
        <f t="shared" si="3"/>
        <v>0</v>
      </c>
      <c r="Z16" s="210">
        <f t="shared" si="4"/>
        <v>-17.797000000000001</v>
      </c>
      <c r="AA16" s="215">
        <f t="shared" si="5"/>
        <v>0</v>
      </c>
      <c r="AB16" s="210">
        <f t="shared" si="6"/>
        <v>-17.797000000000001</v>
      </c>
      <c r="AC16" s="217" t="s">
        <v>10</v>
      </c>
      <c r="AD16" s="223">
        <v>21.666666666666668</v>
      </c>
      <c r="AE16" s="223">
        <v>-16.655999999999999</v>
      </c>
    </row>
    <row r="17" spans="1:31">
      <c r="A17" s="145" t="s">
        <v>124</v>
      </c>
      <c r="B17" s="153" t="s">
        <v>244</v>
      </c>
      <c r="C17" s="151">
        <v>-6.351</v>
      </c>
      <c r="D17" s="151">
        <v>-1E-3</v>
      </c>
      <c r="E17" s="167">
        <v>0</v>
      </c>
      <c r="F17" s="151">
        <v>-15.755000000000001</v>
      </c>
      <c r="G17" s="225">
        <f t="shared" si="0"/>
        <v>17.655999999999999</v>
      </c>
      <c r="H17" s="210">
        <v>23.25</v>
      </c>
      <c r="I17" s="210">
        <v>0.625</v>
      </c>
      <c r="J17" s="210">
        <v>0.375</v>
      </c>
      <c r="K17" s="210">
        <v>18</v>
      </c>
      <c r="L17" s="210">
        <f t="shared" si="7"/>
        <v>18</v>
      </c>
      <c r="M17" s="231">
        <v>27.56</v>
      </c>
      <c r="N17" s="236">
        <f t="shared" si="8"/>
        <v>13.504399999999999</v>
      </c>
      <c r="O17" s="213">
        <v>1426.29</v>
      </c>
      <c r="P17" s="213">
        <v>158.47999999999999</v>
      </c>
      <c r="Q17" s="213">
        <v>7.19</v>
      </c>
      <c r="R17" s="213">
        <v>1915.46</v>
      </c>
      <c r="S17" s="213">
        <v>162.1</v>
      </c>
      <c r="T17" s="232">
        <v>8.34</v>
      </c>
      <c r="U17" s="214" t="s">
        <v>26</v>
      </c>
      <c r="V17" s="215">
        <f t="shared" si="1"/>
        <v>21.666666666666668</v>
      </c>
      <c r="W17" s="210">
        <f t="shared" si="2"/>
        <v>0</v>
      </c>
      <c r="X17" s="214" t="s">
        <v>17</v>
      </c>
      <c r="Y17" s="215">
        <f t="shared" si="3"/>
        <v>21.666666666666668</v>
      </c>
      <c r="Z17" s="210">
        <f t="shared" si="4"/>
        <v>-17.655999999999999</v>
      </c>
      <c r="AA17" s="215">
        <f t="shared" si="5"/>
        <v>0</v>
      </c>
      <c r="AB17" s="210">
        <f t="shared" si="6"/>
        <v>-17.655999999999999</v>
      </c>
      <c r="AC17" s="217" t="s">
        <v>12</v>
      </c>
      <c r="AD17" s="216">
        <v>43.333666666666673</v>
      </c>
      <c r="AE17" s="216">
        <v>-15.51</v>
      </c>
    </row>
    <row r="18" spans="1:31">
      <c r="A18" s="145" t="s">
        <v>124</v>
      </c>
      <c r="B18" s="153" t="s">
        <v>245</v>
      </c>
      <c r="C18" s="151">
        <v>125.068</v>
      </c>
      <c r="D18" s="151">
        <v>75.852999999999994</v>
      </c>
      <c r="E18" s="167">
        <v>5.758</v>
      </c>
      <c r="F18" s="151">
        <v>211.75800000000001</v>
      </c>
      <c r="G18" s="225">
        <f t="shared" si="0"/>
        <v>16.132999999999999</v>
      </c>
      <c r="H18" s="210">
        <v>23.25</v>
      </c>
      <c r="I18" s="210">
        <v>0.625</v>
      </c>
      <c r="J18" s="210">
        <v>0.375</v>
      </c>
      <c r="K18" s="210">
        <v>18</v>
      </c>
      <c r="L18" s="210">
        <f t="shared" si="7"/>
        <v>18</v>
      </c>
      <c r="M18" s="231">
        <v>27.56</v>
      </c>
      <c r="N18" s="236">
        <f t="shared" si="8"/>
        <v>13.504399999999999</v>
      </c>
      <c r="O18" s="213">
        <v>1426.29</v>
      </c>
      <c r="P18" s="213">
        <v>158.47999999999999</v>
      </c>
      <c r="Q18" s="213">
        <v>7.19</v>
      </c>
      <c r="R18" s="213">
        <v>1915.46</v>
      </c>
      <c r="S18" s="213">
        <v>162.1</v>
      </c>
      <c r="T18" s="232">
        <v>8.34</v>
      </c>
      <c r="U18" s="214" t="s">
        <v>25</v>
      </c>
      <c r="V18" s="215">
        <f t="shared" si="1"/>
        <v>43.333666666666673</v>
      </c>
      <c r="W18" s="210">
        <f t="shared" si="2"/>
        <v>0</v>
      </c>
      <c r="X18" s="214" t="s">
        <v>16</v>
      </c>
      <c r="Y18" s="215">
        <f t="shared" si="3"/>
        <v>43.333666666666673</v>
      </c>
      <c r="Z18" s="210">
        <f t="shared" si="4"/>
        <v>-16.132999999999999</v>
      </c>
      <c r="AA18" s="215">
        <f t="shared" si="5"/>
        <v>0</v>
      </c>
      <c r="AB18" s="210">
        <f t="shared" si="6"/>
        <v>-16.132999999999999</v>
      </c>
      <c r="AC18" s="217" t="s">
        <v>13</v>
      </c>
      <c r="AD18" s="223">
        <v>21.666666666666668</v>
      </c>
      <c r="AE18" s="223">
        <v>-15.239000000000001</v>
      </c>
    </row>
    <row r="19" spans="1:31">
      <c r="A19" s="145" t="s">
        <v>124</v>
      </c>
      <c r="B19" s="153" t="s">
        <v>246</v>
      </c>
      <c r="C19" s="151">
        <v>131.499</v>
      </c>
      <c r="D19" s="151">
        <v>79.572999999999993</v>
      </c>
      <c r="E19" s="167">
        <v>6.0229999999999997</v>
      </c>
      <c r="F19" s="151">
        <v>222.81200000000001</v>
      </c>
      <c r="G19" s="225">
        <f t="shared" si="0"/>
        <v>15.51</v>
      </c>
      <c r="H19" s="210">
        <v>23.25</v>
      </c>
      <c r="I19" s="210">
        <v>0.625</v>
      </c>
      <c r="J19" s="210">
        <v>0.375</v>
      </c>
      <c r="K19" s="210">
        <v>18</v>
      </c>
      <c r="L19" s="210">
        <f t="shared" si="7"/>
        <v>18</v>
      </c>
      <c r="M19" s="231">
        <v>27.56</v>
      </c>
      <c r="N19" s="236">
        <f t="shared" si="8"/>
        <v>13.504399999999999</v>
      </c>
      <c r="O19" s="213">
        <v>1426.29</v>
      </c>
      <c r="P19" s="213">
        <v>158.47999999999999</v>
      </c>
      <c r="Q19" s="213">
        <v>7.19</v>
      </c>
      <c r="R19" s="213">
        <v>1915.46</v>
      </c>
      <c r="S19" s="213">
        <v>162.1</v>
      </c>
      <c r="T19" s="232">
        <v>8.34</v>
      </c>
      <c r="U19" s="214" t="s">
        <v>21</v>
      </c>
      <c r="V19" s="215">
        <f t="shared" si="1"/>
        <v>43.333666666666673</v>
      </c>
      <c r="W19" s="210">
        <f t="shared" si="2"/>
        <v>0</v>
      </c>
      <c r="X19" s="214" t="s">
        <v>12</v>
      </c>
      <c r="Y19" s="215">
        <f t="shared" si="3"/>
        <v>43.333666666666673</v>
      </c>
      <c r="Z19" s="210">
        <f t="shared" si="4"/>
        <v>-15.51</v>
      </c>
      <c r="AA19" s="215">
        <f t="shared" si="5"/>
        <v>0</v>
      </c>
      <c r="AB19" s="210">
        <f t="shared" si="6"/>
        <v>-15.51</v>
      </c>
      <c r="AC19" s="217" t="s">
        <v>14</v>
      </c>
      <c r="AD19" s="216">
        <v>43.333666666666673</v>
      </c>
      <c r="AE19" s="216">
        <v>-14.968999999999999</v>
      </c>
    </row>
    <row r="20" spans="1:31">
      <c r="A20" s="145" t="s">
        <v>124</v>
      </c>
      <c r="B20" s="153" t="s">
        <v>247</v>
      </c>
      <c r="C20" s="151">
        <v>119.902</v>
      </c>
      <c r="D20" s="151">
        <v>72.930999999999997</v>
      </c>
      <c r="E20" s="167">
        <v>5.5359999999999996</v>
      </c>
      <c r="F20" s="151">
        <v>204.1</v>
      </c>
      <c r="G20" s="225">
        <f t="shared" si="0"/>
        <v>14.968999999999999</v>
      </c>
      <c r="H20" s="210">
        <v>23.25</v>
      </c>
      <c r="I20" s="210">
        <v>0.625</v>
      </c>
      <c r="J20" s="210">
        <v>0.375</v>
      </c>
      <c r="K20" s="210">
        <v>18</v>
      </c>
      <c r="L20" s="210">
        <f t="shared" si="7"/>
        <v>18</v>
      </c>
      <c r="M20" s="231">
        <v>27.56</v>
      </c>
      <c r="N20" s="236">
        <f t="shared" si="8"/>
        <v>13.504399999999999</v>
      </c>
      <c r="O20" s="213">
        <v>1426.29</v>
      </c>
      <c r="P20" s="213">
        <v>158.47999999999999</v>
      </c>
      <c r="Q20" s="213">
        <v>7.19</v>
      </c>
      <c r="R20" s="213">
        <v>1915.46</v>
      </c>
      <c r="S20" s="213">
        <v>162.1</v>
      </c>
      <c r="T20" s="232">
        <v>8.34</v>
      </c>
      <c r="U20" s="214" t="s">
        <v>23</v>
      </c>
      <c r="V20" s="215">
        <f t="shared" si="1"/>
        <v>43.333666666666673</v>
      </c>
      <c r="W20" s="210">
        <f t="shared" si="2"/>
        <v>0</v>
      </c>
      <c r="X20" s="214" t="s">
        <v>14</v>
      </c>
      <c r="Y20" s="215">
        <f t="shared" si="3"/>
        <v>43.333666666666673</v>
      </c>
      <c r="Z20" s="210">
        <f t="shared" si="4"/>
        <v>-14.968999999999999</v>
      </c>
      <c r="AA20" s="215">
        <f t="shared" si="5"/>
        <v>0</v>
      </c>
      <c r="AB20" s="210">
        <f t="shared" si="6"/>
        <v>-14.968999999999999</v>
      </c>
      <c r="AC20" s="217" t="s">
        <v>15</v>
      </c>
      <c r="AD20" s="223">
        <v>21.666666666666668</v>
      </c>
      <c r="AE20" s="223">
        <v>-15.573</v>
      </c>
    </row>
    <row r="21" spans="1:31">
      <c r="A21" s="145" t="s">
        <v>125</v>
      </c>
      <c r="B21" s="153" t="s">
        <v>248</v>
      </c>
      <c r="C21" s="151">
        <v>-6.7380000000000004</v>
      </c>
      <c r="D21" s="151">
        <v>0.223</v>
      </c>
      <c r="E21" s="167">
        <v>1.7000000000000001E-2</v>
      </c>
      <c r="F21" s="151">
        <v>-15.573</v>
      </c>
      <c r="G21" s="225">
        <f t="shared" si="0"/>
        <v>21.5</v>
      </c>
      <c r="H21" s="210">
        <v>23.25</v>
      </c>
      <c r="I21" s="210">
        <v>0.375</v>
      </c>
      <c r="J21" s="210">
        <v>0.375</v>
      </c>
      <c r="K21" s="210">
        <v>18</v>
      </c>
      <c r="L21" s="210">
        <f t="shared" si="7"/>
        <v>18</v>
      </c>
      <c r="M21" s="231">
        <v>21.94</v>
      </c>
      <c r="N21" s="236">
        <f t="shared" si="8"/>
        <v>10.7506</v>
      </c>
      <c r="O21" s="213">
        <v>1019.86</v>
      </c>
      <c r="P21" s="213">
        <v>113.32</v>
      </c>
      <c r="Q21" s="213">
        <v>6.82</v>
      </c>
      <c r="R21" s="213">
        <v>1855.9</v>
      </c>
      <c r="S21" s="213">
        <v>157.69</v>
      </c>
      <c r="T21" s="232">
        <v>9.1999999999999993</v>
      </c>
      <c r="U21" s="214" t="s">
        <v>105</v>
      </c>
      <c r="V21" s="215">
        <f t="shared" si="1"/>
        <v>21.666666666666668</v>
      </c>
      <c r="W21" s="210">
        <f t="shared" si="2"/>
        <v>0</v>
      </c>
      <c r="X21" s="214" t="s">
        <v>41</v>
      </c>
      <c r="Y21" s="215">
        <f t="shared" si="3"/>
        <v>21.666666666666668</v>
      </c>
      <c r="Z21" s="210">
        <f t="shared" si="4"/>
        <v>-21.5</v>
      </c>
      <c r="AA21" s="215">
        <f t="shared" si="5"/>
        <v>0</v>
      </c>
      <c r="AB21" s="210">
        <f t="shared" si="6"/>
        <v>-21.5</v>
      </c>
      <c r="AC21" s="217" t="s">
        <v>16</v>
      </c>
      <c r="AD21" s="216">
        <v>43.333666666666673</v>
      </c>
      <c r="AE21" s="216">
        <v>-16.132999999999999</v>
      </c>
    </row>
    <row r="22" spans="1:31">
      <c r="A22" s="145" t="s">
        <v>125</v>
      </c>
      <c r="B22" s="153" t="s">
        <v>249</v>
      </c>
      <c r="C22" s="151">
        <v>-6.26</v>
      </c>
      <c r="D22" s="151">
        <v>0</v>
      </c>
      <c r="E22" s="167">
        <v>0</v>
      </c>
      <c r="F22" s="151">
        <v>-11.92</v>
      </c>
      <c r="G22" s="225">
        <f t="shared" si="0"/>
        <v>16.655999999999999</v>
      </c>
      <c r="H22" s="210">
        <v>23.25</v>
      </c>
      <c r="I22" s="210">
        <v>0.375</v>
      </c>
      <c r="J22" s="210">
        <v>0.375</v>
      </c>
      <c r="K22" s="210">
        <v>18</v>
      </c>
      <c r="L22" s="210">
        <f t="shared" si="7"/>
        <v>18</v>
      </c>
      <c r="M22" s="231">
        <v>21.94</v>
      </c>
      <c r="N22" s="236">
        <f t="shared" si="8"/>
        <v>10.7506</v>
      </c>
      <c r="O22" s="213">
        <v>1019.86</v>
      </c>
      <c r="P22" s="213">
        <v>113.32</v>
      </c>
      <c r="Q22" s="213">
        <v>6.82</v>
      </c>
      <c r="R22" s="213">
        <v>1855.9</v>
      </c>
      <c r="S22" s="213">
        <v>157.69</v>
      </c>
      <c r="T22" s="232">
        <v>9.1999999999999993</v>
      </c>
      <c r="U22" s="214" t="s">
        <v>20</v>
      </c>
      <c r="V22" s="215">
        <f t="shared" si="1"/>
        <v>21.666666666666668</v>
      </c>
      <c r="W22" s="210">
        <f t="shared" si="2"/>
        <v>0</v>
      </c>
      <c r="X22" s="214" t="s">
        <v>10</v>
      </c>
      <c r="Y22" s="215">
        <f t="shared" si="3"/>
        <v>21.666666666666668</v>
      </c>
      <c r="Z22" s="210">
        <f t="shared" si="4"/>
        <v>-16.655999999999999</v>
      </c>
      <c r="AA22" s="215">
        <f t="shared" si="5"/>
        <v>0</v>
      </c>
      <c r="AB22" s="210">
        <f t="shared" si="6"/>
        <v>-16.655999999999999</v>
      </c>
      <c r="AC22" s="217" t="s">
        <v>17</v>
      </c>
      <c r="AD22" s="223">
        <v>21.666666666666668</v>
      </c>
      <c r="AE22" s="223">
        <v>-17.655999999999999</v>
      </c>
    </row>
    <row r="23" spans="1:31">
      <c r="A23" s="145" t="s">
        <v>125</v>
      </c>
      <c r="B23" s="153" t="s">
        <v>250</v>
      </c>
      <c r="C23" s="151">
        <v>-6.3550000000000004</v>
      </c>
      <c r="D23" s="151">
        <v>-3.6999999999999998E-2</v>
      </c>
      <c r="E23" s="167">
        <v>-3.0000000000000001E-3</v>
      </c>
      <c r="F23" s="151">
        <v>-16.725000000000001</v>
      </c>
      <c r="G23" s="225">
        <f t="shared" si="0"/>
        <v>15.573</v>
      </c>
      <c r="H23" s="210">
        <v>23.25</v>
      </c>
      <c r="I23" s="210">
        <v>0.375</v>
      </c>
      <c r="J23" s="210">
        <v>0.375</v>
      </c>
      <c r="K23" s="210">
        <v>18</v>
      </c>
      <c r="L23" s="210">
        <f t="shared" si="7"/>
        <v>18</v>
      </c>
      <c r="M23" s="231">
        <v>21.94</v>
      </c>
      <c r="N23" s="236">
        <f t="shared" si="8"/>
        <v>10.7506</v>
      </c>
      <c r="O23" s="213">
        <v>1019.86</v>
      </c>
      <c r="P23" s="213">
        <v>113.32</v>
      </c>
      <c r="Q23" s="213">
        <v>6.82</v>
      </c>
      <c r="R23" s="213">
        <v>1855.9</v>
      </c>
      <c r="S23" s="213">
        <v>157.69</v>
      </c>
      <c r="T23" s="232">
        <v>9.1999999999999993</v>
      </c>
      <c r="U23" s="214" t="s">
        <v>24</v>
      </c>
      <c r="V23" s="215">
        <f t="shared" si="1"/>
        <v>21.666666666666668</v>
      </c>
      <c r="W23" s="210">
        <f t="shared" si="2"/>
        <v>0</v>
      </c>
      <c r="X23" s="214" t="s">
        <v>15</v>
      </c>
      <c r="Y23" s="215">
        <f t="shared" si="3"/>
        <v>21.666666666666668</v>
      </c>
      <c r="Z23" s="210">
        <f t="shared" si="4"/>
        <v>-15.573</v>
      </c>
      <c r="AA23" s="215">
        <f t="shared" si="5"/>
        <v>0</v>
      </c>
      <c r="AB23" s="210">
        <f t="shared" si="6"/>
        <v>-15.573</v>
      </c>
      <c r="AC23" s="217" t="s">
        <v>18</v>
      </c>
      <c r="AD23" s="216">
        <v>43.333666666666673</v>
      </c>
      <c r="AE23" s="216">
        <v>-19.135000000000002</v>
      </c>
    </row>
    <row r="24" spans="1:31">
      <c r="A24" s="145" t="s">
        <v>125</v>
      </c>
      <c r="B24" s="153" t="s">
        <v>251</v>
      </c>
      <c r="C24" s="151">
        <v>-6.26</v>
      </c>
      <c r="D24" s="151">
        <v>0</v>
      </c>
      <c r="E24" s="167">
        <v>0</v>
      </c>
      <c r="F24" s="151">
        <v>-16.547999999999998</v>
      </c>
      <c r="G24" s="225">
        <f t="shared" si="0"/>
        <v>15.239000000000001</v>
      </c>
      <c r="H24" s="210">
        <v>23.25</v>
      </c>
      <c r="I24" s="210">
        <v>0.375</v>
      </c>
      <c r="J24" s="210">
        <v>0.375</v>
      </c>
      <c r="K24" s="210">
        <v>18</v>
      </c>
      <c r="L24" s="210">
        <f t="shared" si="7"/>
        <v>18</v>
      </c>
      <c r="M24" s="231">
        <v>21.94</v>
      </c>
      <c r="N24" s="236">
        <f t="shared" si="8"/>
        <v>10.7506</v>
      </c>
      <c r="O24" s="213">
        <v>1019.86</v>
      </c>
      <c r="P24" s="213">
        <v>113.32</v>
      </c>
      <c r="Q24" s="213">
        <v>6.82</v>
      </c>
      <c r="R24" s="213">
        <v>1855.9</v>
      </c>
      <c r="S24" s="213">
        <v>157.69</v>
      </c>
      <c r="T24" s="232">
        <v>9.1999999999999993</v>
      </c>
      <c r="U24" s="214" t="s">
        <v>22</v>
      </c>
      <c r="V24" s="215">
        <f t="shared" si="1"/>
        <v>21.666666666666668</v>
      </c>
      <c r="W24" s="210">
        <f t="shared" si="2"/>
        <v>0</v>
      </c>
      <c r="X24" s="214" t="s">
        <v>13</v>
      </c>
      <c r="Y24" s="215">
        <f t="shared" si="3"/>
        <v>21.666666666666668</v>
      </c>
      <c r="Z24" s="210">
        <f t="shared" si="4"/>
        <v>-15.239000000000001</v>
      </c>
      <c r="AA24" s="215">
        <f t="shared" si="5"/>
        <v>0</v>
      </c>
      <c r="AB24" s="210">
        <f t="shared" si="6"/>
        <v>-15.239000000000001</v>
      </c>
      <c r="AC24" s="217" t="s">
        <v>41</v>
      </c>
      <c r="AD24" s="223">
        <v>21.666666666666668</v>
      </c>
      <c r="AE24" s="223">
        <v>-21.5</v>
      </c>
    </row>
    <row r="25" spans="1:31">
      <c r="A25" s="146" t="s">
        <v>111</v>
      </c>
      <c r="B25" s="152" t="s">
        <v>252</v>
      </c>
      <c r="C25" s="165">
        <v>-1429.431</v>
      </c>
      <c r="D25" s="165">
        <v>-813.27099999999996</v>
      </c>
      <c r="E25" s="165">
        <v>-61.743000000000002</v>
      </c>
      <c r="F25" s="165">
        <v>-2511.2730000000001</v>
      </c>
      <c r="G25" s="225">
        <f t="shared" si="0"/>
        <v>21.675417066345005</v>
      </c>
      <c r="H25" s="210">
        <v>21.5</v>
      </c>
      <c r="I25" s="210">
        <v>1</v>
      </c>
      <c r="J25" s="210">
        <v>1.125</v>
      </c>
      <c r="K25" s="210">
        <v>30</v>
      </c>
      <c r="L25" s="210">
        <f t="shared" si="7"/>
        <v>30</v>
      </c>
      <c r="M25" s="231">
        <v>94</v>
      </c>
      <c r="N25" s="236">
        <f t="shared" si="8"/>
        <v>46.06</v>
      </c>
      <c r="O25" s="213">
        <v>9621.33</v>
      </c>
      <c r="P25" s="213">
        <v>641.41999999999996</v>
      </c>
      <c r="Q25" s="213">
        <v>10.119999999999999</v>
      </c>
      <c r="R25" s="213">
        <v>7865</v>
      </c>
      <c r="S25" s="213">
        <v>714.83</v>
      </c>
      <c r="T25" s="232">
        <v>9.15</v>
      </c>
      <c r="U25" s="214" t="s">
        <v>14</v>
      </c>
      <c r="V25" s="215">
        <f t="shared" si="1"/>
        <v>43.333666666666673</v>
      </c>
      <c r="W25" s="210">
        <f t="shared" si="2"/>
        <v>-14.968999999999999</v>
      </c>
      <c r="X25" s="214" t="s">
        <v>15</v>
      </c>
      <c r="Y25" s="215">
        <f t="shared" si="3"/>
        <v>21.666666666666668</v>
      </c>
      <c r="Z25" s="210">
        <f t="shared" si="4"/>
        <v>-15.573</v>
      </c>
      <c r="AA25" s="215">
        <f t="shared" si="5"/>
        <v>-21.667000000000005</v>
      </c>
      <c r="AB25" s="210">
        <f t="shared" si="6"/>
        <v>-0.60400000000000098</v>
      </c>
      <c r="AC25" s="217" t="s">
        <v>42</v>
      </c>
      <c r="AD25" s="216">
        <v>43.333666666666673</v>
      </c>
      <c r="AE25" s="216">
        <v>-23.859000000000002</v>
      </c>
    </row>
    <row r="26" spans="1:31">
      <c r="A26" s="144" t="s">
        <v>111</v>
      </c>
      <c r="B26" s="86" t="s">
        <v>253</v>
      </c>
      <c r="C26" s="163">
        <v>-1429.431</v>
      </c>
      <c r="D26" s="163">
        <v>-813.27200000000005</v>
      </c>
      <c r="E26" s="163">
        <v>-61.743000000000002</v>
      </c>
      <c r="F26" s="163">
        <v>-2511.2739999999999</v>
      </c>
      <c r="G26" s="225">
        <f t="shared" si="0"/>
        <v>21.674235603591658</v>
      </c>
      <c r="H26" s="210">
        <v>21.5</v>
      </c>
      <c r="I26" s="210">
        <v>1</v>
      </c>
      <c r="J26" s="210">
        <v>1.125</v>
      </c>
      <c r="K26" s="210">
        <v>30</v>
      </c>
      <c r="L26" s="210">
        <f t="shared" si="7"/>
        <v>30</v>
      </c>
      <c r="M26" s="231">
        <v>94</v>
      </c>
      <c r="N26" s="236">
        <f t="shared" si="8"/>
        <v>46.06</v>
      </c>
      <c r="O26" s="213">
        <v>9621.33</v>
      </c>
      <c r="P26" s="213">
        <v>641.41999999999996</v>
      </c>
      <c r="Q26" s="213">
        <v>10.119999999999999</v>
      </c>
      <c r="R26" s="213">
        <v>7865</v>
      </c>
      <c r="S26" s="213">
        <v>714.83</v>
      </c>
      <c r="T26" s="232">
        <v>9.15</v>
      </c>
      <c r="U26" s="214" t="s">
        <v>15</v>
      </c>
      <c r="V26" s="215">
        <f t="shared" si="1"/>
        <v>21.666666666666668</v>
      </c>
      <c r="W26" s="210">
        <f t="shared" si="2"/>
        <v>-15.573</v>
      </c>
      <c r="X26" s="214" t="s">
        <v>16</v>
      </c>
      <c r="Y26" s="215">
        <f t="shared" si="3"/>
        <v>43.333666666666673</v>
      </c>
      <c r="Z26" s="210">
        <f t="shared" si="4"/>
        <v>-16.132999999999999</v>
      </c>
      <c r="AA26" s="215">
        <f t="shared" si="5"/>
        <v>21.667000000000005</v>
      </c>
      <c r="AB26" s="210">
        <f t="shared" si="6"/>
        <v>-0.55999999999999872</v>
      </c>
      <c r="AC26" s="217" t="s">
        <v>43</v>
      </c>
      <c r="AD26" s="223">
        <v>21.666666666666668</v>
      </c>
      <c r="AE26" s="223">
        <v>-27.119</v>
      </c>
    </row>
    <row r="27" spans="1:31">
      <c r="A27" s="145" t="s">
        <v>111</v>
      </c>
      <c r="B27" s="87" t="s">
        <v>254</v>
      </c>
      <c r="C27" s="164">
        <v>-1512.5920000000001</v>
      </c>
      <c r="D27" s="164">
        <v>-861.18600000000004</v>
      </c>
      <c r="E27" s="164">
        <v>-65.38</v>
      </c>
      <c r="F27" s="164">
        <v>-2654.6309999999999</v>
      </c>
      <c r="G27" s="225">
        <f t="shared" si="0"/>
        <v>21.668694699958284</v>
      </c>
      <c r="H27" s="210">
        <v>21.5</v>
      </c>
      <c r="I27" s="210">
        <v>1</v>
      </c>
      <c r="J27" s="210">
        <v>1.125</v>
      </c>
      <c r="K27" s="210">
        <v>30</v>
      </c>
      <c r="L27" s="210">
        <f t="shared" si="7"/>
        <v>30</v>
      </c>
      <c r="M27" s="231">
        <v>94</v>
      </c>
      <c r="N27" s="236">
        <f t="shared" si="8"/>
        <v>46.06</v>
      </c>
      <c r="O27" s="213">
        <v>9621.33</v>
      </c>
      <c r="P27" s="213">
        <v>641.41999999999996</v>
      </c>
      <c r="Q27" s="213">
        <v>10.119999999999999</v>
      </c>
      <c r="R27" s="213">
        <v>7865</v>
      </c>
      <c r="S27" s="213">
        <v>714.83</v>
      </c>
      <c r="T27" s="232">
        <v>9.15</v>
      </c>
      <c r="U27" s="214" t="s">
        <v>12</v>
      </c>
      <c r="V27" s="215">
        <f t="shared" si="1"/>
        <v>43.333666666666673</v>
      </c>
      <c r="W27" s="210">
        <f t="shared" si="2"/>
        <v>-15.51</v>
      </c>
      <c r="X27" s="214" t="s">
        <v>13</v>
      </c>
      <c r="Y27" s="215">
        <f t="shared" si="3"/>
        <v>21.666666666666668</v>
      </c>
      <c r="Z27" s="210">
        <f t="shared" si="4"/>
        <v>-15.239000000000001</v>
      </c>
      <c r="AA27" s="215">
        <f t="shared" si="5"/>
        <v>-21.667000000000005</v>
      </c>
      <c r="AB27" s="210">
        <f t="shared" si="6"/>
        <v>0.27099999999999902</v>
      </c>
      <c r="AC27" s="217" t="s">
        <v>44</v>
      </c>
      <c r="AD27" s="216">
        <v>43.333666666666673</v>
      </c>
      <c r="AE27" s="216">
        <v>-30.37</v>
      </c>
    </row>
    <row r="28" spans="1:31">
      <c r="A28" s="145" t="s">
        <v>111</v>
      </c>
      <c r="B28" s="87" t="s">
        <v>255</v>
      </c>
      <c r="C28" s="164">
        <v>-1512.5920000000001</v>
      </c>
      <c r="D28" s="164">
        <v>-861.18600000000004</v>
      </c>
      <c r="E28" s="164">
        <v>-65.38</v>
      </c>
      <c r="F28" s="164">
        <v>-2654.6309999999999</v>
      </c>
      <c r="G28" s="225">
        <f t="shared" si="0"/>
        <v>21.668682216507772</v>
      </c>
      <c r="H28" s="210">
        <v>21.5</v>
      </c>
      <c r="I28" s="210">
        <v>1</v>
      </c>
      <c r="J28" s="210">
        <v>1.125</v>
      </c>
      <c r="K28" s="210">
        <v>30</v>
      </c>
      <c r="L28" s="210">
        <f t="shared" si="7"/>
        <v>30</v>
      </c>
      <c r="M28" s="231">
        <v>94</v>
      </c>
      <c r="N28" s="236">
        <f t="shared" si="8"/>
        <v>46.06</v>
      </c>
      <c r="O28" s="213">
        <v>9621.33</v>
      </c>
      <c r="P28" s="213">
        <v>641.41999999999996</v>
      </c>
      <c r="Q28" s="213">
        <v>10.119999999999999</v>
      </c>
      <c r="R28" s="213">
        <v>7865</v>
      </c>
      <c r="S28" s="213">
        <v>714.83</v>
      </c>
      <c r="T28" s="232">
        <v>9.15</v>
      </c>
      <c r="U28" s="214" t="s">
        <v>13</v>
      </c>
      <c r="V28" s="215">
        <f t="shared" si="1"/>
        <v>21.666666666666668</v>
      </c>
      <c r="W28" s="210">
        <f t="shared" si="2"/>
        <v>-15.239000000000001</v>
      </c>
      <c r="X28" s="214" t="s">
        <v>14</v>
      </c>
      <c r="Y28" s="215">
        <f t="shared" si="3"/>
        <v>43.333666666666673</v>
      </c>
      <c r="Z28" s="210">
        <f t="shared" si="4"/>
        <v>-14.968999999999999</v>
      </c>
      <c r="AA28" s="215">
        <f t="shared" si="5"/>
        <v>21.667000000000005</v>
      </c>
      <c r="AB28" s="210">
        <f t="shared" si="6"/>
        <v>0.27000000000000135</v>
      </c>
    </row>
    <row r="29" spans="1:31">
      <c r="A29" s="145" t="s">
        <v>112</v>
      </c>
      <c r="B29" s="87" t="s">
        <v>256</v>
      </c>
      <c r="C29" s="164">
        <v>852.654</v>
      </c>
      <c r="D29" s="164">
        <v>485.85599999999999</v>
      </c>
      <c r="E29" s="164">
        <v>36.875</v>
      </c>
      <c r="F29" s="164">
        <v>1495.6569999999999</v>
      </c>
      <c r="G29" s="225">
        <f t="shared" si="0"/>
        <v>21.795690262067872</v>
      </c>
      <c r="H29" s="210">
        <v>22</v>
      </c>
      <c r="I29" s="210">
        <v>0.75</v>
      </c>
      <c r="J29" s="210">
        <v>1</v>
      </c>
      <c r="K29" s="210">
        <v>30</v>
      </c>
      <c r="L29" s="210">
        <f t="shared" si="7"/>
        <v>30</v>
      </c>
      <c r="M29" s="231">
        <v>75</v>
      </c>
      <c r="N29" s="236">
        <f t="shared" si="8"/>
        <v>36.75</v>
      </c>
      <c r="O29" s="213">
        <v>7709.06</v>
      </c>
      <c r="P29" s="213">
        <v>513.94000000000005</v>
      </c>
      <c r="Q29" s="213">
        <v>10.14</v>
      </c>
      <c r="R29" s="213">
        <v>6757</v>
      </c>
      <c r="S29" s="213">
        <v>603.29999999999995</v>
      </c>
      <c r="T29" s="232">
        <v>9.49</v>
      </c>
      <c r="U29" s="214" t="s">
        <v>18</v>
      </c>
      <c r="V29" s="215">
        <f t="shared" si="1"/>
        <v>43.333666666666673</v>
      </c>
      <c r="W29" s="210">
        <f t="shared" si="2"/>
        <v>-19.135000000000002</v>
      </c>
      <c r="X29" s="214" t="s">
        <v>41</v>
      </c>
      <c r="Y29" s="215">
        <f t="shared" si="3"/>
        <v>21.666666666666668</v>
      </c>
      <c r="Z29" s="210">
        <f t="shared" si="4"/>
        <v>-21.5</v>
      </c>
      <c r="AA29" s="215">
        <f t="shared" si="5"/>
        <v>-21.667000000000005</v>
      </c>
      <c r="AB29" s="210">
        <f t="shared" si="6"/>
        <v>-2.3649999999999984</v>
      </c>
    </row>
    <row r="30" spans="1:31">
      <c r="A30" s="145" t="s">
        <v>112</v>
      </c>
      <c r="B30" s="87" t="s">
        <v>257</v>
      </c>
      <c r="C30" s="164">
        <v>852.69</v>
      </c>
      <c r="D30" s="164">
        <v>485.87700000000001</v>
      </c>
      <c r="E30" s="164">
        <v>36.877000000000002</v>
      </c>
      <c r="F30" s="164">
        <v>1495.7190000000001</v>
      </c>
      <c r="G30" s="225">
        <f t="shared" si="0"/>
        <v>21.795040032080699</v>
      </c>
      <c r="H30" s="210">
        <v>22</v>
      </c>
      <c r="I30" s="210">
        <v>0.75</v>
      </c>
      <c r="J30" s="210">
        <v>1</v>
      </c>
      <c r="K30" s="210">
        <v>30</v>
      </c>
      <c r="L30" s="210">
        <f t="shared" si="7"/>
        <v>30</v>
      </c>
      <c r="M30" s="231">
        <v>75</v>
      </c>
      <c r="N30" s="236">
        <f t="shared" si="8"/>
        <v>36.75</v>
      </c>
      <c r="O30" s="213">
        <v>7709.06</v>
      </c>
      <c r="P30" s="213">
        <v>513.94000000000005</v>
      </c>
      <c r="Q30" s="213">
        <v>10.14</v>
      </c>
      <c r="R30" s="213">
        <v>6757</v>
      </c>
      <c r="S30" s="213">
        <v>603.29999999999995</v>
      </c>
      <c r="T30" s="232">
        <v>9.49</v>
      </c>
      <c r="U30" s="214" t="s">
        <v>41</v>
      </c>
      <c r="V30" s="215">
        <f t="shared" si="1"/>
        <v>21.666666666666668</v>
      </c>
      <c r="W30" s="210">
        <f t="shared" si="2"/>
        <v>-21.5</v>
      </c>
      <c r="X30" s="214" t="s">
        <v>42</v>
      </c>
      <c r="Y30" s="215">
        <f t="shared" si="3"/>
        <v>43.333666666666673</v>
      </c>
      <c r="Z30" s="210">
        <f t="shared" si="4"/>
        <v>-23.859000000000002</v>
      </c>
      <c r="AA30" s="215">
        <f t="shared" si="5"/>
        <v>21.667000000000005</v>
      </c>
      <c r="AB30" s="210">
        <f t="shared" si="6"/>
        <v>-2.3590000000000018</v>
      </c>
    </row>
    <row r="31" spans="1:31">
      <c r="A31" s="145" t="s">
        <v>112</v>
      </c>
      <c r="B31" s="87" t="s">
        <v>258</v>
      </c>
      <c r="C31" s="164">
        <v>-483.89100000000002</v>
      </c>
      <c r="D31" s="164">
        <v>-273.83800000000002</v>
      </c>
      <c r="E31" s="164">
        <v>-20.794</v>
      </c>
      <c r="F31" s="164">
        <v>-850.57799999999997</v>
      </c>
      <c r="G31" s="225">
        <f t="shared" si="0"/>
        <v>21.72046081463283</v>
      </c>
      <c r="H31" s="210">
        <v>22</v>
      </c>
      <c r="I31" s="210">
        <v>0.75</v>
      </c>
      <c r="J31" s="210">
        <v>1</v>
      </c>
      <c r="K31" s="210">
        <v>30</v>
      </c>
      <c r="L31" s="210">
        <f t="shared" si="7"/>
        <v>30</v>
      </c>
      <c r="M31" s="231">
        <v>75</v>
      </c>
      <c r="N31" s="236">
        <f t="shared" si="8"/>
        <v>36.75</v>
      </c>
      <c r="O31" s="213">
        <v>7709.06</v>
      </c>
      <c r="P31" s="213">
        <v>513.94000000000005</v>
      </c>
      <c r="Q31" s="213">
        <v>10.14</v>
      </c>
      <c r="R31" s="213">
        <v>6757</v>
      </c>
      <c r="S31" s="213">
        <v>603.29999999999995</v>
      </c>
      <c r="T31" s="232">
        <v>9.49</v>
      </c>
      <c r="U31" s="214" t="s">
        <v>16</v>
      </c>
      <c r="V31" s="215">
        <f t="shared" si="1"/>
        <v>43.333666666666673</v>
      </c>
      <c r="W31" s="210">
        <f t="shared" si="2"/>
        <v>-16.132999999999999</v>
      </c>
      <c r="X31" s="214" t="s">
        <v>17</v>
      </c>
      <c r="Y31" s="215">
        <f t="shared" si="3"/>
        <v>21.666666666666668</v>
      </c>
      <c r="Z31" s="210">
        <f t="shared" si="4"/>
        <v>-17.655999999999999</v>
      </c>
      <c r="AA31" s="215">
        <f t="shared" si="5"/>
        <v>-21.667000000000005</v>
      </c>
      <c r="AB31" s="210">
        <f t="shared" si="6"/>
        <v>-1.5229999999999997</v>
      </c>
    </row>
    <row r="32" spans="1:31">
      <c r="A32" s="145" t="s">
        <v>112</v>
      </c>
      <c r="B32" s="87" t="s">
        <v>259</v>
      </c>
      <c r="C32" s="164">
        <v>-483.89100000000002</v>
      </c>
      <c r="D32" s="164">
        <v>-273.83800000000002</v>
      </c>
      <c r="E32" s="164">
        <v>-20.794</v>
      </c>
      <c r="F32" s="164">
        <v>-850.57799999999997</v>
      </c>
      <c r="G32" s="225">
        <f t="shared" si="0"/>
        <v>21.717419966469318</v>
      </c>
      <c r="H32" s="210">
        <v>22</v>
      </c>
      <c r="I32" s="210">
        <v>0.75</v>
      </c>
      <c r="J32" s="210">
        <v>1</v>
      </c>
      <c r="K32" s="210">
        <v>30</v>
      </c>
      <c r="L32" s="210">
        <f t="shared" si="7"/>
        <v>30</v>
      </c>
      <c r="M32" s="231">
        <v>75</v>
      </c>
      <c r="N32" s="236">
        <f t="shared" si="8"/>
        <v>36.75</v>
      </c>
      <c r="O32" s="213">
        <v>7709.06</v>
      </c>
      <c r="P32" s="213">
        <v>513.94000000000005</v>
      </c>
      <c r="Q32" s="213">
        <v>10.14</v>
      </c>
      <c r="R32" s="213">
        <v>6757</v>
      </c>
      <c r="S32" s="213">
        <v>603.29999999999995</v>
      </c>
      <c r="T32" s="232">
        <v>9.49</v>
      </c>
      <c r="U32" s="214" t="s">
        <v>17</v>
      </c>
      <c r="V32" s="215">
        <f t="shared" si="1"/>
        <v>21.666666666666668</v>
      </c>
      <c r="W32" s="210">
        <f t="shared" si="2"/>
        <v>-17.655999999999999</v>
      </c>
      <c r="X32" s="214" t="s">
        <v>18</v>
      </c>
      <c r="Y32" s="215">
        <f t="shared" si="3"/>
        <v>43.333666666666673</v>
      </c>
      <c r="Z32" s="210">
        <f t="shared" si="4"/>
        <v>-19.135000000000002</v>
      </c>
      <c r="AA32" s="215">
        <f t="shared" si="5"/>
        <v>21.667000000000005</v>
      </c>
      <c r="AB32" s="210">
        <f t="shared" si="6"/>
        <v>-1.4790000000000028</v>
      </c>
    </row>
    <row r="33" spans="1:28">
      <c r="A33" s="145" t="s">
        <v>113</v>
      </c>
      <c r="B33" s="87" t="s">
        <v>260</v>
      </c>
      <c r="C33" s="164">
        <v>2167.8760000000002</v>
      </c>
      <c r="D33" s="164">
        <v>1229.2329999999999</v>
      </c>
      <c r="E33" s="164">
        <v>93.275000000000006</v>
      </c>
      <c r="F33" s="164">
        <v>3809.797</v>
      </c>
      <c r="G33" s="225">
        <f t="shared" si="0"/>
        <v>21.910876043645544</v>
      </c>
      <c r="H33" s="210">
        <v>20.5</v>
      </c>
      <c r="I33" s="210">
        <v>1</v>
      </c>
      <c r="J33" s="210">
        <v>1.75</v>
      </c>
      <c r="K33" s="210">
        <v>30</v>
      </c>
      <c r="L33" s="210">
        <f t="shared" si="7"/>
        <v>30</v>
      </c>
      <c r="M33" s="231">
        <v>122</v>
      </c>
      <c r="N33" s="236">
        <f t="shared" si="8"/>
        <v>59.78</v>
      </c>
      <c r="O33" s="213">
        <v>11450.67</v>
      </c>
      <c r="P33" s="213">
        <v>763.38</v>
      </c>
      <c r="Q33" s="213">
        <v>9.69</v>
      </c>
      <c r="R33" s="213">
        <v>9402.4699999999993</v>
      </c>
      <c r="S33" s="213">
        <v>896</v>
      </c>
      <c r="T33" s="232">
        <v>8.7799999999999994</v>
      </c>
      <c r="U33" s="214" t="s">
        <v>42</v>
      </c>
      <c r="V33" s="215">
        <f t="shared" si="1"/>
        <v>43.333666666666673</v>
      </c>
      <c r="W33" s="210">
        <f t="shared" si="2"/>
        <v>-23.859000000000002</v>
      </c>
      <c r="X33" s="214" t="s">
        <v>43</v>
      </c>
      <c r="Y33" s="215">
        <f t="shared" si="3"/>
        <v>21.666666666666668</v>
      </c>
      <c r="Z33" s="210">
        <f t="shared" si="4"/>
        <v>-27.119</v>
      </c>
      <c r="AA33" s="215">
        <f t="shared" si="5"/>
        <v>-21.667000000000005</v>
      </c>
      <c r="AB33" s="210">
        <f t="shared" si="6"/>
        <v>-3.259999999999998</v>
      </c>
    </row>
    <row r="34" spans="1:28">
      <c r="A34" s="145" t="s">
        <v>113</v>
      </c>
      <c r="B34" s="87" t="s">
        <v>261</v>
      </c>
      <c r="C34" s="164">
        <v>2167.875</v>
      </c>
      <c r="D34" s="164">
        <v>1229.232</v>
      </c>
      <c r="E34" s="164">
        <v>93.275000000000006</v>
      </c>
      <c r="F34" s="164">
        <v>3809.7939999999999</v>
      </c>
      <c r="G34" s="225">
        <f t="shared" ref="G34:G50" si="9">SQRT(AA34^2+AB34^2)</f>
        <v>21.909538790216473</v>
      </c>
      <c r="H34" s="210">
        <v>20.5</v>
      </c>
      <c r="I34" s="210">
        <v>1</v>
      </c>
      <c r="J34" s="210">
        <v>1.75</v>
      </c>
      <c r="K34" s="210">
        <v>30</v>
      </c>
      <c r="L34" s="210">
        <f t="shared" si="7"/>
        <v>30</v>
      </c>
      <c r="M34" s="231">
        <v>122</v>
      </c>
      <c r="N34" s="236">
        <f t="shared" si="8"/>
        <v>59.78</v>
      </c>
      <c r="O34" s="213">
        <v>11450.67</v>
      </c>
      <c r="P34" s="213">
        <v>763.38</v>
      </c>
      <c r="Q34" s="213">
        <v>9.69</v>
      </c>
      <c r="R34" s="213">
        <v>9402.4699999999993</v>
      </c>
      <c r="S34" s="213">
        <v>896</v>
      </c>
      <c r="T34" s="232">
        <v>8.7799999999999994</v>
      </c>
      <c r="U34" s="214" t="s">
        <v>43</v>
      </c>
      <c r="V34" s="215">
        <f t="shared" ref="V34:V50" si="10">VLOOKUP(U34,$AC$2:$AE$27,2,FALSE)</f>
        <v>21.666666666666668</v>
      </c>
      <c r="W34" s="210">
        <f t="shared" ref="W34:W50" si="11">VLOOKUP(U34,$AC$2:$AE$27,3,FALSE)</f>
        <v>-27.119</v>
      </c>
      <c r="X34" s="214" t="s">
        <v>44</v>
      </c>
      <c r="Y34" s="215">
        <f t="shared" ref="Y34:Y50" si="12">VLOOKUP(X34,$AC$2:$AE$27,2,FALSE)</f>
        <v>43.333666666666673</v>
      </c>
      <c r="Z34" s="210">
        <f t="shared" ref="Z34:Z50" si="13">VLOOKUP(X34,$AC$2:$AE$27,3,FALSE)</f>
        <v>-30.37</v>
      </c>
      <c r="AA34" s="215">
        <f t="shared" ref="AA34:AA50" si="14">(Y34-V34)</f>
        <v>21.667000000000005</v>
      </c>
      <c r="AB34" s="210">
        <f t="shared" ref="AB34:AB50" si="15">(Z34-W34)</f>
        <v>-3.2510000000000012</v>
      </c>
    </row>
    <row r="35" spans="1:28">
      <c r="A35" s="145" t="s">
        <v>114</v>
      </c>
      <c r="B35" s="87" t="s">
        <v>262</v>
      </c>
      <c r="C35" s="164">
        <v>-173.00800000000001</v>
      </c>
      <c r="D35" s="164">
        <v>-100.095</v>
      </c>
      <c r="E35" s="164">
        <v>-7.593</v>
      </c>
      <c r="F35" s="164">
        <v>-302.80099999999999</v>
      </c>
      <c r="G35" s="225">
        <f t="shared" si="9"/>
        <v>21.667000000000005</v>
      </c>
      <c r="H35" s="210">
        <v>22.5</v>
      </c>
      <c r="I35" s="210">
        <v>0.625</v>
      </c>
      <c r="J35" s="210">
        <v>0.75</v>
      </c>
      <c r="K35" s="210">
        <v>30</v>
      </c>
      <c r="L35" s="210">
        <f t="shared" si="7"/>
        <v>30</v>
      </c>
      <c r="M35" s="231">
        <v>65.63</v>
      </c>
      <c r="N35" s="236">
        <f t="shared" si="8"/>
        <v>32.158699999999996</v>
      </c>
      <c r="O35" s="213">
        <v>7576.65</v>
      </c>
      <c r="P35" s="213">
        <v>454.27</v>
      </c>
      <c r="Q35" s="213">
        <v>10.74</v>
      </c>
      <c r="R35" s="213">
        <v>5985.57</v>
      </c>
      <c r="S35" s="213">
        <v>521.13</v>
      </c>
      <c r="T35" s="232">
        <v>9.5500000000000007</v>
      </c>
      <c r="U35" s="214" t="s">
        <v>26</v>
      </c>
      <c r="V35" s="215">
        <f t="shared" si="10"/>
        <v>21.666666666666668</v>
      </c>
      <c r="W35" s="210">
        <f t="shared" si="11"/>
        <v>0</v>
      </c>
      <c r="X35" s="214" t="s">
        <v>27</v>
      </c>
      <c r="Y35" s="215">
        <f t="shared" si="12"/>
        <v>43.333666666666673</v>
      </c>
      <c r="Z35" s="210">
        <f t="shared" si="13"/>
        <v>0</v>
      </c>
      <c r="AA35" s="215">
        <f t="shared" si="14"/>
        <v>21.667000000000005</v>
      </c>
      <c r="AB35" s="210">
        <f t="shared" si="15"/>
        <v>0</v>
      </c>
    </row>
    <row r="36" spans="1:28">
      <c r="A36" s="145" t="s">
        <v>114</v>
      </c>
      <c r="B36" s="87" t="s">
        <v>263</v>
      </c>
      <c r="C36" s="164">
        <v>-173.154</v>
      </c>
      <c r="D36" s="164">
        <v>-100.182</v>
      </c>
      <c r="E36" s="164">
        <v>-7.6</v>
      </c>
      <c r="F36" s="164">
        <v>-303.053</v>
      </c>
      <c r="G36" s="225">
        <f t="shared" si="9"/>
        <v>21.667000000000005</v>
      </c>
      <c r="H36" s="210">
        <v>22.5</v>
      </c>
      <c r="I36" s="210">
        <v>0.625</v>
      </c>
      <c r="J36" s="210">
        <v>0.75</v>
      </c>
      <c r="K36" s="210">
        <v>30</v>
      </c>
      <c r="L36" s="210">
        <f t="shared" si="7"/>
        <v>30</v>
      </c>
      <c r="M36" s="231">
        <v>65.63</v>
      </c>
      <c r="N36" s="236">
        <f t="shared" si="8"/>
        <v>32.158699999999996</v>
      </c>
      <c r="O36" s="213">
        <v>7576.65</v>
      </c>
      <c r="P36" s="213">
        <v>454.27</v>
      </c>
      <c r="Q36" s="213">
        <v>10.74</v>
      </c>
      <c r="R36" s="213">
        <v>5985.57</v>
      </c>
      <c r="S36" s="213">
        <v>521.13</v>
      </c>
      <c r="T36" s="232">
        <v>9.5500000000000007</v>
      </c>
      <c r="U36" s="214" t="s">
        <v>27</v>
      </c>
      <c r="V36" s="215">
        <f t="shared" si="10"/>
        <v>43.333666666666673</v>
      </c>
      <c r="W36" s="210">
        <f t="shared" si="11"/>
        <v>0</v>
      </c>
      <c r="X36" s="214" t="s">
        <v>105</v>
      </c>
      <c r="Y36" s="215">
        <f t="shared" si="12"/>
        <v>21.666666666666668</v>
      </c>
      <c r="Z36" s="210">
        <f t="shared" si="13"/>
        <v>0</v>
      </c>
      <c r="AA36" s="215">
        <f t="shared" si="14"/>
        <v>-21.667000000000005</v>
      </c>
      <c r="AB36" s="210">
        <f t="shared" si="15"/>
        <v>0</v>
      </c>
    </row>
    <row r="37" spans="1:28">
      <c r="A37" s="145" t="s">
        <v>114</v>
      </c>
      <c r="B37" s="87" t="s">
        <v>264</v>
      </c>
      <c r="C37" s="164">
        <v>6.9000000000000006E-2</v>
      </c>
      <c r="D37" s="164">
        <v>3.9E-2</v>
      </c>
      <c r="E37" s="167">
        <v>3.0000000000000001E-3</v>
      </c>
      <c r="F37" s="164">
        <v>0.157</v>
      </c>
      <c r="G37" s="225">
        <f t="shared" si="9"/>
        <v>21.666666666666668</v>
      </c>
      <c r="H37" s="210">
        <v>22.5</v>
      </c>
      <c r="I37" s="210">
        <v>0.625</v>
      </c>
      <c r="J37" s="210">
        <v>0.75</v>
      </c>
      <c r="K37" s="210">
        <v>30</v>
      </c>
      <c r="L37" s="210">
        <f t="shared" si="7"/>
        <v>30</v>
      </c>
      <c r="M37" s="231">
        <v>65.63</v>
      </c>
      <c r="N37" s="236">
        <f t="shared" si="8"/>
        <v>32.158699999999996</v>
      </c>
      <c r="O37" s="213">
        <v>7576.65</v>
      </c>
      <c r="P37" s="213">
        <v>454.27</v>
      </c>
      <c r="Q37" s="213">
        <v>10.74</v>
      </c>
      <c r="R37" s="213">
        <v>5985.57</v>
      </c>
      <c r="S37" s="213">
        <v>521.13</v>
      </c>
      <c r="T37" s="232">
        <v>9.5500000000000007</v>
      </c>
      <c r="U37" s="214" t="s">
        <v>104</v>
      </c>
      <c r="V37" s="215">
        <f t="shared" si="10"/>
        <v>0</v>
      </c>
      <c r="W37" s="210">
        <f t="shared" si="11"/>
        <v>0</v>
      </c>
      <c r="X37" s="214" t="s">
        <v>20</v>
      </c>
      <c r="Y37" s="215">
        <f t="shared" si="12"/>
        <v>21.666666666666668</v>
      </c>
      <c r="Z37" s="210">
        <f t="shared" si="13"/>
        <v>0</v>
      </c>
      <c r="AA37" s="215">
        <f t="shared" si="14"/>
        <v>21.666666666666668</v>
      </c>
      <c r="AB37" s="210">
        <f t="shared" si="15"/>
        <v>0</v>
      </c>
    </row>
    <row r="38" spans="1:28">
      <c r="A38" s="145" t="s">
        <v>116</v>
      </c>
      <c r="B38" s="87" t="s">
        <v>265</v>
      </c>
      <c r="C38" s="164">
        <v>1191.674</v>
      </c>
      <c r="D38" s="164">
        <v>678.03399999999999</v>
      </c>
      <c r="E38" s="164">
        <v>51.470999999999997</v>
      </c>
      <c r="F38" s="164">
        <v>2088.924</v>
      </c>
      <c r="G38" s="225">
        <f t="shared" si="9"/>
        <v>21.667000000000005</v>
      </c>
      <c r="H38" s="210">
        <v>22</v>
      </c>
      <c r="I38" s="210">
        <v>0.75</v>
      </c>
      <c r="J38" s="210">
        <v>1</v>
      </c>
      <c r="K38" s="210">
        <v>30</v>
      </c>
      <c r="L38" s="210">
        <f t="shared" si="7"/>
        <v>30</v>
      </c>
      <c r="M38" s="231">
        <v>84</v>
      </c>
      <c r="N38" s="236">
        <f t="shared" si="8"/>
        <v>41.16</v>
      </c>
      <c r="O38" s="213">
        <v>9439.1200000000008</v>
      </c>
      <c r="P38" s="213">
        <v>569.76</v>
      </c>
      <c r="Q38" s="213">
        <v>10.6</v>
      </c>
      <c r="R38" s="213">
        <v>7365.14</v>
      </c>
      <c r="S38" s="213">
        <v>652.61</v>
      </c>
      <c r="T38" s="232">
        <v>9.36</v>
      </c>
      <c r="U38" s="214" t="s">
        <v>20</v>
      </c>
      <c r="V38" s="215">
        <f t="shared" si="10"/>
        <v>21.666666666666668</v>
      </c>
      <c r="W38" s="210">
        <f t="shared" si="11"/>
        <v>0</v>
      </c>
      <c r="X38" s="214" t="s">
        <v>21</v>
      </c>
      <c r="Y38" s="215">
        <f t="shared" si="12"/>
        <v>43.333666666666673</v>
      </c>
      <c r="Z38" s="210">
        <f t="shared" si="13"/>
        <v>0</v>
      </c>
      <c r="AA38" s="215">
        <f t="shared" si="14"/>
        <v>21.667000000000005</v>
      </c>
      <c r="AB38" s="210">
        <f t="shared" si="15"/>
        <v>0</v>
      </c>
    </row>
    <row r="39" spans="1:28">
      <c r="A39" s="145" t="s">
        <v>116</v>
      </c>
      <c r="B39" s="87" t="s">
        <v>266</v>
      </c>
      <c r="C39" s="164">
        <v>1191.501</v>
      </c>
      <c r="D39" s="164">
        <v>677.93200000000002</v>
      </c>
      <c r="E39" s="164">
        <v>51.463000000000001</v>
      </c>
      <c r="F39" s="164">
        <v>2088.6210000000001</v>
      </c>
      <c r="G39" s="225">
        <f t="shared" si="9"/>
        <v>21.667000000000005</v>
      </c>
      <c r="H39" s="210">
        <v>22</v>
      </c>
      <c r="I39" s="210">
        <v>0.75</v>
      </c>
      <c r="J39" s="210">
        <v>1</v>
      </c>
      <c r="K39" s="210">
        <v>30</v>
      </c>
      <c r="L39" s="210">
        <f t="shared" si="7"/>
        <v>30</v>
      </c>
      <c r="M39" s="231">
        <v>84</v>
      </c>
      <c r="N39" s="236">
        <f t="shared" si="8"/>
        <v>41.16</v>
      </c>
      <c r="O39" s="213">
        <v>9439.1200000000008</v>
      </c>
      <c r="P39" s="213">
        <v>569.76</v>
      </c>
      <c r="Q39" s="213">
        <v>10.6</v>
      </c>
      <c r="R39" s="213">
        <v>7365.14</v>
      </c>
      <c r="S39" s="213">
        <v>652.61</v>
      </c>
      <c r="T39" s="232">
        <v>9.36</v>
      </c>
      <c r="U39" s="214" t="s">
        <v>21</v>
      </c>
      <c r="V39" s="215">
        <f t="shared" si="10"/>
        <v>43.333666666666673</v>
      </c>
      <c r="W39" s="210">
        <f t="shared" si="11"/>
        <v>0</v>
      </c>
      <c r="X39" s="214" t="s">
        <v>22</v>
      </c>
      <c r="Y39" s="215">
        <f t="shared" si="12"/>
        <v>21.666666666666668</v>
      </c>
      <c r="Z39" s="210">
        <f t="shared" si="13"/>
        <v>0</v>
      </c>
      <c r="AA39" s="215">
        <f t="shared" si="14"/>
        <v>-21.667000000000005</v>
      </c>
      <c r="AB39" s="210">
        <f t="shared" si="15"/>
        <v>0</v>
      </c>
    </row>
    <row r="40" spans="1:28">
      <c r="A40" s="145" t="s">
        <v>116</v>
      </c>
      <c r="B40" s="87" t="s">
        <v>267</v>
      </c>
      <c r="C40" s="164">
        <v>1041.9190000000001</v>
      </c>
      <c r="D40" s="164">
        <v>591.69000000000005</v>
      </c>
      <c r="E40" s="164">
        <v>44.923000000000002</v>
      </c>
      <c r="F40" s="164">
        <v>1830.903</v>
      </c>
      <c r="G40" s="225">
        <f t="shared" si="9"/>
        <v>21.667000000000005</v>
      </c>
      <c r="H40" s="210">
        <v>22</v>
      </c>
      <c r="I40" s="210">
        <v>0.75</v>
      </c>
      <c r="J40" s="210">
        <v>1</v>
      </c>
      <c r="K40" s="210">
        <v>30</v>
      </c>
      <c r="L40" s="210">
        <f t="shared" si="7"/>
        <v>30</v>
      </c>
      <c r="M40" s="231">
        <v>84</v>
      </c>
      <c r="N40" s="236">
        <f t="shared" si="8"/>
        <v>41.16</v>
      </c>
      <c r="O40" s="213">
        <v>9439.1200000000008</v>
      </c>
      <c r="P40" s="213">
        <v>569.76</v>
      </c>
      <c r="Q40" s="213">
        <v>10.6</v>
      </c>
      <c r="R40" s="213">
        <v>7365.14</v>
      </c>
      <c r="S40" s="213">
        <v>652.61</v>
      </c>
      <c r="T40" s="232">
        <v>9.36</v>
      </c>
      <c r="U40" s="214" t="s">
        <v>24</v>
      </c>
      <c r="V40" s="215">
        <f t="shared" si="10"/>
        <v>21.666666666666668</v>
      </c>
      <c r="W40" s="210">
        <f t="shared" si="11"/>
        <v>0</v>
      </c>
      <c r="X40" s="214" t="s">
        <v>25</v>
      </c>
      <c r="Y40" s="215">
        <f t="shared" si="12"/>
        <v>43.333666666666673</v>
      </c>
      <c r="Z40" s="210">
        <f t="shared" si="13"/>
        <v>0</v>
      </c>
      <c r="AA40" s="215">
        <f t="shared" si="14"/>
        <v>21.667000000000005</v>
      </c>
      <c r="AB40" s="210">
        <f t="shared" si="15"/>
        <v>0</v>
      </c>
    </row>
    <row r="41" spans="1:28">
      <c r="A41" s="145" t="s">
        <v>116</v>
      </c>
      <c r="B41" s="87" t="s">
        <v>268</v>
      </c>
      <c r="C41" s="164">
        <v>1041.636</v>
      </c>
      <c r="D41" s="164">
        <v>591.52599999999995</v>
      </c>
      <c r="E41" s="164">
        <v>44.91</v>
      </c>
      <c r="F41" s="164">
        <v>1830.413</v>
      </c>
      <c r="G41" s="225">
        <f t="shared" si="9"/>
        <v>21.667000000000005</v>
      </c>
      <c r="H41" s="210">
        <v>22</v>
      </c>
      <c r="I41" s="210">
        <v>0.75</v>
      </c>
      <c r="J41" s="210">
        <v>1</v>
      </c>
      <c r="K41" s="210">
        <v>30</v>
      </c>
      <c r="L41" s="210">
        <f t="shared" si="7"/>
        <v>30</v>
      </c>
      <c r="M41" s="231">
        <v>84</v>
      </c>
      <c r="N41" s="236">
        <f t="shared" si="8"/>
        <v>41.16</v>
      </c>
      <c r="O41" s="213">
        <v>9439.1200000000008</v>
      </c>
      <c r="P41" s="213">
        <v>569.76</v>
      </c>
      <c r="Q41" s="213">
        <v>10.6</v>
      </c>
      <c r="R41" s="213">
        <v>7365.14</v>
      </c>
      <c r="S41" s="213">
        <v>652.61</v>
      </c>
      <c r="T41" s="232">
        <v>9.36</v>
      </c>
      <c r="U41" s="214" t="s">
        <v>25</v>
      </c>
      <c r="V41" s="215">
        <f t="shared" si="10"/>
        <v>43.333666666666673</v>
      </c>
      <c r="W41" s="210">
        <f t="shared" si="11"/>
        <v>0</v>
      </c>
      <c r="X41" s="214" t="s">
        <v>26</v>
      </c>
      <c r="Y41" s="215">
        <f t="shared" si="12"/>
        <v>21.666666666666668</v>
      </c>
      <c r="Z41" s="210">
        <f t="shared" si="13"/>
        <v>0</v>
      </c>
      <c r="AA41" s="215">
        <f t="shared" si="14"/>
        <v>-21.667000000000005</v>
      </c>
      <c r="AB41" s="210">
        <f t="shared" si="15"/>
        <v>0</v>
      </c>
    </row>
    <row r="42" spans="1:28">
      <c r="A42" s="145" t="s">
        <v>115</v>
      </c>
      <c r="B42" s="87" t="s">
        <v>269</v>
      </c>
      <c r="C42" s="164">
        <v>1606.3209999999999</v>
      </c>
      <c r="D42" s="164">
        <v>914.21299999999997</v>
      </c>
      <c r="E42" s="164">
        <v>69.405000000000001</v>
      </c>
      <c r="F42" s="164">
        <v>2821.3249999999998</v>
      </c>
      <c r="G42" s="225">
        <f t="shared" si="9"/>
        <v>21.667000000000005</v>
      </c>
      <c r="H42" s="210">
        <v>21.75</v>
      </c>
      <c r="I42" s="210">
        <v>1</v>
      </c>
      <c r="J42" s="210">
        <v>1.125</v>
      </c>
      <c r="K42" s="210">
        <v>30</v>
      </c>
      <c r="L42" s="210">
        <f t="shared" si="7"/>
        <v>30</v>
      </c>
      <c r="M42" s="231">
        <v>99</v>
      </c>
      <c r="N42" s="236">
        <f t="shared" si="8"/>
        <v>48.51</v>
      </c>
      <c r="O42" s="213">
        <v>11360.79</v>
      </c>
      <c r="P42" s="213">
        <v>677.95</v>
      </c>
      <c r="Q42" s="213">
        <v>10.71</v>
      </c>
      <c r="R42" s="213">
        <v>8147.43</v>
      </c>
      <c r="S42" s="213">
        <v>725.32</v>
      </c>
      <c r="T42" s="232">
        <v>9.07</v>
      </c>
      <c r="U42" s="214" t="s">
        <v>22</v>
      </c>
      <c r="V42" s="215">
        <f t="shared" si="10"/>
        <v>21.666666666666668</v>
      </c>
      <c r="W42" s="210">
        <f t="shared" si="11"/>
        <v>0</v>
      </c>
      <c r="X42" s="214" t="s">
        <v>23</v>
      </c>
      <c r="Y42" s="215">
        <f t="shared" si="12"/>
        <v>43.333666666666673</v>
      </c>
      <c r="Z42" s="210">
        <f t="shared" si="13"/>
        <v>0</v>
      </c>
      <c r="AA42" s="215">
        <f t="shared" si="14"/>
        <v>21.667000000000005</v>
      </c>
      <c r="AB42" s="210">
        <f t="shared" si="15"/>
        <v>0</v>
      </c>
    </row>
    <row r="43" spans="1:28">
      <c r="A43" s="145" t="s">
        <v>115</v>
      </c>
      <c r="B43" s="87" t="s">
        <v>270</v>
      </c>
      <c r="C43" s="164">
        <v>1605.9449999999999</v>
      </c>
      <c r="D43" s="164">
        <v>913.995</v>
      </c>
      <c r="E43" s="164">
        <v>69.388999999999996</v>
      </c>
      <c r="F43" s="164">
        <v>2820.6709999999998</v>
      </c>
      <c r="G43" s="225">
        <f t="shared" si="9"/>
        <v>21.667000000000005</v>
      </c>
      <c r="H43" s="210">
        <v>21.75</v>
      </c>
      <c r="I43" s="210">
        <v>1</v>
      </c>
      <c r="J43" s="210">
        <v>1.125</v>
      </c>
      <c r="K43" s="210">
        <v>30</v>
      </c>
      <c r="L43" s="210">
        <f t="shared" si="7"/>
        <v>30</v>
      </c>
      <c r="M43" s="231">
        <v>99</v>
      </c>
      <c r="N43" s="236">
        <f t="shared" si="8"/>
        <v>48.51</v>
      </c>
      <c r="O43" s="213">
        <v>11360.79</v>
      </c>
      <c r="P43" s="213">
        <v>677.95</v>
      </c>
      <c r="Q43" s="213">
        <v>10.71</v>
      </c>
      <c r="R43" s="213">
        <v>8147.43</v>
      </c>
      <c r="S43" s="213">
        <v>725.32</v>
      </c>
      <c r="T43" s="232">
        <v>9.07</v>
      </c>
      <c r="U43" s="214" t="s">
        <v>23</v>
      </c>
      <c r="V43" s="215">
        <f t="shared" si="10"/>
        <v>43.333666666666673</v>
      </c>
      <c r="W43" s="210">
        <f t="shared" si="11"/>
        <v>0</v>
      </c>
      <c r="X43" s="214" t="s">
        <v>24</v>
      </c>
      <c r="Y43" s="215">
        <f t="shared" si="12"/>
        <v>21.666666666666668</v>
      </c>
      <c r="Z43" s="210">
        <f t="shared" si="13"/>
        <v>0</v>
      </c>
      <c r="AA43" s="215">
        <f t="shared" si="14"/>
        <v>-21.667000000000005</v>
      </c>
      <c r="AB43" s="210">
        <f t="shared" si="15"/>
        <v>0</v>
      </c>
    </row>
    <row r="44" spans="1:28">
      <c r="A44" s="145" t="s">
        <v>115</v>
      </c>
      <c r="B44" s="87" t="s">
        <v>271</v>
      </c>
      <c r="C44" s="164">
        <v>-1537.2719999999999</v>
      </c>
      <c r="D44" s="164">
        <v>-873.53</v>
      </c>
      <c r="E44" s="164">
        <v>-66.314999999999998</v>
      </c>
      <c r="F44" s="164">
        <v>-2698.2829999999999</v>
      </c>
      <c r="G44" s="225">
        <f t="shared" si="9"/>
        <v>21.667000000000005</v>
      </c>
      <c r="H44" s="210">
        <v>21.75</v>
      </c>
      <c r="I44" s="210">
        <v>1</v>
      </c>
      <c r="J44" s="210">
        <v>1.125</v>
      </c>
      <c r="K44" s="210">
        <v>30</v>
      </c>
      <c r="L44" s="210">
        <f t="shared" si="7"/>
        <v>30</v>
      </c>
      <c r="M44" s="231">
        <v>99</v>
      </c>
      <c r="N44" s="236">
        <f t="shared" si="8"/>
        <v>48.51</v>
      </c>
      <c r="O44" s="213">
        <v>11360.79</v>
      </c>
      <c r="P44" s="213">
        <v>677.95</v>
      </c>
      <c r="Q44" s="213">
        <v>10.71</v>
      </c>
      <c r="R44" s="213">
        <v>8147.43</v>
      </c>
      <c r="S44" s="213">
        <v>725.32</v>
      </c>
      <c r="T44" s="232">
        <v>9.07</v>
      </c>
      <c r="U44" s="214" t="s">
        <v>105</v>
      </c>
      <c r="V44" s="215">
        <f t="shared" si="10"/>
        <v>21.666666666666668</v>
      </c>
      <c r="W44" s="210">
        <f t="shared" si="11"/>
        <v>0</v>
      </c>
      <c r="X44" s="214" t="s">
        <v>106</v>
      </c>
      <c r="Y44" s="215">
        <f t="shared" si="12"/>
        <v>43.333666666666673</v>
      </c>
      <c r="Z44" s="210">
        <f t="shared" si="13"/>
        <v>0</v>
      </c>
      <c r="AA44" s="215">
        <f t="shared" si="14"/>
        <v>21.667000000000005</v>
      </c>
      <c r="AB44" s="210">
        <f t="shared" si="15"/>
        <v>0</v>
      </c>
    </row>
    <row r="45" spans="1:28">
      <c r="A45" s="145" t="s">
        <v>115</v>
      </c>
      <c r="B45" s="87" t="s">
        <v>272</v>
      </c>
      <c r="C45" s="164">
        <v>-1537.385</v>
      </c>
      <c r="D45" s="164">
        <v>-873.6</v>
      </c>
      <c r="E45" s="164">
        <v>-66.322000000000003</v>
      </c>
      <c r="F45" s="164">
        <v>-2698.4749999999999</v>
      </c>
      <c r="G45" s="225">
        <f t="shared" si="9"/>
        <v>21.667000000000005</v>
      </c>
      <c r="H45" s="210">
        <v>21.75</v>
      </c>
      <c r="I45" s="210">
        <v>1</v>
      </c>
      <c r="J45" s="210">
        <v>1.125</v>
      </c>
      <c r="K45" s="210">
        <v>30</v>
      </c>
      <c r="L45" s="210">
        <f t="shared" si="7"/>
        <v>30</v>
      </c>
      <c r="M45" s="231">
        <v>99</v>
      </c>
      <c r="N45" s="236">
        <f t="shared" si="8"/>
        <v>48.51</v>
      </c>
      <c r="O45" s="213">
        <v>11360.79</v>
      </c>
      <c r="P45" s="213">
        <v>677.95</v>
      </c>
      <c r="Q45" s="213">
        <v>10.71</v>
      </c>
      <c r="R45" s="213">
        <v>8147.43</v>
      </c>
      <c r="S45" s="213">
        <v>725.32</v>
      </c>
      <c r="T45" s="232">
        <v>9.07</v>
      </c>
      <c r="U45" s="214" t="s">
        <v>106</v>
      </c>
      <c r="V45" s="215">
        <f t="shared" si="10"/>
        <v>43.333666666666673</v>
      </c>
      <c r="W45" s="210">
        <f t="shared" si="11"/>
        <v>0</v>
      </c>
      <c r="X45" s="214" t="s">
        <v>107</v>
      </c>
      <c r="Y45" s="215">
        <f t="shared" si="12"/>
        <v>21.666666666666668</v>
      </c>
      <c r="Z45" s="210">
        <f t="shared" si="13"/>
        <v>0</v>
      </c>
      <c r="AA45" s="215">
        <f t="shared" si="14"/>
        <v>-21.667000000000005</v>
      </c>
      <c r="AB45" s="210">
        <f t="shared" si="15"/>
        <v>0</v>
      </c>
    </row>
    <row r="46" spans="1:28">
      <c r="A46" s="145" t="s">
        <v>117</v>
      </c>
      <c r="B46" s="87" t="s">
        <v>273</v>
      </c>
      <c r="C46" s="164">
        <v>-2732.0479999999998</v>
      </c>
      <c r="D46" s="164">
        <v>-1545.971</v>
      </c>
      <c r="E46" s="164">
        <v>-117.417</v>
      </c>
      <c r="F46" s="164">
        <v>-4810.9560000000001</v>
      </c>
      <c r="G46" s="225">
        <f t="shared" si="9"/>
        <v>21.667000000000005</v>
      </c>
      <c r="H46" s="210">
        <v>19.5</v>
      </c>
      <c r="I46" s="210">
        <v>1</v>
      </c>
      <c r="J46" s="210">
        <v>2.25</v>
      </c>
      <c r="K46" s="210">
        <v>30</v>
      </c>
      <c r="L46" s="210">
        <f t="shared" si="7"/>
        <v>30</v>
      </c>
      <c r="M46" s="231">
        <v>162</v>
      </c>
      <c r="N46" s="236">
        <f t="shared" si="8"/>
        <v>79.38</v>
      </c>
      <c r="O46" s="213">
        <v>15747.75</v>
      </c>
      <c r="P46" s="213">
        <v>979.7</v>
      </c>
      <c r="Q46" s="213">
        <v>9.86</v>
      </c>
      <c r="R46" s="213">
        <v>10866.66</v>
      </c>
      <c r="S46" s="213">
        <v>1073.25</v>
      </c>
      <c r="T46" s="232">
        <v>8.19</v>
      </c>
      <c r="U46" s="214" t="s">
        <v>107</v>
      </c>
      <c r="V46" s="215">
        <f t="shared" si="10"/>
        <v>21.666666666666668</v>
      </c>
      <c r="W46" s="210">
        <f t="shared" si="11"/>
        <v>0</v>
      </c>
      <c r="X46" s="214" t="s">
        <v>108</v>
      </c>
      <c r="Y46" s="215">
        <f t="shared" si="12"/>
        <v>43.333666666666673</v>
      </c>
      <c r="Z46" s="210">
        <f t="shared" si="13"/>
        <v>0</v>
      </c>
      <c r="AA46" s="215">
        <f t="shared" si="14"/>
        <v>21.667000000000005</v>
      </c>
      <c r="AB46" s="210">
        <f t="shared" si="15"/>
        <v>0</v>
      </c>
    </row>
    <row r="47" spans="1:28">
      <c r="A47" s="145" t="s">
        <v>118</v>
      </c>
      <c r="B47" s="87" t="s">
        <v>274</v>
      </c>
      <c r="C47" s="151">
        <v>-918.601</v>
      </c>
      <c r="D47" s="151">
        <v>-518.06500000000005</v>
      </c>
      <c r="E47" s="167">
        <v>-39.264000000000003</v>
      </c>
      <c r="F47" s="151">
        <v>-1617.18</v>
      </c>
      <c r="G47" s="225">
        <f t="shared" si="9"/>
        <v>32.229036132034736</v>
      </c>
      <c r="H47" s="210">
        <v>22</v>
      </c>
      <c r="I47" s="210">
        <v>0.875</v>
      </c>
      <c r="J47" s="210">
        <v>1</v>
      </c>
      <c r="K47" s="210">
        <v>18</v>
      </c>
      <c r="L47" s="210">
        <f t="shared" si="7"/>
        <v>18</v>
      </c>
      <c r="M47" s="231">
        <v>53.5</v>
      </c>
      <c r="N47" s="236">
        <f t="shared" si="8"/>
        <v>26.215</v>
      </c>
      <c r="O47" s="213">
        <v>3156.92</v>
      </c>
      <c r="P47" s="213">
        <v>350.77</v>
      </c>
      <c r="Q47" s="213">
        <v>7.68</v>
      </c>
      <c r="R47" s="213">
        <v>4129.6099999999997</v>
      </c>
      <c r="S47" s="213">
        <v>364.58</v>
      </c>
      <c r="T47" s="232">
        <v>8.7899999999999991</v>
      </c>
      <c r="U47" s="214" t="s">
        <v>42</v>
      </c>
      <c r="V47" s="215">
        <f t="shared" si="10"/>
        <v>43.333666666666673</v>
      </c>
      <c r="W47" s="210">
        <f t="shared" si="11"/>
        <v>-23.859000000000002</v>
      </c>
      <c r="X47" s="214" t="s">
        <v>107</v>
      </c>
      <c r="Y47" s="215">
        <f t="shared" si="12"/>
        <v>21.666666666666668</v>
      </c>
      <c r="Z47" s="210">
        <f t="shared" si="13"/>
        <v>0</v>
      </c>
      <c r="AA47" s="215">
        <f t="shared" si="14"/>
        <v>-21.667000000000005</v>
      </c>
      <c r="AB47" s="210">
        <f t="shared" si="15"/>
        <v>23.859000000000002</v>
      </c>
    </row>
    <row r="48" spans="1:28">
      <c r="A48" s="145" t="s">
        <v>118</v>
      </c>
      <c r="B48" s="87" t="s">
        <v>275</v>
      </c>
      <c r="C48" s="151">
        <v>867.93200000000002</v>
      </c>
      <c r="D48" s="151">
        <v>494.06599999999997</v>
      </c>
      <c r="E48" s="167">
        <v>37.506999999999998</v>
      </c>
      <c r="F48" s="151">
        <v>1521.366</v>
      </c>
      <c r="G48" s="225">
        <f t="shared" si="9"/>
        <v>28.906869667952641</v>
      </c>
      <c r="H48" s="210">
        <v>22</v>
      </c>
      <c r="I48" s="210">
        <v>0.875</v>
      </c>
      <c r="J48" s="210">
        <v>1</v>
      </c>
      <c r="K48" s="210">
        <v>18</v>
      </c>
      <c r="L48" s="210">
        <f t="shared" si="7"/>
        <v>18</v>
      </c>
      <c r="M48" s="231">
        <v>53.5</v>
      </c>
      <c r="N48" s="236">
        <f t="shared" si="8"/>
        <v>26.215</v>
      </c>
      <c r="O48" s="213">
        <v>3156.92</v>
      </c>
      <c r="P48" s="213">
        <v>350.77</v>
      </c>
      <c r="Q48" s="213">
        <v>7.68</v>
      </c>
      <c r="R48" s="213">
        <v>4129.6099999999997</v>
      </c>
      <c r="S48" s="213">
        <v>364.58</v>
      </c>
      <c r="T48" s="232">
        <v>8.7899999999999991</v>
      </c>
      <c r="U48" s="214" t="s">
        <v>26</v>
      </c>
      <c r="V48" s="215">
        <f t="shared" si="10"/>
        <v>21.666666666666668</v>
      </c>
      <c r="W48" s="210">
        <f t="shared" si="11"/>
        <v>0</v>
      </c>
      <c r="X48" s="214" t="s">
        <v>18</v>
      </c>
      <c r="Y48" s="215">
        <f t="shared" si="12"/>
        <v>43.333666666666673</v>
      </c>
      <c r="Z48" s="210">
        <f t="shared" si="13"/>
        <v>-19.135000000000002</v>
      </c>
      <c r="AA48" s="215">
        <f t="shared" si="14"/>
        <v>21.667000000000005</v>
      </c>
      <c r="AB48" s="210">
        <f t="shared" si="15"/>
        <v>-19.135000000000002</v>
      </c>
    </row>
    <row r="49" spans="1:28">
      <c r="A49" s="145" t="s">
        <v>118</v>
      </c>
      <c r="B49" s="87" t="s">
        <v>276</v>
      </c>
      <c r="C49" s="151">
        <v>-909.76599999999996</v>
      </c>
      <c r="D49" s="151">
        <v>-516.36300000000006</v>
      </c>
      <c r="E49" s="167">
        <v>-39.195999999999998</v>
      </c>
      <c r="F49" s="151">
        <v>-1594.6410000000001</v>
      </c>
      <c r="G49" s="225">
        <f t="shared" si="9"/>
        <v>28.906869667952641</v>
      </c>
      <c r="H49" s="210">
        <v>22</v>
      </c>
      <c r="I49" s="210">
        <v>0.875</v>
      </c>
      <c r="J49" s="210">
        <v>1</v>
      </c>
      <c r="K49" s="210">
        <v>18</v>
      </c>
      <c r="L49" s="210">
        <f t="shared" si="7"/>
        <v>18</v>
      </c>
      <c r="M49" s="231">
        <v>53.5</v>
      </c>
      <c r="N49" s="236">
        <f t="shared" si="8"/>
        <v>26.215</v>
      </c>
      <c r="O49" s="213">
        <v>3156.92</v>
      </c>
      <c r="P49" s="213">
        <v>350.77</v>
      </c>
      <c r="Q49" s="213">
        <v>7.68</v>
      </c>
      <c r="R49" s="213">
        <v>4129.6099999999997</v>
      </c>
      <c r="S49" s="213">
        <v>364.58</v>
      </c>
      <c r="T49" s="232">
        <v>8.7899999999999991</v>
      </c>
      <c r="U49" s="214" t="s">
        <v>18</v>
      </c>
      <c r="V49" s="215">
        <f t="shared" si="10"/>
        <v>43.333666666666673</v>
      </c>
      <c r="W49" s="210">
        <f t="shared" si="11"/>
        <v>-19.135000000000002</v>
      </c>
      <c r="X49" s="214" t="s">
        <v>105</v>
      </c>
      <c r="Y49" s="215">
        <f t="shared" si="12"/>
        <v>21.666666666666668</v>
      </c>
      <c r="Z49" s="210">
        <f t="shared" si="13"/>
        <v>0</v>
      </c>
      <c r="AA49" s="215">
        <f t="shared" si="14"/>
        <v>-21.667000000000005</v>
      </c>
      <c r="AB49" s="210">
        <f t="shared" si="15"/>
        <v>19.135000000000002</v>
      </c>
    </row>
    <row r="50" spans="1:28">
      <c r="A50" s="146" t="s">
        <v>118</v>
      </c>
      <c r="B50" s="92" t="s">
        <v>277</v>
      </c>
      <c r="C50" s="149">
        <v>852.36099999999999</v>
      </c>
      <c r="D50" s="149">
        <v>484.95699999999999</v>
      </c>
      <c r="E50" s="168">
        <v>36.835999999999999</v>
      </c>
      <c r="F50" s="149">
        <v>1493.998</v>
      </c>
      <c r="G50" s="226">
        <f t="shared" si="9"/>
        <v>28.038859702998703</v>
      </c>
      <c r="H50" s="210">
        <v>22</v>
      </c>
      <c r="I50" s="210">
        <v>0.875</v>
      </c>
      <c r="J50" s="210">
        <v>1</v>
      </c>
      <c r="K50" s="210">
        <v>18</v>
      </c>
      <c r="L50" s="210">
        <f t="shared" si="7"/>
        <v>18</v>
      </c>
      <c r="M50" s="233">
        <v>53.5</v>
      </c>
      <c r="N50" s="237">
        <f t="shared" si="8"/>
        <v>26.215</v>
      </c>
      <c r="O50" s="234">
        <v>3156.92</v>
      </c>
      <c r="P50" s="234">
        <v>350.77</v>
      </c>
      <c r="Q50" s="234">
        <v>7.68</v>
      </c>
      <c r="R50" s="234">
        <v>4129.6099999999997</v>
      </c>
      <c r="S50" s="234">
        <v>364.58</v>
      </c>
      <c r="T50" s="235">
        <v>8.7899999999999991</v>
      </c>
      <c r="U50" s="214" t="s">
        <v>19</v>
      </c>
      <c r="V50" s="215">
        <f t="shared" si="10"/>
        <v>0</v>
      </c>
      <c r="W50" s="210">
        <f t="shared" si="11"/>
        <v>-17.797000000000001</v>
      </c>
      <c r="X50" s="214" t="s">
        <v>20</v>
      </c>
      <c r="Y50" s="215">
        <f t="shared" si="12"/>
        <v>21.666666666666668</v>
      </c>
      <c r="Z50" s="210">
        <f t="shared" si="13"/>
        <v>0</v>
      </c>
      <c r="AA50" s="215">
        <f t="shared" si="14"/>
        <v>21.666666666666668</v>
      </c>
      <c r="AB50" s="210">
        <f t="shared" si="15"/>
        <v>17.797000000000001</v>
      </c>
    </row>
    <row r="51" spans="1:28">
      <c r="N51" s="238"/>
    </row>
  </sheetData>
  <conditionalFormatting sqref="C26:C50">
    <cfRule type="cellIs" dxfId="15" priority="15" operator="equal">
      <formula>$W$38</formula>
    </cfRule>
    <cfRule type="cellIs" dxfId="14" priority="16" operator="equal">
      <formula>$W$37</formula>
    </cfRule>
  </conditionalFormatting>
  <conditionalFormatting sqref="E26:E50">
    <cfRule type="cellIs" dxfId="13" priority="13" operator="equal">
      <formula>$Y$38</formula>
    </cfRule>
    <cfRule type="cellIs" dxfId="12" priority="14" operator="equal">
      <formula>$Y$37</formula>
    </cfRule>
  </conditionalFormatting>
  <conditionalFormatting sqref="F26:F50">
    <cfRule type="cellIs" dxfId="11" priority="11" operator="equal">
      <formula>$Z$38</formula>
    </cfRule>
    <cfRule type="cellIs" dxfId="10" priority="12" operator="equal">
      <formula>$Z$37</formula>
    </cfRule>
  </conditionalFormatting>
  <conditionalFormatting sqref="C2:C25">
    <cfRule type="cellIs" dxfId="9" priority="9" operator="equal">
      <formula>$N$37</formula>
    </cfRule>
    <cfRule type="cellIs" dxfId="8" priority="10" operator="equal">
      <formula>$N$36</formula>
    </cfRule>
  </conditionalFormatting>
  <conditionalFormatting sqref="D2:D25">
    <cfRule type="cellIs" dxfId="7" priority="7" operator="equal">
      <formula>$O$37</formula>
    </cfRule>
    <cfRule type="cellIs" dxfId="6" priority="8" operator="equal">
      <formula>$O$36</formula>
    </cfRule>
  </conditionalFormatting>
  <conditionalFormatting sqref="E2:E25">
    <cfRule type="cellIs" dxfId="5" priority="5" operator="equal">
      <formula>$P$37</formula>
    </cfRule>
    <cfRule type="cellIs" dxfId="4" priority="6" operator="equal">
      <formula>$P$36</formula>
    </cfRule>
  </conditionalFormatting>
  <conditionalFormatting sqref="F2:F25">
    <cfRule type="cellIs" dxfId="3" priority="3" operator="equal">
      <formula>$Q$37</formula>
    </cfRule>
    <cfRule type="cellIs" dxfId="2" priority="4" operator="equal">
      <formula>$Q$36</formula>
    </cfRule>
  </conditionalFormatting>
  <conditionalFormatting sqref="D26:D50">
    <cfRule type="cellIs" dxfId="1" priority="1" operator="equal">
      <formula>#REF!</formula>
    </cfRule>
    <cfRule type="cellIs" dxfId="0" priority="2" operator="equal">
      <formula>#REF!</formula>
    </cfRule>
  </conditionalFormatting>
  <pageMargins left="0.7" right="0.7" top="0.75" bottom="0.75" header="0.3" footer="0.3"/>
  <pageSetup paperSize="17" scale="70" orientation="landscape" r:id="rId1"/>
</worksheet>
</file>

<file path=xl/worksheets/sheet4.xml><?xml version="1.0" encoding="utf-8"?>
<worksheet xmlns="http://schemas.openxmlformats.org/spreadsheetml/2006/main" xmlns:r="http://schemas.openxmlformats.org/officeDocument/2006/relationships">
  <dimension ref="C1:Q23"/>
  <sheetViews>
    <sheetView workbookViewId="0">
      <selection activeCell="N10" sqref="N10"/>
    </sheetView>
  </sheetViews>
  <sheetFormatPr defaultRowHeight="15"/>
  <sheetData>
    <row r="1" spans="3:17" s="10" customFormat="1"/>
    <row r="2" spans="3:17" ht="15.75" thickBot="1">
      <c r="I2" s="9"/>
    </row>
    <row r="3" spans="3:17" ht="16.5" thickTop="1" thickBot="1">
      <c r="C3" s="266" t="s">
        <v>36</v>
      </c>
      <c r="D3" s="267"/>
      <c r="E3" s="267"/>
      <c r="F3" s="267"/>
      <c r="G3" s="267"/>
      <c r="H3" s="267"/>
      <c r="I3" s="267"/>
      <c r="J3" s="268"/>
    </row>
    <row r="4" spans="3:17" ht="102.75">
      <c r="C4" s="14" t="s">
        <v>28</v>
      </c>
      <c r="D4" s="11" t="s">
        <v>29</v>
      </c>
      <c r="E4" s="11" t="s">
        <v>30</v>
      </c>
      <c r="F4" s="11" t="s">
        <v>31</v>
      </c>
      <c r="G4" s="11" t="s">
        <v>32</v>
      </c>
      <c r="H4" s="11" t="s">
        <v>33</v>
      </c>
      <c r="I4" s="11" t="s">
        <v>34</v>
      </c>
      <c r="J4" s="15" t="s">
        <v>35</v>
      </c>
      <c r="N4" t="s">
        <v>11</v>
      </c>
      <c r="O4" t="s">
        <v>37</v>
      </c>
    </row>
    <row r="5" spans="3:17">
      <c r="C5" s="16"/>
      <c r="D5" s="12" t="s">
        <v>9</v>
      </c>
      <c r="E5" s="12" t="s">
        <v>9</v>
      </c>
      <c r="F5" s="12" t="s">
        <v>9</v>
      </c>
      <c r="G5" s="12" t="s">
        <v>9</v>
      </c>
      <c r="H5" s="12" t="s">
        <v>9</v>
      </c>
      <c r="I5" s="12" t="s">
        <v>9</v>
      </c>
      <c r="J5" s="17" t="s">
        <v>9</v>
      </c>
    </row>
    <row r="6" spans="3:17">
      <c r="C6" s="16" t="s">
        <v>20</v>
      </c>
      <c r="D6" s="13">
        <v>10.199999999999999</v>
      </c>
      <c r="E6" s="12">
        <v>8.6</v>
      </c>
      <c r="F6" s="12">
        <v>0</v>
      </c>
      <c r="G6" s="12">
        <v>0</v>
      </c>
      <c r="H6" s="12">
        <v>0</v>
      </c>
      <c r="I6" s="12">
        <v>0</v>
      </c>
      <c r="J6" s="18">
        <f>SUM(D6:I6)</f>
        <v>18.799999999999997</v>
      </c>
      <c r="M6" t="s">
        <v>20</v>
      </c>
      <c r="N6">
        <v>21.968333333333334</v>
      </c>
      <c r="O6">
        <v>9.2324973958333327</v>
      </c>
    </row>
    <row r="7" spans="3:17">
      <c r="C7" s="16" t="s">
        <v>21</v>
      </c>
      <c r="D7" s="13">
        <v>5.0999999999999996</v>
      </c>
      <c r="E7" s="12">
        <v>4.2</v>
      </c>
      <c r="F7" s="12">
        <v>0</v>
      </c>
      <c r="G7" s="12">
        <v>0</v>
      </c>
      <c r="H7" s="12">
        <v>0</v>
      </c>
      <c r="I7" s="12">
        <v>0</v>
      </c>
      <c r="J7" s="18">
        <f t="shared" ref="J7:J22" si="0">SUM(D7:I7)</f>
        <v>9.3000000000000007</v>
      </c>
      <c r="M7" t="s">
        <v>21</v>
      </c>
      <c r="N7">
        <v>7.8604166666666675</v>
      </c>
      <c r="O7">
        <v>2.2433749999999999</v>
      </c>
    </row>
    <row r="8" spans="3:17">
      <c r="C8" s="16" t="s">
        <v>22</v>
      </c>
      <c r="D8" s="13">
        <v>10</v>
      </c>
      <c r="E8" s="12">
        <v>2.5</v>
      </c>
      <c r="F8" s="12">
        <v>0</v>
      </c>
      <c r="G8" s="12">
        <v>0</v>
      </c>
      <c r="H8" s="12">
        <v>0</v>
      </c>
      <c r="I8" s="12">
        <v>0</v>
      </c>
      <c r="J8" s="18">
        <f t="shared" si="0"/>
        <v>12.5</v>
      </c>
      <c r="M8" t="s">
        <v>22</v>
      </c>
      <c r="N8">
        <v>22.560416666666665</v>
      </c>
      <c r="O8">
        <v>3.9506250000000001</v>
      </c>
    </row>
    <row r="9" spans="3:17">
      <c r="C9" s="16" t="s">
        <v>23</v>
      </c>
      <c r="D9" s="13">
        <v>5.4</v>
      </c>
      <c r="E9" s="12">
        <v>4.2</v>
      </c>
      <c r="F9" s="12">
        <v>0</v>
      </c>
      <c r="G9" s="12">
        <v>0</v>
      </c>
      <c r="H9" s="12">
        <v>0</v>
      </c>
      <c r="I9" s="12">
        <v>0</v>
      </c>
      <c r="J9" s="18">
        <f t="shared" si="0"/>
        <v>9.6000000000000014</v>
      </c>
      <c r="M9" t="s">
        <v>23</v>
      </c>
      <c r="N9">
        <v>7.8127777777777778</v>
      </c>
      <c r="O9">
        <v>2.2433749999999999</v>
      </c>
    </row>
    <row r="10" spans="3:17">
      <c r="C10" s="16" t="s">
        <v>24</v>
      </c>
      <c r="D10" s="13">
        <v>11.1</v>
      </c>
      <c r="E10" s="12">
        <v>2.5</v>
      </c>
      <c r="F10" s="12">
        <v>0</v>
      </c>
      <c r="G10" s="12">
        <v>0</v>
      </c>
      <c r="H10" s="12">
        <v>0</v>
      </c>
      <c r="I10" s="12">
        <v>0</v>
      </c>
      <c r="J10" s="18">
        <f t="shared" si="0"/>
        <v>13.6</v>
      </c>
      <c r="M10" t="s">
        <v>24</v>
      </c>
      <c r="N10">
        <v>21.961527777777775</v>
      </c>
      <c r="O10">
        <v>3.9506250000000001</v>
      </c>
    </row>
    <row r="11" spans="3:17">
      <c r="C11" s="16" t="s">
        <v>25</v>
      </c>
      <c r="D11" s="13">
        <v>5.0999999999999996</v>
      </c>
      <c r="E11" s="12">
        <v>4.5</v>
      </c>
      <c r="F11" s="12">
        <v>0</v>
      </c>
      <c r="G11" s="12">
        <v>0</v>
      </c>
      <c r="H11" s="12">
        <v>0</v>
      </c>
      <c r="I11" s="12">
        <v>0</v>
      </c>
      <c r="J11" s="18">
        <f t="shared" si="0"/>
        <v>9.6</v>
      </c>
      <c r="M11" t="s">
        <v>25</v>
      </c>
      <c r="N11">
        <v>7.7855555555555558</v>
      </c>
      <c r="O11">
        <v>2.2433749999999999</v>
      </c>
    </row>
    <row r="12" spans="3:17">
      <c r="C12" s="16" t="s">
        <v>26</v>
      </c>
      <c r="D12" s="13">
        <v>18.5</v>
      </c>
      <c r="E12" s="12">
        <v>11</v>
      </c>
      <c r="F12" s="12">
        <v>0</v>
      </c>
      <c r="G12" s="12">
        <v>0</v>
      </c>
      <c r="H12" s="12">
        <v>0</v>
      </c>
      <c r="I12" s="12">
        <v>0</v>
      </c>
      <c r="J12" s="18">
        <f t="shared" si="0"/>
        <v>29.5</v>
      </c>
      <c r="M12" t="s">
        <v>26</v>
      </c>
      <c r="N12">
        <v>34.551805555555553</v>
      </c>
      <c r="O12">
        <v>10.863256944444444</v>
      </c>
    </row>
    <row r="13" spans="3:17">
      <c r="C13" s="16" t="s">
        <v>27</v>
      </c>
      <c r="D13" s="13">
        <v>6.4</v>
      </c>
      <c r="E13" s="12">
        <v>0</v>
      </c>
      <c r="F13" s="12">
        <v>0</v>
      </c>
      <c r="G13" s="12">
        <v>0</v>
      </c>
      <c r="H13" s="12">
        <v>0</v>
      </c>
      <c r="I13" s="12">
        <v>0</v>
      </c>
      <c r="J13" s="18">
        <f t="shared" si="0"/>
        <v>6.4</v>
      </c>
      <c r="M13" t="s">
        <v>27</v>
      </c>
      <c r="N13">
        <v>5.5465277777777775</v>
      </c>
      <c r="O13">
        <v>1.7072500000000002</v>
      </c>
    </row>
    <row r="14" spans="3:17">
      <c r="C14" s="16" t="s">
        <v>19</v>
      </c>
      <c r="D14" s="13">
        <v>7.5</v>
      </c>
      <c r="E14" s="12">
        <v>0</v>
      </c>
      <c r="F14" s="12">
        <v>1.3</v>
      </c>
      <c r="G14" s="12">
        <v>71.3</v>
      </c>
      <c r="H14" s="12">
        <v>25</v>
      </c>
      <c r="I14" s="12">
        <v>2.2999999999999998</v>
      </c>
      <c r="J14" s="18">
        <f t="shared" si="0"/>
        <v>107.39999999999999</v>
      </c>
      <c r="M14" t="s">
        <v>19</v>
      </c>
      <c r="N14">
        <v>31.400833333333299</v>
      </c>
      <c r="O14">
        <v>44.118703125000003</v>
      </c>
      <c r="P14">
        <v>18.997892361111113</v>
      </c>
      <c r="Q14">
        <v>9.9187499999999993</v>
      </c>
    </row>
    <row r="15" spans="3:17">
      <c r="C15" s="16" t="s">
        <v>10</v>
      </c>
      <c r="D15" s="13">
        <v>5.3</v>
      </c>
      <c r="E15" s="12">
        <v>0</v>
      </c>
      <c r="F15" s="12">
        <v>2.6</v>
      </c>
      <c r="G15" s="12">
        <v>100.7</v>
      </c>
      <c r="H15" s="12">
        <v>35.700000000000003</v>
      </c>
      <c r="I15" s="12">
        <v>2.2999999999999998</v>
      </c>
      <c r="J15" s="18">
        <f t="shared" si="0"/>
        <v>146.60000000000002</v>
      </c>
      <c r="M15" t="s">
        <v>10</v>
      </c>
      <c r="N15">
        <v>12.392916666666666</v>
      </c>
      <c r="O15">
        <v>88.237406250000006</v>
      </c>
      <c r="P15">
        <v>36.225319444444452</v>
      </c>
      <c r="Q15">
        <v>19.837499999999999</v>
      </c>
    </row>
    <row r="16" spans="3:17">
      <c r="C16" s="16" t="s">
        <v>12</v>
      </c>
      <c r="D16" s="13">
        <v>10.3</v>
      </c>
      <c r="E16" s="12">
        <v>0</v>
      </c>
      <c r="F16" s="12">
        <v>2.6</v>
      </c>
      <c r="G16" s="12">
        <v>100.7</v>
      </c>
      <c r="H16" s="12">
        <v>35.700000000000003</v>
      </c>
      <c r="I16" s="12">
        <v>2.2999999999999998</v>
      </c>
      <c r="J16" s="18">
        <f t="shared" si="0"/>
        <v>151.60000000000002</v>
      </c>
      <c r="M16" t="s">
        <v>12</v>
      </c>
      <c r="N16">
        <v>30.318749999999998</v>
      </c>
      <c r="O16">
        <v>88.237406250000006</v>
      </c>
      <c r="P16">
        <v>35.887319444444451</v>
      </c>
      <c r="Q16">
        <v>19.837499999999999</v>
      </c>
    </row>
    <row r="17" spans="3:17">
      <c r="C17" s="16" t="s">
        <v>13</v>
      </c>
      <c r="D17" s="13">
        <v>5.7</v>
      </c>
      <c r="E17" s="12">
        <v>0</v>
      </c>
      <c r="F17" s="12">
        <v>2.7</v>
      </c>
      <c r="G17" s="12">
        <v>100.7</v>
      </c>
      <c r="H17" s="12">
        <v>40.5</v>
      </c>
      <c r="I17" s="12">
        <v>2.2999999999999998</v>
      </c>
      <c r="J17" s="18">
        <f t="shared" si="0"/>
        <v>151.90000000000003</v>
      </c>
      <c r="M17" t="s">
        <v>13</v>
      </c>
      <c r="N17">
        <v>12.345277777777778</v>
      </c>
      <c r="O17">
        <v>88.237406250000006</v>
      </c>
      <c r="P17">
        <v>48.818262152777791</v>
      </c>
      <c r="Q17">
        <v>19.837499999999999</v>
      </c>
    </row>
    <row r="18" spans="3:17">
      <c r="C18" s="16" t="s">
        <v>14</v>
      </c>
      <c r="D18" s="13">
        <v>11</v>
      </c>
      <c r="E18" s="12">
        <v>0</v>
      </c>
      <c r="F18" s="12">
        <v>2.7</v>
      </c>
      <c r="G18" s="12">
        <v>100.7</v>
      </c>
      <c r="H18" s="12">
        <v>45.3</v>
      </c>
      <c r="I18" s="12">
        <v>2.2999999999999998</v>
      </c>
      <c r="J18" s="18">
        <f t="shared" si="0"/>
        <v>162</v>
      </c>
      <c r="M18" t="s">
        <v>14</v>
      </c>
      <c r="N18">
        <v>29.971666666666664</v>
      </c>
      <c r="O18">
        <v>88.237406250000006</v>
      </c>
      <c r="P18">
        <v>49.747413194444462</v>
      </c>
      <c r="Q18">
        <v>19.837499999999999</v>
      </c>
    </row>
    <row r="19" spans="3:17">
      <c r="C19" s="16" t="s">
        <v>15</v>
      </c>
      <c r="D19" s="13">
        <v>5.9</v>
      </c>
      <c r="E19" s="12">
        <v>0</v>
      </c>
      <c r="F19" s="12">
        <v>2.7</v>
      </c>
      <c r="G19" s="12">
        <v>100.7</v>
      </c>
      <c r="H19" s="12">
        <v>40.5</v>
      </c>
      <c r="I19" s="12">
        <v>2.2999999999999998</v>
      </c>
      <c r="J19" s="18">
        <f t="shared" si="0"/>
        <v>152.10000000000002</v>
      </c>
      <c r="M19" t="s">
        <v>15</v>
      </c>
      <c r="N19">
        <v>12.3725</v>
      </c>
      <c r="O19">
        <v>88.237406250000006</v>
      </c>
      <c r="P19">
        <v>48.818262152777791</v>
      </c>
      <c r="Q19">
        <v>19.837499999999999</v>
      </c>
    </row>
    <row r="20" spans="3:17">
      <c r="C20" s="16" t="s">
        <v>16</v>
      </c>
      <c r="D20" s="13">
        <v>13</v>
      </c>
      <c r="E20" s="12">
        <v>0</v>
      </c>
      <c r="F20" s="12">
        <v>2.6</v>
      </c>
      <c r="G20" s="12">
        <v>100.7</v>
      </c>
      <c r="H20" s="12">
        <v>35.700000000000003</v>
      </c>
      <c r="I20" s="12">
        <v>2.2999999999999998</v>
      </c>
      <c r="J20" s="18">
        <f t="shared" si="0"/>
        <v>154.30000000000001</v>
      </c>
      <c r="M20" t="s">
        <v>16</v>
      </c>
      <c r="N20">
        <v>34.735555555555557</v>
      </c>
      <c r="O20">
        <v>88.237406250000006</v>
      </c>
      <c r="P20">
        <v>35.54931944444445</v>
      </c>
      <c r="Q20">
        <v>19.837499999999999</v>
      </c>
    </row>
    <row r="21" spans="3:17">
      <c r="C21" s="16" t="s">
        <v>17</v>
      </c>
      <c r="D21" s="13">
        <v>6</v>
      </c>
      <c r="E21" s="12">
        <v>0</v>
      </c>
      <c r="F21" s="12">
        <v>2.6</v>
      </c>
      <c r="G21" s="12">
        <v>100.7</v>
      </c>
      <c r="H21" s="12">
        <v>35.700000000000003</v>
      </c>
      <c r="I21" s="12">
        <v>2.2999999999999998</v>
      </c>
      <c r="J21" s="18">
        <f t="shared" si="0"/>
        <v>147.30000000000001</v>
      </c>
      <c r="M21" t="s">
        <v>17</v>
      </c>
      <c r="N21">
        <v>12.494999999999999</v>
      </c>
      <c r="O21">
        <v>88.237406250000006</v>
      </c>
      <c r="P21">
        <v>35.54931944444445</v>
      </c>
      <c r="Q21">
        <v>19.837499999999999</v>
      </c>
    </row>
    <row r="22" spans="3:17" ht="15.75" thickBot="1">
      <c r="C22" s="19" t="s">
        <v>18</v>
      </c>
      <c r="D22" s="20">
        <v>24.4</v>
      </c>
      <c r="E22" s="21">
        <v>0</v>
      </c>
      <c r="F22" s="21">
        <v>2.6</v>
      </c>
      <c r="G22" s="21">
        <v>100.7</v>
      </c>
      <c r="H22" s="21">
        <v>35.700000000000003</v>
      </c>
      <c r="I22" s="21">
        <v>2.2999999999999998</v>
      </c>
      <c r="J22" s="22">
        <f t="shared" si="0"/>
        <v>165.70000000000002</v>
      </c>
      <c r="M22" t="s">
        <v>18</v>
      </c>
      <c r="N22">
        <v>56.765138888888892</v>
      </c>
      <c r="O22">
        <v>88.237406250000006</v>
      </c>
      <c r="P22">
        <v>35.54931944444445</v>
      </c>
      <c r="Q22">
        <v>19.837499999999999</v>
      </c>
    </row>
    <row r="23" spans="3:17" ht="15.75" thickTop="1">
      <c r="N23" t="s">
        <v>11</v>
      </c>
      <c r="O23" t="s">
        <v>38</v>
      </c>
      <c r="P23" t="s">
        <v>33</v>
      </c>
      <c r="Q23" t="s">
        <v>39</v>
      </c>
    </row>
  </sheetData>
  <mergeCells count="1">
    <mergeCell ref="C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Truss Info</vt:lpstr>
      <vt:lpstr>Truss Members</vt:lpstr>
      <vt:lpstr>Truss Members (E)</vt:lpstr>
      <vt:lpstr>Summary Sheet</vt:lpstr>
    </vt:vector>
  </TitlesOfParts>
  <Company>STV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Gouveia</dc:creator>
  <cp:lastModifiedBy>Ana R. Gouveia</cp:lastModifiedBy>
  <cp:lastPrinted>2016-05-09T20:10:57Z</cp:lastPrinted>
  <dcterms:created xsi:type="dcterms:W3CDTF">2010-08-04T14:43:55Z</dcterms:created>
  <dcterms:modified xsi:type="dcterms:W3CDTF">2016-05-10T17:58:20Z</dcterms:modified>
</cp:coreProperties>
</file>