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xr:revisionPtr revIDLastSave="0" documentId="8_{667F5650-B46F-4E5F-9C3F-FE02E9A514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&amp;2&amp;3" sheetId="1" r:id="rId1"/>
  </sheets>
  <definedNames>
    <definedName name="_xlchart.v1.0" hidden="1">'1&amp;2&amp;3'!$O$4:$O$13</definedName>
    <definedName name="_xlchart.v1.1" hidden="1">'1&amp;2&amp;3'!$P$3</definedName>
    <definedName name="_xlchart.v1.2" hidden="1">'1&amp;2&amp;3'!$P$4:$P$13</definedName>
    <definedName name="_xlchart.v1.3" hidden="1">'1&amp;2&amp;3'!$R$4:$R$7</definedName>
    <definedName name="_xlchart.v1.4" hidden="1">'1&amp;2&amp;3'!$S$3</definedName>
    <definedName name="_xlchart.v1.5" hidden="1">'1&amp;2&amp;3'!$S$4:$S$7</definedName>
  </definedNames>
  <calcPr calcId="191028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D21" i="1"/>
  <c r="E21" i="1" s="1" a="1"/>
  <c r="E21" i="1" s="1"/>
  <c r="F20" i="1"/>
  <c r="D20" i="1"/>
  <c r="E20" i="1" s="1" a="1"/>
  <c r="E20" i="1" s="1"/>
  <c r="F19" i="1"/>
  <c r="D19" i="1"/>
  <c r="E19" i="1" s="1" a="1"/>
  <c r="E19" i="1" s="1"/>
  <c r="F18" i="1"/>
  <c r="D18" i="1"/>
  <c r="E18" i="1" s="1" a="1"/>
  <c r="E18" i="1" s="1"/>
  <c r="F17" i="1"/>
  <c r="D17" i="1"/>
  <c r="E17" i="1" s="1" a="1"/>
  <c r="E17" i="1" s="1"/>
  <c r="F16" i="1"/>
  <c r="D16" i="1"/>
  <c r="E16" i="1" s="1" a="1"/>
  <c r="E16" i="1" s="1"/>
  <c r="F15" i="1"/>
  <c r="D15" i="1"/>
  <c r="E15" i="1" s="1" a="1"/>
  <c r="E15" i="1" s="1"/>
  <c r="F14" i="1"/>
  <c r="D14" i="1"/>
  <c r="E14" i="1" s="1" a="1"/>
  <c r="E14" i="1" s="1"/>
  <c r="F13" i="1"/>
  <c r="D13" i="1"/>
  <c r="E13" i="1" s="1" a="1"/>
  <c r="E13" i="1" s="1"/>
  <c r="F12" i="1"/>
  <c r="D12" i="1"/>
  <c r="E12" i="1" s="1" a="1"/>
  <c r="E12" i="1" s="1"/>
  <c r="F11" i="1"/>
  <c r="D11" i="1"/>
  <c r="E11" i="1" s="1" a="1"/>
  <c r="E11" i="1" s="1"/>
  <c r="F10" i="1"/>
  <c r="D10" i="1"/>
  <c r="E10" i="1" s="1" a="1"/>
  <c r="E10" i="1" s="1"/>
  <c r="F9" i="1"/>
  <c r="D9" i="1"/>
  <c r="E9" i="1" s="1" a="1"/>
  <c r="E9" i="1" s="1"/>
  <c r="F8" i="1"/>
  <c r="D8" i="1"/>
  <c r="E8" i="1" s="1" a="1"/>
  <c r="E8" i="1" s="1"/>
  <c r="F7" i="1"/>
  <c r="D7" i="1"/>
  <c r="E7" i="1" s="1" a="1"/>
  <c r="E7" i="1" s="1"/>
  <c r="F6" i="1"/>
  <c r="D6" i="1"/>
  <c r="E6" i="1" s="1" a="1"/>
  <c r="E6" i="1" s="1"/>
  <c r="F5" i="1"/>
  <c r="D5" i="1"/>
  <c r="E5" i="1" s="1" a="1"/>
  <c r="E5" i="1" s="1"/>
  <c r="F4" i="1"/>
  <c r="D4" i="1"/>
  <c r="E4" i="1" s="1" a="1"/>
  <c r="E4" i="1" s="1"/>
  <c r="F3" i="1"/>
  <c r="D3" i="1"/>
  <c r="E3" i="1" s="1" a="1"/>
  <c r="E3" i="1" s="1"/>
  <c r="F2" i="1"/>
  <c r="D2" i="1"/>
  <c r="Y13" i="1" l="1"/>
  <c r="Y14" i="1"/>
  <c r="Y11" i="1"/>
  <c r="Y12" i="1"/>
  <c r="Y9" i="1"/>
  <c r="Y10" i="1"/>
  <c r="Y7" i="1"/>
  <c r="Y8" i="1"/>
  <c r="Y5" i="1"/>
  <c r="Y6" i="1"/>
  <c r="X14" i="1"/>
  <c r="Y4" i="1"/>
  <c r="X12" i="1"/>
  <c r="X13" i="1"/>
  <c r="X11" i="1"/>
  <c r="X10" i="1"/>
  <c r="X8" i="1"/>
  <c r="X9" i="1"/>
  <c r="X6" i="1"/>
  <c r="X7" i="1"/>
  <c r="X5" i="1"/>
  <c r="X4" i="1"/>
  <c r="W13" i="1"/>
  <c r="W14" i="1"/>
  <c r="W11" i="1"/>
  <c r="W12" i="1"/>
  <c r="W9" i="1"/>
  <c r="W10" i="1"/>
  <c r="W7" i="1"/>
  <c r="W8" i="1"/>
  <c r="W5" i="1"/>
  <c r="W6" i="1"/>
  <c r="W4" i="1"/>
  <c r="V13" i="1"/>
  <c r="V14" i="1"/>
  <c r="V11" i="1"/>
  <c r="V12" i="1"/>
  <c r="V9" i="1"/>
  <c r="V10" i="1"/>
  <c r="V7" i="1"/>
  <c r="V8" i="1"/>
  <c r="V5" i="1"/>
  <c r="V6" i="1"/>
  <c r="V4" i="1"/>
  <c r="S6" i="1"/>
  <c r="S7" i="1"/>
  <c r="S4" i="1"/>
  <c r="S5" i="1"/>
  <c r="P4" i="1"/>
  <c r="P5" i="1"/>
  <c r="P6" i="1"/>
  <c r="P7" i="1"/>
  <c r="P8" i="1"/>
  <c r="P9" i="1"/>
  <c r="P10" i="1"/>
  <c r="P11" i="1"/>
  <c r="P12" i="1"/>
  <c r="P13" i="1"/>
  <c r="M4" i="1"/>
  <c r="M5" i="1"/>
  <c r="I7" i="1"/>
  <c r="M3" i="1"/>
  <c r="J6" i="1"/>
  <c r="J7" i="1"/>
  <c r="J4" i="1"/>
  <c r="J5" i="1"/>
  <c r="I5" i="1"/>
  <c r="I6" i="1"/>
  <c r="E2" i="1" a="1"/>
  <c r="E2" i="1" s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<sst xmlns="http://schemas.openxmlformats.org/spreadsheetml/2006/main" count="100" uniqueCount="73">
  <si>
    <t>Nombre</t>
  </si>
  <si>
    <t>Apellidos</t>
  </si>
  <si>
    <t>Género</t>
  </si>
  <si>
    <t>Edad</t>
  </si>
  <si>
    <t>Grupo de Edad</t>
  </si>
  <si>
    <t>Puntuación</t>
  </si>
  <si>
    <t>1.4) CALCULOS</t>
  </si>
  <si>
    <t>2.1) FUNCIONES</t>
  </si>
  <si>
    <t>2.2) DATOS PARA VISUALIZACIONES</t>
  </si>
  <si>
    <t>3) TABLAS DINÁMICAS</t>
  </si>
  <si>
    <t>Ana</t>
  </si>
  <si>
    <t>Hernández Guardiet</t>
  </si>
  <si>
    <t>Mujer</t>
  </si>
  <si>
    <t>María</t>
  </si>
  <si>
    <t>Lopez Martinez</t>
  </si>
  <si>
    <t xml:space="preserve"> </t>
  </si>
  <si>
    <t>Punctuación</t>
  </si>
  <si>
    <t>Mayores de 30</t>
  </si>
  <si>
    <t>Bins Puntuación</t>
  </si>
  <si>
    <t>Count</t>
  </si>
  <si>
    <t>Bins Edad</t>
  </si>
  <si>
    <t>Puntuación / Edad</t>
  </si>
  <si>
    <t>16-30</t>
  </si>
  <si>
    <t>30-45</t>
  </si>
  <si>
    <t>45-60</t>
  </si>
  <si>
    <t>60+</t>
  </si>
  <si>
    <t>(Todas)</t>
  </si>
  <si>
    <t>Lucía</t>
  </si>
  <si>
    <t>Fernandez Ochoa</t>
  </si>
  <si>
    <t>Suma</t>
  </si>
  <si>
    <t>Aprobados</t>
  </si>
  <si>
    <t>16-29</t>
  </si>
  <si>
    <t>Carlos</t>
  </si>
  <si>
    <t>Aguirre Carrasco</t>
  </si>
  <si>
    <t>Hombre</t>
  </si>
  <si>
    <t>Promedio</t>
  </si>
  <si>
    <t>Aprobados mayores de 30</t>
  </si>
  <si>
    <t>30-44</t>
  </si>
  <si>
    <t>Promedio de Puntuación</t>
  </si>
  <si>
    <t>Lola</t>
  </si>
  <si>
    <t>García García</t>
  </si>
  <si>
    <t>Max</t>
  </si>
  <si>
    <t>45-59</t>
  </si>
  <si>
    <t>Natalia</t>
  </si>
  <si>
    <t>Min</t>
  </si>
  <si>
    <t>Guerrero Fernández</t>
  </si>
  <si>
    <t>Total general</t>
  </si>
  <si>
    <t>Lucas</t>
  </si>
  <si>
    <t>García Vázquez</t>
  </si>
  <si>
    <t>Pedro</t>
  </si>
  <si>
    <t>Mejías Tena</t>
  </si>
  <si>
    <t>Pablo</t>
  </si>
  <si>
    <t>Cuellas Tormo</t>
  </si>
  <si>
    <t>Blanca</t>
  </si>
  <si>
    <t>Melgar Bono</t>
  </si>
  <si>
    <t>Carla</t>
  </si>
  <si>
    <t>Harris</t>
  </si>
  <si>
    <t>Marina</t>
  </si>
  <si>
    <t>Mendez Perez</t>
  </si>
  <si>
    <t>Gonzalo</t>
  </si>
  <si>
    <t>Lobenstein Pinilla</t>
  </si>
  <si>
    <t>Miriam</t>
  </si>
  <si>
    <t>Sanchez Tena</t>
  </si>
  <si>
    <t>Carlota</t>
  </si>
  <si>
    <t>Lopez García</t>
  </si>
  <si>
    <t>Alex</t>
  </si>
  <si>
    <t>Vázquez Torralbo</t>
  </si>
  <si>
    <t>Alba</t>
  </si>
  <si>
    <t>Sanchez Lopez</t>
  </si>
  <si>
    <t>Alonso</t>
  </si>
  <si>
    <t>Pinilla Pinilla</t>
  </si>
  <si>
    <t>Patricio</t>
  </si>
  <si>
    <t>De Vera Guardiet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</si>
</sst>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5"/>
      </right>
      <top/>
      <bottom style="thin">
        <color theme="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vertical="center"/>
    </xf>
    <xf numFmtId="164" fontId="3" fillId="0" borderId="0" xfId="0" applyNumberFormat="1" applyFont="1"/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0" xfId="0" pivotButton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right"/>
    </xf>
    <xf numFmtId="0" fontId="0" fillId="5" borderId="9" xfId="0" applyFill="1" applyBorder="1"/>
    <xf numFmtId="0" fontId="0" fillId="0" borderId="0" xfId="0" applyNumberFormat="1"/>
    <xf numFmtId="0" fontId="5" fillId="3" borderId="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right"/>
    </xf>
    <xf numFmtId="0" fontId="0" fillId="5" borderId="11" xfId="0" applyFill="1" applyBorder="1"/>
    <xf numFmtId="0" fontId="5" fillId="3" borderId="1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right"/>
    </xf>
    <xf numFmtId="0" fontId="0" fillId="6" borderId="11" xfId="0" applyFill="1" applyBorder="1"/>
    <xf numFmtId="0" fontId="5" fillId="7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12"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Puntuaciones por Grupo de 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'1&amp;2&amp;3'!$V$3</c:f>
              <c:strCache>
                <c:ptCount val="1"/>
                <c:pt idx="0">
                  <c:v>16-30</c:v>
                </c:pt>
              </c:strCache>
            </c:strRef>
          </c:tx>
          <c:spPr>
            <a:solidFill>
              <a:srgbClr val="E2EFDA"/>
            </a:solidFill>
            <a:ln>
              <a:noFill/>
            </a:ln>
            <a:effectLst/>
          </c:spPr>
          <c:invertIfNegative val="0"/>
          <c:cat>
            <c:numRef>
              <c:f>'1&amp;2&amp;3'!$U$4:$U$14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'1&amp;2&amp;3'!$V$4:$V$14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49-4041-BEB9-776AE92330E2}"/>
            </c:ext>
          </c:extLst>
        </c:ser>
        <c:ser>
          <c:idx val="2"/>
          <c:order val="1"/>
          <c:tx>
            <c:strRef>
              <c:f>'1&amp;2&amp;3'!$W$3</c:f>
              <c:strCache>
                <c:ptCount val="1"/>
                <c:pt idx="0">
                  <c:v>30-45</c:v>
                </c:pt>
              </c:strCache>
            </c:strRef>
          </c:tx>
          <c:spPr>
            <a:solidFill>
              <a:srgbClr val="C6E0B4"/>
            </a:solidFill>
            <a:ln>
              <a:noFill/>
            </a:ln>
            <a:effectLst/>
          </c:spPr>
          <c:invertIfNegative val="0"/>
          <c:cat>
            <c:numRef>
              <c:f>'1&amp;2&amp;3'!$U$4:$U$14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'1&amp;2&amp;3'!$W$4:$W$14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49-4041-BEB9-776AE92330E2}"/>
            </c:ext>
          </c:extLst>
        </c:ser>
        <c:ser>
          <c:idx val="3"/>
          <c:order val="2"/>
          <c:tx>
            <c:strRef>
              <c:f>'1&amp;2&amp;3'!$X$3</c:f>
              <c:strCache>
                <c:ptCount val="1"/>
                <c:pt idx="0">
                  <c:v>45-60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cat>
            <c:numRef>
              <c:f>'1&amp;2&amp;3'!$U$4:$U$14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'1&amp;2&amp;3'!$X$4:$X$14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49-4041-BEB9-776AE92330E2}"/>
            </c:ext>
          </c:extLst>
        </c:ser>
        <c:ser>
          <c:idx val="4"/>
          <c:order val="3"/>
          <c:tx>
            <c:strRef>
              <c:f>'1&amp;2&amp;3'!$Y$3</c:f>
              <c:strCache>
                <c:ptCount val="1"/>
                <c:pt idx="0">
                  <c:v>60+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cat>
            <c:numRef>
              <c:f>'1&amp;2&amp;3'!$U$4:$U$14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'1&amp;2&amp;3'!$Y$4:$Y$14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9-4041-BEB9-776AE9233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65288"/>
        <c:axId val="987656"/>
      </c:barChart>
      <c:catAx>
        <c:axId val="865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Puntuaciones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656"/>
        <c:crosses val="autoZero"/>
        <c:auto val="1"/>
        <c:lblAlgn val="ctr"/>
        <c:lblOffset val="100"/>
        <c:noMultiLvlLbl val="0"/>
      </c:catAx>
      <c:valAx>
        <c:axId val="98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Nº de alumnos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Distribución de Puntuaciones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Distribución de Puntuaciones</a:t>
          </a:r>
        </a:p>
      </cx:txPr>
    </cx:title>
    <cx:plotArea>
      <cx:plotAreaRegion>
        <cx:series layoutId="clusteredColumn" uniqueId="{3D103BB5-6629-4C87-8E49-876DD38565B3}" formatIdx="0">
          <cx:tx>
            <cx:txData>
              <cx:f>_xlchart.v1.1</cx:f>
              <cx:v>Count</cx:v>
            </cx:txData>
          </cx:tx>
          <cx:spPr>
            <a:solidFill>
              <a:srgbClr val="FFD966"/>
            </a:solidFill>
          </cx:spPr>
          <cx:dataId val="0"/>
          <cx:layoutPr>
            <cx:aggregation/>
          </cx:layoutPr>
        </cx:series>
      </cx:plotAreaRegion>
      <cx:axis id="0">
        <cx:catScaling gapWidth="0.819999993"/>
        <cx:title>
          <cx:tx>
            <cx:txData>
              <cx:v>Puntuación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Puntuación</a:t>
              </a:r>
            </a:p>
          </cx:txPr>
        </cx:title>
        <cx:tickLabels/>
        <cx:numFmt formatCode="Estándar" sourceLinked="0"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3"/>
        <cx:title>
          <cx:tx>
            <cx:txData>
              <cx:v>Nº de alumnos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Nº de alumnos</a:t>
              </a:r>
            </a:p>
          </cx:txPr>
        </cx:title>
        <cx:majorGridlines/>
        <cx:tickLabels/>
        <cx:numFmt formatCode="0,0" sourceLinked="0"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Distribución de Edades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Distribución de Edades</a:t>
          </a:r>
        </a:p>
      </cx:txPr>
    </cx:title>
    <cx:plotArea>
      <cx:plotAreaRegion>
        <cx:series layoutId="clusteredColumn" uniqueId="{8600D3E2-F09E-45BE-AAF9-12DED52FC9E0}">
          <cx:tx>
            <cx:txData>
              <cx:f>_xlchart.v1.4</cx:f>
              <cx:v>Count</cx:v>
            </cx:txData>
          </cx:tx>
          <cx:spPr>
            <a:solidFill>
              <a:srgbClr val="4472C4"/>
            </a:solidFill>
          </cx:spPr>
          <cx:dataId val="0"/>
          <cx:layoutPr>
            <cx:aggregation/>
          </cx:layoutPr>
        </cx:series>
      </cx:plotAreaRegion>
      <cx:axis id="0">
        <cx:catScaling gapWidth="1.23000002"/>
        <cx:title>
          <cx:tx>
            <cx:txData>
              <cx:v>Grupos de Edad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Grupos de Edad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Nº de alumnos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Nº de alumnos</a:t>
              </a:r>
            </a:p>
          </cx:txPr>
        </cx:title>
        <cx:majorGridlines/>
        <cx:tickLabels/>
        <cx:numFmt formatCode="#.##0" sourceLinked="0"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14</xdr:row>
      <xdr:rowOff>57150</xdr:rowOff>
    </xdr:from>
    <xdr:to>
      <xdr:col>18</xdr:col>
      <xdr:colOff>390525</xdr:colOff>
      <xdr:row>26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1D2410B1-5B5B-7B43-33EC-C6B1D01C87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no está disponible en su versión de Excel.
Si edita esta forma o guarda el libro en un formato de archivo diferente, el gráfico no se podrá usar.</a:t>
              </a:r>
            </a:p>
          </xdr:txBody>
        </xdr:sp>
      </mc:Fallback>
    </mc:AlternateContent>
    <xdr:clientData/>
  </xdr:twoCellAnchor>
  <xdr:twoCellAnchor>
    <xdr:from>
      <xdr:col>18</xdr:col>
      <xdr:colOff>523875</xdr:colOff>
      <xdr:row>14</xdr:row>
      <xdr:rowOff>76200</xdr:rowOff>
    </xdr:from>
    <xdr:to>
      <xdr:col>24</xdr:col>
      <xdr:colOff>571500</xdr:colOff>
      <xdr:row>26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7180A8D9-3BA5-F530-1598-94D405E6E58D}"/>
                </a:ext>
                <a:ext uri="{147F2762-F138-4A5C-976F-8EAC2B608ADB}">
                  <a16:predDERef xmlns:a16="http://schemas.microsoft.com/office/drawing/2014/main" pred="{1D2410B1-5B5B-7B43-33EC-C6B1D01C87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no está disponible en su versión de Excel.
Si edita esta forma o guarda el libro en un formato de archivo diferente, el gráfico no se podrá usar.</a:t>
              </a:r>
            </a:p>
          </xdr:txBody>
        </xdr:sp>
      </mc:Fallback>
    </mc:AlternateContent>
    <xdr:clientData/>
  </xdr:twoCellAnchor>
  <xdr:twoCellAnchor>
    <xdr:from>
      <xdr:col>13</xdr:col>
      <xdr:colOff>1257300</xdr:colOff>
      <xdr:row>27</xdr:row>
      <xdr:rowOff>47625</xdr:rowOff>
    </xdr:from>
    <xdr:to>
      <xdr:col>26</xdr:col>
      <xdr:colOff>9525</xdr:colOff>
      <xdr:row>43</xdr:row>
      <xdr:rowOff>152400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F946750-95F2-E345-332D-19B3C17917F3}"/>
            </a:ext>
            <a:ext uri="{147F2762-F138-4A5C-976F-8EAC2B608ADB}">
              <a16:predDERef xmlns:a16="http://schemas.microsoft.com/office/drawing/2014/main" pred="{7180A8D9-3BA5-F530-1598-94D405E6E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68.425489004629" createdVersion="8" refreshedVersion="8" minRefreshableVersion="3" recordCount="20" xr:uid="{81685544-E129-4265-9930-2E73689F41E0}">
  <cacheSource type="worksheet">
    <worksheetSource name="Tabla134"/>
  </cacheSource>
  <cacheFields count="6">
    <cacheField name="Nombre" numFmtId="0">
      <sharedItems/>
    </cacheField>
    <cacheField name="Apellidos" numFmtId="0">
      <sharedItems/>
    </cacheField>
    <cacheField name="Género" numFmtId="0">
      <sharedItems count="2">
        <s v="Mujer"/>
        <s v="Hombre"/>
      </sharedItems>
    </cacheField>
    <cacheField name="Edad" numFmtId="0">
      <sharedItems containsSemiMixedTypes="0" containsString="0" containsNumber="1" containsInteger="1" minValue="17" maxValue="70"/>
    </cacheField>
    <cacheField name="Grupo de Edad" numFmtId="0">
      <sharedItems count="4">
        <s v="60+"/>
        <s v="30-45"/>
        <s v="16-29"/>
        <s v="45-60"/>
      </sharedItems>
    </cacheField>
    <cacheField name="Puntuación" numFmtId="0">
      <sharedItems containsSemiMixedTypes="0" containsString="0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Ana"/>
    <s v="Hernández Guardiet"/>
    <x v="0"/>
    <n v="64"/>
    <x v="0"/>
    <n v="6"/>
  </r>
  <r>
    <s v="María"/>
    <s v="Lopez Martinez"/>
    <x v="0"/>
    <n v="62"/>
    <x v="0"/>
    <n v="7"/>
  </r>
  <r>
    <s v="Lucía"/>
    <s v="Fernandez Ochoa"/>
    <x v="0"/>
    <n v="63"/>
    <x v="0"/>
    <n v="8"/>
  </r>
  <r>
    <s v="Carlos"/>
    <s v="Aguirre Carrasco"/>
    <x v="1"/>
    <n v="33"/>
    <x v="1"/>
    <n v="3"/>
  </r>
  <r>
    <s v="Lola"/>
    <s v="García García"/>
    <x v="0"/>
    <n v="19"/>
    <x v="2"/>
    <n v="8"/>
  </r>
  <r>
    <s v="Natalia"/>
    <s v="Lopez Martinez"/>
    <x v="0"/>
    <n v="55"/>
    <x v="3"/>
    <n v="9"/>
  </r>
  <r>
    <s v="Carlos"/>
    <s v="Guerrero Fernández"/>
    <x v="1"/>
    <n v="34"/>
    <x v="1"/>
    <n v="3"/>
  </r>
  <r>
    <s v="Lucas"/>
    <s v="García Vázquez"/>
    <x v="1"/>
    <n v="37"/>
    <x v="1"/>
    <n v="9"/>
  </r>
  <r>
    <s v="Pedro"/>
    <s v="Mejías Tena"/>
    <x v="1"/>
    <n v="34"/>
    <x v="1"/>
    <n v="3"/>
  </r>
  <r>
    <s v="Pablo"/>
    <s v="Cuellas Tormo"/>
    <x v="1"/>
    <n v="32"/>
    <x v="1"/>
    <n v="1"/>
  </r>
  <r>
    <s v="Blanca"/>
    <s v="Melgar Bono"/>
    <x v="0"/>
    <n v="59"/>
    <x v="3"/>
    <n v="0"/>
  </r>
  <r>
    <s v="Carla"/>
    <s v="Harris"/>
    <x v="0"/>
    <n v="69"/>
    <x v="0"/>
    <n v="3"/>
  </r>
  <r>
    <s v="Marina"/>
    <s v="Mendez Perez"/>
    <x v="0"/>
    <n v="24"/>
    <x v="2"/>
    <n v="7"/>
  </r>
  <r>
    <s v="Gonzalo"/>
    <s v="Lobenstein Pinilla"/>
    <x v="1"/>
    <n v="58"/>
    <x v="3"/>
    <n v="0"/>
  </r>
  <r>
    <s v="Miriam"/>
    <s v="Sanchez Tena"/>
    <x v="0"/>
    <n v="70"/>
    <x v="0"/>
    <n v="1"/>
  </r>
  <r>
    <s v="Carlota"/>
    <s v="Lopez García"/>
    <x v="0"/>
    <n v="25"/>
    <x v="2"/>
    <n v="3"/>
  </r>
  <r>
    <s v="Alex"/>
    <s v="Vázquez Torralbo"/>
    <x v="1"/>
    <n v="40"/>
    <x v="1"/>
    <n v="0"/>
  </r>
  <r>
    <s v="Alba"/>
    <s v="Sanchez Lopez"/>
    <x v="0"/>
    <n v="26"/>
    <x v="2"/>
    <n v="9"/>
  </r>
  <r>
    <s v="Alonso"/>
    <s v="Pinilla Pinilla"/>
    <x v="1"/>
    <n v="19"/>
    <x v="2"/>
    <n v="8"/>
  </r>
  <r>
    <s v="Patricio"/>
    <s v="De Vera Guardiet"/>
    <x v="1"/>
    <n v="17"/>
    <x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90360A-471F-4FCC-B2A1-F43601CE9325}" name="TablaDinámica3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A5:AB8" firstHeaderRow="1" firstDataRow="1" firstDataCol="1" rowPageCount="1" colPageCount="1"/>
  <pivotFields count="6"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axis="axisPage" compact="0" outline="0" showAll="0">
      <items count="5">
        <item x="2"/>
        <item x="1"/>
        <item x="3"/>
        <item x="0"/>
        <item t="default"/>
      </items>
    </pivotField>
    <pivotField dataField="1" compact="0" outline="0" showAll="0"/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4" hier="-1"/>
  </pageFields>
  <dataFields count="1">
    <dataField name="Promedio de Puntuación" fld="5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49491D-2565-4C8A-93B9-F2A746D8BD09}" name="Tabla4" displayName="Tabla4" ref="H3:J7" totalsRowShown="0" headerRowDxfId="11">
  <autoFilter ref="H3:J7" xr:uid="{7B49491D-2565-4C8A-93B9-F2A746D8BD09}"/>
  <tableColumns count="3">
    <tableColumn id="1" xr3:uid="{FA7C2808-1D96-43A7-8F1C-870F3DB354DE}" name=" " dataDxfId="10"/>
    <tableColumn id="2" xr3:uid="{5D9F9169-0449-4FA8-974C-8F2E32827A69}" name="Edad" dataDxfId="9">
      <calculatedColumnFormula>SUM(#REF!)</calculatedColumnFormula>
    </tableColumn>
    <tableColumn id="3" xr3:uid="{0CF3411F-DED1-45C4-B17F-2C4B8673F2AE}" name="Punctuación" dataDxfId="8">
      <calculatedColumnFormula>SUM(#REF!)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8FB3D3-CE1E-4381-9B4C-71A05F5F517C}" name="Tabla8" displayName="Tabla8" ref="O3:P13" totalsRowShown="0" headerRowDxfId="7" dataDxfId="6">
  <autoFilter ref="O3:P13" xr:uid="{6A8FB3D3-CE1E-4381-9B4C-71A05F5F517C}"/>
  <tableColumns count="2">
    <tableColumn id="1" xr3:uid="{7C4A94AE-211A-42AF-8F7E-4A0ED7C8F213}" name="Bins Puntuación" dataDxfId="5"/>
    <tableColumn id="2" xr3:uid="{BB1474F8-5B00-46E1-8B44-6E7DD3DA1DEF}" name="Count" dataDxfId="4">
      <calculatedColumnFormula>COUNTIF(Tabla134[Puntuación],O4)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C42E14-404F-4B4F-AFB0-32C12FBEC7D5}" name="Tabla9" displayName="Tabla9" ref="R3:S7" totalsRowShown="0">
  <autoFilter ref="R3:S7" xr:uid="{F4C42E14-404F-4B4F-AFB0-32C12FBEC7D5}"/>
  <tableColumns count="2">
    <tableColumn id="1" xr3:uid="{A8D1E5CF-1685-4B05-A419-54931A37E6ED}" name="Bins Edad"/>
    <tableColumn id="2" xr3:uid="{E0DBD382-C368-45E8-8612-BE178ACB824F}" name="Cou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1BC470-8F24-4CBC-8807-A4D4CEAE3C08}" name="Tabla134" displayName="Tabla134" ref="A1:F21" totalsRowShown="0" headerRowDxfId="3">
  <autoFilter ref="A1:F21" xr:uid="{C31BC470-8F24-4CBC-8807-A4D4CEAE3C08}"/>
  <tableColumns count="6">
    <tableColumn id="1" xr3:uid="{B9AA3889-ABCA-4E30-A286-6CB546BA88C9}" name="Nombre"/>
    <tableColumn id="2" xr3:uid="{0D6A9E7B-0E76-4E37-B63A-8BC24D7FD785}" name="Apellidos"/>
    <tableColumn id="5" xr3:uid="{9208BDD8-3299-401B-A770-555E8AA3777F}" name="Género"/>
    <tableColumn id="3" xr3:uid="{89527101-CF91-4DA1-AB70-FDDCEEAE0025}" name="Edad">
      <calculatedColumnFormula>RANDBETWEEN(16,70)</calculatedColumnFormula>
    </tableColumn>
    <tableColumn id="6" xr3:uid="{7D77FAC6-23F7-4749-909E-5F75552FB675}" name="Grupo de Edad" dataDxfId="2">
      <calculatedColumnFormula array="1">_xlfn.IFS(Tabla134[[#This Row],[Edad]]&lt;30,"16-29",Tabla134[[#This Row],[Edad]]&lt;45,"30-45",Tabla134[[#This Row],[Edad]]&lt;60,"45-60",Tabla134[[#This Row],[Edad]]&gt;=60,"60+")</calculatedColumnFormula>
    </tableColumn>
    <tableColumn id="4" xr3:uid="{538E7F9D-D34E-4018-B514-4E4675364415}" name="Puntuación" dataDxfId="1">
      <calculatedColumnFormula>RANDBETWEEN(0,10)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2397EA-B7F7-4C90-8823-96702BFD7E28}" name="Tabla5" displayName="Tabla5" ref="U3:Y14" totalsRowShown="0">
  <autoFilter ref="U3:Y14" xr:uid="{CA2397EA-B7F7-4C90-8823-96702BFD7E28}"/>
  <tableColumns count="5">
    <tableColumn id="1" xr3:uid="{D39ACC32-BFBA-4BDD-A1A3-F096E5F7372E}" name="Puntuación / Edad" dataDxfId="0"/>
    <tableColumn id="2" xr3:uid="{B2BFCFBB-1314-4CE2-80CD-3CE60C4B4136}" name="16-30"/>
    <tableColumn id="3" xr3:uid="{50BFA0BA-9851-4CA0-9286-6B8032998E29}" name="30-45"/>
    <tableColumn id="4" xr3:uid="{32C6B3B7-0767-46A5-A325-E3DB9839083B}" name="45-60"/>
    <tableColumn id="5" xr3:uid="{A5CF8D3E-AD84-4665-8BEC-C8F3A70F395C}" name="60+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activeCell="J32" sqref="J32"/>
    </sheetView>
  </sheetViews>
  <sheetFormatPr defaultRowHeight="15"/>
  <cols>
    <col min="1" max="1" width="13.7109375" customWidth="1"/>
    <col min="2" max="2" width="23.140625" customWidth="1"/>
    <col min="3" max="3" width="13.5703125" customWidth="1"/>
    <col min="4" max="4" width="15.5703125" customWidth="1"/>
    <col min="5" max="6" width="13.85546875" customWidth="1"/>
    <col min="7" max="7" width="5.42578125" customWidth="1"/>
    <col min="8" max="8" width="13.28515625" customWidth="1"/>
    <col min="9" max="9" width="15.7109375" customWidth="1"/>
    <col min="10" max="10" width="14.140625" customWidth="1"/>
    <col min="11" max="11" width="5.7109375" customWidth="1"/>
    <col min="12" max="12" width="24" customWidth="1"/>
    <col min="13" max="13" width="6.140625" customWidth="1"/>
    <col min="14" max="14" width="5.42578125" customWidth="1"/>
    <col min="15" max="15" width="14.5703125" customWidth="1"/>
    <col min="16" max="16" width="8.42578125" customWidth="1"/>
    <col min="17" max="17" width="2.7109375" customWidth="1"/>
    <col min="18" max="18" width="19.28515625" customWidth="1"/>
    <col min="19" max="19" width="8.5703125" customWidth="1"/>
    <col min="20" max="20" width="4.140625" customWidth="1"/>
    <col min="21" max="21" width="20" customWidth="1"/>
    <col min="27" max="28" width="26.7109375" customWidth="1"/>
  </cols>
  <sheetData>
    <row r="1" spans="1:3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2" t="s">
        <v>6</v>
      </c>
      <c r="I1" s="13"/>
      <c r="J1" s="14"/>
      <c r="L1" s="25" t="s">
        <v>7</v>
      </c>
      <c r="M1" s="25"/>
      <c r="N1" s="6"/>
      <c r="O1" s="21" t="s">
        <v>8</v>
      </c>
      <c r="P1" s="21"/>
      <c r="Q1" s="21"/>
      <c r="R1" s="21"/>
      <c r="S1" s="21"/>
      <c r="T1" s="21"/>
      <c r="U1" s="21"/>
      <c r="V1" s="21"/>
      <c r="W1" s="21"/>
      <c r="X1" s="21"/>
      <c r="Y1" s="21"/>
      <c r="AA1" s="28" t="s">
        <v>9</v>
      </c>
      <c r="AB1" s="28"/>
      <c r="AC1" s="29"/>
      <c r="AD1" s="29"/>
      <c r="AE1" s="29"/>
      <c r="AF1" s="29"/>
      <c r="AG1" s="29"/>
      <c r="AH1" s="29"/>
      <c r="AI1" s="29"/>
      <c r="AJ1" s="29"/>
      <c r="AK1" s="29"/>
    </row>
    <row r="2" spans="1:37" ht="15" customHeight="1">
      <c r="A2" t="s">
        <v>10</v>
      </c>
      <c r="B2" t="s">
        <v>11</v>
      </c>
      <c r="C2" t="s">
        <v>12</v>
      </c>
      <c r="D2">
        <f ca="1">RANDBETWEEN(16,70)</f>
        <v>53</v>
      </c>
      <c r="E2" t="str" cm="1">
        <f t="array" aca="1" ref="E2" ca="1">_xlfn.IFS(Tabla134[[#This Row],[Edad]]&lt;30,"16-29",Tabla134[[#This Row],[Edad]]&lt;45,"30-45",Tabla134[[#This Row],[Edad]]&lt;60,"45-60",Tabla134[[#This Row],[Edad]]&gt;=60,"60+")</f>
        <v>45-60</v>
      </c>
      <c r="F2">
        <f t="shared" ref="F2:F12" ca="1" si="0">RANDBETWEEN(0,10)</f>
        <v>0</v>
      </c>
      <c r="H2" s="15"/>
      <c r="I2" s="16"/>
      <c r="J2" s="17"/>
      <c r="L2" s="25"/>
      <c r="M2" s="25"/>
      <c r="N2" s="6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AA2" s="28"/>
      <c r="AB2" s="28"/>
      <c r="AC2" s="29"/>
      <c r="AD2" s="29"/>
      <c r="AE2" s="29"/>
      <c r="AF2" s="29"/>
      <c r="AG2" s="29"/>
      <c r="AH2" s="29"/>
      <c r="AI2" s="29"/>
      <c r="AJ2" s="29"/>
      <c r="AK2" s="29"/>
    </row>
    <row r="3" spans="1:37">
      <c r="A3" t="s">
        <v>13</v>
      </c>
      <c r="B3" t="s">
        <v>14</v>
      </c>
      <c r="C3" t="s">
        <v>12</v>
      </c>
      <c r="D3">
        <f t="shared" ref="D3:D12" ca="1" si="1">RANDBETWEEN(16,70)</f>
        <v>69</v>
      </c>
      <c r="E3" t="str" cm="1">
        <f t="array" aca="1" ref="E3" ca="1">_xlfn.IFS(Tabla134[[#This Row],[Edad]]&lt;30,"16-29",Tabla134[[#This Row],[Edad]]&lt;45,"30-45",Tabla134[[#This Row],[Edad]]&lt;60,"45-60",Tabla134[[#This Row],[Edad]]&gt;=60,"60+")</f>
        <v>60+</v>
      </c>
      <c r="F3">
        <f t="shared" ca="1" si="0"/>
        <v>7</v>
      </c>
      <c r="H3" s="2" t="s">
        <v>15</v>
      </c>
      <c r="I3" s="3" t="s">
        <v>3</v>
      </c>
      <c r="J3" s="4" t="s">
        <v>16</v>
      </c>
      <c r="L3" s="26" t="s">
        <v>17</v>
      </c>
      <c r="M3" s="27">
        <f ca="1">IFERROR(COUNTIF(Tabla134[Edad], "&gt;30"),"ERROR")</f>
        <v>15</v>
      </c>
      <c r="O3" s="3" t="s">
        <v>18</v>
      </c>
      <c r="P3" s="3" t="s">
        <v>19</v>
      </c>
      <c r="R3" t="s">
        <v>20</v>
      </c>
      <c r="S3" t="s">
        <v>19</v>
      </c>
      <c r="U3" s="22" t="s">
        <v>21</v>
      </c>
      <c r="V3" t="s">
        <v>22</v>
      </c>
      <c r="W3" t="s">
        <v>23</v>
      </c>
      <c r="X3" t="s">
        <v>24</v>
      </c>
      <c r="Y3" t="s">
        <v>25</v>
      </c>
      <c r="AA3" t="s">
        <v>4</v>
      </c>
      <c r="AB3" t="s">
        <v>26</v>
      </c>
    </row>
    <row r="4" spans="1:37">
      <c r="A4" t="s">
        <v>27</v>
      </c>
      <c r="B4" t="s">
        <v>28</v>
      </c>
      <c r="C4" t="s">
        <v>12</v>
      </c>
      <c r="D4">
        <f t="shared" ca="1" si="1"/>
        <v>19</v>
      </c>
      <c r="E4" t="str" cm="1">
        <f t="array" aca="1" ref="E4" ca="1">_xlfn.IFS(Tabla134[[#This Row],[Edad]]&lt;30,"16-29",Tabla134[[#This Row],[Edad]]&lt;45,"30-45",Tabla134[[#This Row],[Edad]]&lt;60,"45-60",Tabla134[[#This Row],[Edad]]&gt;=60,"60+")</f>
        <v>16-29</v>
      </c>
      <c r="F4">
        <f t="shared" ca="1" si="0"/>
        <v>4</v>
      </c>
      <c r="H4" s="8" t="s">
        <v>29</v>
      </c>
      <c r="I4">
        <f ca="1">SUM(Tabla134[Edad])</f>
        <v>879</v>
      </c>
      <c r="J4">
        <f ca="1">SUM(Tabla134[Puntuación])</f>
        <v>105</v>
      </c>
      <c r="L4" s="23" t="s">
        <v>30</v>
      </c>
      <c r="M4" s="24">
        <f ca="1">IFERROR(COUNTIF(Tabla134[Edad], "&gt;5"),"ERROR")</f>
        <v>20</v>
      </c>
      <c r="O4" s="8">
        <v>1</v>
      </c>
      <c r="P4">
        <f ca="1">COUNTIF(Tabla134[Puntuación],O4)</f>
        <v>0</v>
      </c>
      <c r="R4" t="s">
        <v>31</v>
      </c>
      <c r="S4">
        <f ca="1">COUNTIFS(Tabla134[Edad],"&gt;16",Tabla134[Edad],"&lt;30")</f>
        <v>4</v>
      </c>
      <c r="U4">
        <v>0</v>
      </c>
      <c r="V4">
        <f ca="1">COUNTIFS(Tabla134[Edad],"&lt;30",Tabla134[Puntuación],0)</f>
        <v>0</v>
      </c>
      <c r="W4">
        <f ca="1">COUNTIFS(Tabla134[Edad],"&gt;=30",Tabla134[Edad],"&lt;45",Tabla134[Puntuación],0)</f>
        <v>1</v>
      </c>
      <c r="X4">
        <f ca="1">COUNTIFS(Tabla134[Edad],"&gt;=45",Tabla134[Edad],"&lt;60",Tabla134[Puntuación],0)</f>
        <v>1</v>
      </c>
      <c r="Y4">
        <f ca="1">COUNTIFS(Tabla134[Edad],"&gt;=60",Tabla134[Puntuación],0)</f>
        <v>0</v>
      </c>
    </row>
    <row r="5" spans="1:37">
      <c r="A5" t="s">
        <v>32</v>
      </c>
      <c r="B5" t="s">
        <v>33</v>
      </c>
      <c r="C5" t="s">
        <v>34</v>
      </c>
      <c r="D5">
        <f t="shared" ca="1" si="1"/>
        <v>49</v>
      </c>
      <c r="E5" t="str" cm="1">
        <f t="array" aca="1" ref="E5" ca="1">_xlfn.IFS(Tabla134[[#This Row],[Edad]]&lt;30,"16-29",Tabla134[[#This Row],[Edad]]&lt;45,"30-45",Tabla134[[#This Row],[Edad]]&lt;60,"45-60",Tabla134[[#This Row],[Edad]]&gt;=60,"60+")</f>
        <v>45-60</v>
      </c>
      <c r="F5">
        <f t="shared" ca="1" si="0"/>
        <v>6</v>
      </c>
      <c r="H5" s="8" t="s">
        <v>35</v>
      </c>
      <c r="I5" s="5">
        <f ca="1">AVERAGE(Tabla134[Edad])</f>
        <v>43.95</v>
      </c>
      <c r="J5" s="7">
        <f ca="1">AVERAGE(Tabla134[Puntuación])</f>
        <v>5.25</v>
      </c>
      <c r="L5" s="26" t="s">
        <v>36</v>
      </c>
      <c r="M5" s="27">
        <f ca="1">IFERROR(COUNTIFS(Tabla134[Edad],"&gt;30",Tabla134[Puntuación],"&gt;5"),"ERROR")</f>
        <v>8</v>
      </c>
      <c r="O5" s="8">
        <v>2</v>
      </c>
      <c r="P5">
        <f ca="1">COUNTIF(Tabla134[Puntuación],O5)</f>
        <v>3</v>
      </c>
      <c r="R5" t="s">
        <v>37</v>
      </c>
      <c r="S5">
        <f ca="1">COUNTIFS(Tabla134[Edad],"&gt;30",Tabla134[Edad],"&lt;45")</f>
        <v>4</v>
      </c>
      <c r="U5" s="18">
        <v>1</v>
      </c>
      <c r="V5">
        <f ca="1">COUNTIFS(Tabla134[Edad],"&lt;30",Tabla134[Puntuación],1)</f>
        <v>0</v>
      </c>
      <c r="W5">
        <f ca="1">COUNTIFS(Tabla134[Edad],"&gt;=30",Tabla134[Edad],"&lt;45",Tabla134[Puntuación],1)</f>
        <v>0</v>
      </c>
      <c r="X5">
        <f ca="1">COUNTIFS(Tabla134[Edad],"&gt;=45",Tabla134[Edad],"&lt;60",Tabla134[Puntuación],1)</f>
        <v>0</v>
      </c>
      <c r="Y5">
        <f ca="1">COUNTIFS(Tabla134[Edad],"&gt;=60",Tabla134[Puntuación],1)</f>
        <v>0</v>
      </c>
      <c r="AA5" s="11" t="s">
        <v>2</v>
      </c>
      <c r="AB5" t="s">
        <v>38</v>
      </c>
    </row>
    <row r="6" spans="1:37">
      <c r="A6" t="s">
        <v>39</v>
      </c>
      <c r="B6" t="s">
        <v>40</v>
      </c>
      <c r="C6" t="s">
        <v>12</v>
      </c>
      <c r="D6">
        <f t="shared" ca="1" si="1"/>
        <v>19</v>
      </c>
      <c r="E6" t="str" cm="1">
        <f t="array" aca="1" ref="E6" ca="1">_xlfn.IFS(Tabla134[[#This Row],[Edad]]&lt;30,"16-29",Tabla134[[#This Row],[Edad]]&lt;45,"30-45",Tabla134[[#This Row],[Edad]]&lt;60,"45-60",Tabla134[[#This Row],[Edad]]&gt;=60,"60+")</f>
        <v>16-29</v>
      </c>
      <c r="F6">
        <f t="shared" ca="1" si="0"/>
        <v>6</v>
      </c>
      <c r="H6" s="8" t="s">
        <v>41</v>
      </c>
      <c r="I6">
        <f ca="1">MAX(Tabla134[Edad])</f>
        <v>69</v>
      </c>
      <c r="J6">
        <f ca="1">MAX(Tabla134[Puntuación])</f>
        <v>10</v>
      </c>
      <c r="O6" s="8">
        <v>3</v>
      </c>
      <c r="P6">
        <f ca="1">COUNTIF(Tabla134[Puntuación],O6)</f>
        <v>2</v>
      </c>
      <c r="R6" t="s">
        <v>42</v>
      </c>
      <c r="S6">
        <f ca="1">COUNTIFS(Tabla134[Edad],"&gt;45",Tabla134[Edad],"&lt;60")</f>
        <v>6</v>
      </c>
      <c r="U6" s="9">
        <v>2</v>
      </c>
      <c r="V6">
        <f ca="1">COUNTIFS(Tabla134[Edad],"&lt;30",Tabla134[Puntuación],2)</f>
        <v>0</v>
      </c>
      <c r="W6">
        <f ca="1">COUNTIFS(Tabla134[Edad],"&gt;=30",Tabla134[Edad],"&lt;45",Tabla134[Puntuación],2)</f>
        <v>1</v>
      </c>
      <c r="X6">
        <f ca="1">COUNTIFS(Tabla134[Edad],"&gt;=45",Tabla134[Edad],"&lt;60",Tabla134[Puntuación],2)</f>
        <v>2</v>
      </c>
      <c r="Y6">
        <f ca="1">COUNTIFS(Tabla134[Edad],"&gt;=60",Tabla134[Puntuación],2)</f>
        <v>0</v>
      </c>
      <c r="AA6" t="s">
        <v>34</v>
      </c>
      <c r="AB6" s="20">
        <v>3.1111111111111112</v>
      </c>
    </row>
    <row r="7" spans="1:37">
      <c r="A7" t="s">
        <v>43</v>
      </c>
      <c r="B7" t="s">
        <v>14</v>
      </c>
      <c r="C7" t="s">
        <v>12</v>
      </c>
      <c r="D7">
        <f t="shared" ca="1" si="1"/>
        <v>45</v>
      </c>
      <c r="E7" t="str" cm="1">
        <f t="array" aca="1" ref="E7" ca="1">_xlfn.IFS(Tabla134[[#This Row],[Edad]]&lt;30,"16-29",Tabla134[[#This Row],[Edad]]&lt;45,"30-45",Tabla134[[#This Row],[Edad]]&lt;60,"45-60",Tabla134[[#This Row],[Edad]]&gt;=60,"60+")</f>
        <v>45-60</v>
      </c>
      <c r="F7">
        <f t="shared" ca="1" si="0"/>
        <v>10</v>
      </c>
      <c r="H7" s="8" t="s">
        <v>44</v>
      </c>
      <c r="I7">
        <f ca="1">MIN(Tabla134[Edad])</f>
        <v>17</v>
      </c>
      <c r="J7">
        <f ca="1">MIN(Tabla134[Puntuación])</f>
        <v>0</v>
      </c>
      <c r="O7">
        <v>4</v>
      </c>
      <c r="P7">
        <f ca="1">COUNTIF(Tabla134[Puntuación],O7)</f>
        <v>1</v>
      </c>
      <c r="R7" t="s">
        <v>25</v>
      </c>
      <c r="S7">
        <f ca="1">COUNTIF(Tabla134[Edad],"&gt;60")</f>
        <v>4</v>
      </c>
      <c r="U7" s="18">
        <v>3</v>
      </c>
      <c r="V7">
        <f ca="1">COUNTIFS(Tabla134[Edad],"&lt;30",Tabla134[Puntuación],3)</f>
        <v>0</v>
      </c>
      <c r="W7">
        <f ca="1">COUNTIFS(Tabla134[Edad],"&gt;=30",Tabla134[Edad],"&lt;45",Tabla134[Puntuación],3)</f>
        <v>1</v>
      </c>
      <c r="X7">
        <f ca="1">COUNTIFS(Tabla134[Edad],"&gt;=45",Tabla134[Edad],"&lt;60",Tabla134[Puntuación],3)</f>
        <v>1</v>
      </c>
      <c r="Y7">
        <f ca="1">COUNTIFS(Tabla134[Edad],"&gt;=60",Tabla134[Puntuación],3)</f>
        <v>0</v>
      </c>
      <c r="AA7" t="s">
        <v>12</v>
      </c>
      <c r="AB7" s="20">
        <v>5.5454545454545459</v>
      </c>
    </row>
    <row r="8" spans="1:37">
      <c r="A8" t="s">
        <v>32</v>
      </c>
      <c r="B8" t="s">
        <v>45</v>
      </c>
      <c r="C8" t="s">
        <v>34</v>
      </c>
      <c r="D8">
        <f t="shared" ca="1" si="1"/>
        <v>55</v>
      </c>
      <c r="E8" t="str" cm="1">
        <f t="array" aca="1" ref="E8" ca="1">_xlfn.IFS(Tabla134[[#This Row],[Edad]]&lt;30,"16-29",Tabla134[[#This Row],[Edad]]&lt;45,"30-45",Tabla134[[#This Row],[Edad]]&lt;60,"45-60",Tabla134[[#This Row],[Edad]]&gt;=60,"60+")</f>
        <v>45-60</v>
      </c>
      <c r="F8">
        <f t="shared" ca="1" si="0"/>
        <v>3</v>
      </c>
      <c r="O8">
        <v>5</v>
      </c>
      <c r="P8">
        <f ca="1">COUNTIF(Tabla134[Puntuación],O8)</f>
        <v>1</v>
      </c>
      <c r="U8" s="10">
        <v>4</v>
      </c>
      <c r="V8">
        <f ca="1">COUNTIFS(Tabla134[Edad],"&lt;30",Tabla134[Puntuación],4)</f>
        <v>1</v>
      </c>
      <c r="W8">
        <f ca="1">COUNTIFS(Tabla134[Edad],"&gt;=30",Tabla134[Edad],"&lt;45",Tabla134[Puntuación],4)</f>
        <v>0</v>
      </c>
      <c r="X8">
        <f ca="1">COUNTIFS(Tabla134[Edad],"&gt;=45",Tabla134[Edad],"&lt;60",Tabla134[Puntuación],4)</f>
        <v>0</v>
      </c>
      <c r="Y8">
        <f ca="1">COUNTIFS(Tabla134[Edad],"&gt;=60",Tabla134[Puntuación],4)</f>
        <v>0</v>
      </c>
      <c r="AA8" t="s">
        <v>46</v>
      </c>
      <c r="AB8" s="20">
        <v>4.45</v>
      </c>
    </row>
    <row r="9" spans="1:37">
      <c r="A9" t="s">
        <v>47</v>
      </c>
      <c r="B9" t="s">
        <v>48</v>
      </c>
      <c r="C9" t="s">
        <v>34</v>
      </c>
      <c r="D9">
        <f t="shared" ca="1" si="1"/>
        <v>30</v>
      </c>
      <c r="E9" t="str" cm="1">
        <f t="array" aca="1" ref="E9" ca="1">_xlfn.IFS(Tabla134[[#This Row],[Edad]]&lt;30,"16-29",Tabla134[[#This Row],[Edad]]&lt;45,"30-45",Tabla134[[#This Row],[Edad]]&lt;60,"45-60",Tabla134[[#This Row],[Edad]]&gt;=60,"60+")</f>
        <v>30-45</v>
      </c>
      <c r="F9">
        <f t="shared" ca="1" si="0"/>
        <v>5</v>
      </c>
      <c r="O9">
        <v>6</v>
      </c>
      <c r="P9">
        <f ca="1">COUNTIF(Tabla134[Puntuación],O9)</f>
        <v>3</v>
      </c>
      <c r="U9" s="19">
        <v>5</v>
      </c>
      <c r="V9">
        <f ca="1">COUNTIFS(Tabla134[Edad],"&lt;30",Tabla134[Puntuación],5)</f>
        <v>0</v>
      </c>
      <c r="W9">
        <f ca="1">COUNTIFS(Tabla134[Edad],"&gt;=30",Tabla134[Edad],"&lt;45",Tabla134[Puntuación],5)</f>
        <v>1</v>
      </c>
      <c r="X9">
        <f ca="1">COUNTIFS(Tabla134[Edad],"&gt;=45",Tabla134[Edad],"&lt;60",Tabla134[Puntuación],5)</f>
        <v>0</v>
      </c>
      <c r="Y9">
        <f ca="1">COUNTIFS(Tabla134[Edad],"&gt;=60",Tabla134[Puntuación],5)</f>
        <v>0</v>
      </c>
    </row>
    <row r="10" spans="1:37">
      <c r="A10" t="s">
        <v>49</v>
      </c>
      <c r="B10" t="s">
        <v>50</v>
      </c>
      <c r="C10" t="s">
        <v>34</v>
      </c>
      <c r="D10">
        <f t="shared" ca="1" si="1"/>
        <v>35</v>
      </c>
      <c r="E10" t="str" cm="1">
        <f t="array" aca="1" ref="E10" ca="1">_xlfn.IFS(Tabla134[[#This Row],[Edad]]&lt;30,"16-29",Tabla134[[#This Row],[Edad]]&lt;45,"30-45",Tabla134[[#This Row],[Edad]]&lt;60,"45-60",Tabla134[[#This Row],[Edad]]&gt;=60,"60+")</f>
        <v>30-45</v>
      </c>
      <c r="F10">
        <f t="shared" ca="1" si="0"/>
        <v>2</v>
      </c>
      <c r="O10">
        <v>7</v>
      </c>
      <c r="P10">
        <f ca="1">COUNTIF(Tabla134[Puntuación],O10)</f>
        <v>2</v>
      </c>
      <c r="U10" s="10">
        <v>6</v>
      </c>
      <c r="V10">
        <f ca="1">COUNTIFS(Tabla134[Edad],"&lt;30",Tabla134[Puntuación],6)</f>
        <v>1</v>
      </c>
      <c r="W10">
        <f ca="1">COUNTIFS(Tabla134[Edad],"&gt;=30",Tabla134[Edad],"&lt;45",Tabla134[Puntuación],6)</f>
        <v>0</v>
      </c>
      <c r="X10">
        <f ca="1">COUNTIFS(Tabla134[Edad],"&gt;=45",Tabla134[Edad],"&lt;60",Tabla134[Puntuación],6)</f>
        <v>2</v>
      </c>
      <c r="Y10">
        <f ca="1">COUNTIFS(Tabla134[Edad],"&gt;=60",Tabla134[Puntuación],6)</f>
        <v>0</v>
      </c>
    </row>
    <row r="11" spans="1:37">
      <c r="A11" t="s">
        <v>51</v>
      </c>
      <c r="B11" t="s">
        <v>52</v>
      </c>
      <c r="C11" t="s">
        <v>34</v>
      </c>
      <c r="D11">
        <f t="shared" ca="1" si="1"/>
        <v>18</v>
      </c>
      <c r="E11" t="str" cm="1">
        <f t="array" aca="1" ref="E11" ca="1">_xlfn.IFS(Tabla134[[#This Row],[Edad]]&lt;30,"16-29",Tabla134[[#This Row],[Edad]]&lt;45,"30-45",Tabla134[[#This Row],[Edad]]&lt;60,"45-60",Tabla134[[#This Row],[Edad]]&gt;=60,"60+")</f>
        <v>16-29</v>
      </c>
      <c r="F11">
        <f t="shared" ca="1" si="0"/>
        <v>9</v>
      </c>
      <c r="O11">
        <v>8</v>
      </c>
      <c r="P11">
        <f ca="1">COUNTIF(Tabla134[Puntuación],O11)</f>
        <v>3</v>
      </c>
      <c r="U11" s="19">
        <v>7</v>
      </c>
      <c r="V11">
        <f ca="1">COUNTIFS(Tabla134[Edad],"&lt;30",Tabla134[Puntuación],7)</f>
        <v>0</v>
      </c>
      <c r="W11">
        <f ca="1">COUNTIFS(Tabla134[Edad],"&gt;=30",Tabla134[Edad],"&lt;45",Tabla134[Puntuación],7)</f>
        <v>1</v>
      </c>
      <c r="X11">
        <f ca="1">COUNTIFS(Tabla134[Edad],"&gt;=45",Tabla134[Edad],"&lt;60",Tabla134[Puntuación],7)</f>
        <v>0</v>
      </c>
      <c r="Y11">
        <f ca="1">COUNTIFS(Tabla134[Edad],"&gt;=60",Tabla134[Puntuación],7)</f>
        <v>1</v>
      </c>
    </row>
    <row r="12" spans="1:37">
      <c r="A12" t="s">
        <v>53</v>
      </c>
      <c r="B12" t="s">
        <v>54</v>
      </c>
      <c r="C12" t="s">
        <v>12</v>
      </c>
      <c r="D12">
        <f t="shared" ca="1" si="1"/>
        <v>35</v>
      </c>
      <c r="E12" t="str" cm="1">
        <f t="array" aca="1" ref="E12" ca="1">_xlfn.IFS(Tabla134[[#This Row],[Edad]]&lt;30,"16-29",Tabla134[[#This Row],[Edad]]&lt;45,"30-45",Tabla134[[#This Row],[Edad]]&lt;60,"45-60",Tabla134[[#This Row],[Edad]]&gt;=60,"60+")</f>
        <v>30-45</v>
      </c>
      <c r="F12">
        <f t="shared" ca="1" si="0"/>
        <v>0</v>
      </c>
      <c r="O12">
        <v>9</v>
      </c>
      <c r="P12">
        <f ca="1">COUNTIF(Tabla134[Puntuación],O12)</f>
        <v>2</v>
      </c>
      <c r="U12" s="10">
        <v>8</v>
      </c>
      <c r="V12">
        <f ca="1">COUNTIFS(Tabla134[Edad],"&lt;30",Tabla134[Puntuación],8)</f>
        <v>0</v>
      </c>
      <c r="W12">
        <f ca="1">COUNTIFS(Tabla134[Edad],"&gt;=30",Tabla134[Edad],"&lt;45",Tabla134[Puntuación],8)</f>
        <v>0</v>
      </c>
      <c r="X12">
        <f ca="1">COUNTIFS(Tabla134[Edad],"&gt;=45",Tabla134[Edad],"&lt;60",Tabla134[Puntuación],8)</f>
        <v>0</v>
      </c>
      <c r="Y12">
        <f ca="1">COUNTIFS(Tabla134[Edad],"&gt;=60",Tabla134[Puntuación],8)</f>
        <v>3</v>
      </c>
    </row>
    <row r="13" spans="1:37">
      <c r="A13" t="s">
        <v>55</v>
      </c>
      <c r="B13" t="s">
        <v>56</v>
      </c>
      <c r="C13" t="s">
        <v>12</v>
      </c>
      <c r="D13">
        <f ca="1">RANDBETWEEN(16,70)</f>
        <v>38</v>
      </c>
      <c r="E13" t="str" cm="1">
        <f t="array" aca="1" ref="E13" ca="1">_xlfn.IFS(Tabla134[[#This Row],[Edad]]&lt;30,"16-29",Tabla134[[#This Row],[Edad]]&lt;45,"30-45",Tabla134[[#This Row],[Edad]]&lt;60,"45-60",Tabla134[[#This Row],[Edad]]&gt;=60,"60+")</f>
        <v>30-45</v>
      </c>
      <c r="F13">
        <f ca="1">RANDBETWEEN(0,10)</f>
        <v>7</v>
      </c>
      <c r="O13">
        <v>10</v>
      </c>
      <c r="P13">
        <f ca="1">COUNTIF(Tabla134[Puntuación],O13)</f>
        <v>1</v>
      </c>
      <c r="U13" s="19">
        <v>9</v>
      </c>
      <c r="V13">
        <f ca="1">COUNTIFS(Tabla134[Edad],"&lt;30",Tabla134[Puntuación],9)</f>
        <v>2</v>
      </c>
      <c r="W13">
        <f ca="1">COUNTIFS(Tabla134[Edad],"&gt;=30",Tabla134[Edad],"&lt;45",Tabla134[Puntuación],9)</f>
        <v>0</v>
      </c>
      <c r="X13">
        <f ca="1">COUNTIFS(Tabla134[Edad],"&gt;=45",Tabla134[Edad],"&lt;60",Tabla134[Puntuación],9)</f>
        <v>0</v>
      </c>
      <c r="Y13">
        <f ca="1">COUNTIFS(Tabla134[Edad],"&gt;=60",Tabla134[Puntuación],9)</f>
        <v>0</v>
      </c>
    </row>
    <row r="14" spans="1:37">
      <c r="A14" t="s">
        <v>57</v>
      </c>
      <c r="B14" t="s">
        <v>58</v>
      </c>
      <c r="C14" t="s">
        <v>12</v>
      </c>
      <c r="D14">
        <f ca="1">RANDBETWEEN(16,70)</f>
        <v>17</v>
      </c>
      <c r="E14" t="str" cm="1">
        <f t="array" aca="1" ref="E14" ca="1">_xlfn.IFS(Tabla134[[#This Row],[Edad]]&lt;30,"16-29",Tabla134[[#This Row],[Edad]]&lt;45,"30-45",Tabla134[[#This Row],[Edad]]&lt;60,"45-60",Tabla134[[#This Row],[Edad]]&gt;=60,"60+")</f>
        <v>16-29</v>
      </c>
      <c r="F14">
        <f ca="1">RANDBETWEEN(0,10)</f>
        <v>9</v>
      </c>
      <c r="U14" s="10">
        <v>10</v>
      </c>
      <c r="V14">
        <f ca="1">COUNTIFS(Tabla134[Edad],"&lt;30",Tabla134[Puntuación],10)</f>
        <v>0</v>
      </c>
      <c r="W14">
        <f ca="1">COUNTIFS(Tabla134[Edad],"&gt;=30",Tabla134[Edad],"&lt;45",Tabla134[Puntuación],10)</f>
        <v>0</v>
      </c>
      <c r="X14">
        <f ca="1">COUNTIFS(Tabla134[Edad],"&gt;=45",Tabla134[Edad],"&lt;60",Tabla134[Puntuación],10)</f>
        <v>1</v>
      </c>
      <c r="Y14">
        <f ca="1">COUNTIFS(Tabla134[Edad],"&gt;=60",Tabla134[Puntuación],10)</f>
        <v>0</v>
      </c>
    </row>
    <row r="15" spans="1:37">
      <c r="A15" t="s">
        <v>59</v>
      </c>
      <c r="B15" t="s">
        <v>60</v>
      </c>
      <c r="C15" t="s">
        <v>34</v>
      </c>
      <c r="D15">
        <f ca="1">RANDBETWEEN(16,70)</f>
        <v>47</v>
      </c>
      <c r="E15" t="str" cm="1">
        <f t="array" aca="1" ref="E15" ca="1">_xlfn.IFS(Tabla134[[#This Row],[Edad]]&lt;30,"16-29",Tabla134[[#This Row],[Edad]]&lt;45,"30-45",Tabla134[[#This Row],[Edad]]&lt;60,"45-60",Tabla134[[#This Row],[Edad]]&gt;=60,"60+")</f>
        <v>45-60</v>
      </c>
      <c r="F15">
        <f ca="1">RANDBETWEEN(0,10)</f>
        <v>6</v>
      </c>
    </row>
    <row r="16" spans="1:37">
      <c r="A16" t="s">
        <v>61</v>
      </c>
      <c r="B16" t="s">
        <v>62</v>
      </c>
      <c r="C16" t="s">
        <v>12</v>
      </c>
      <c r="D16">
        <f ca="1">RANDBETWEEN(16,70)</f>
        <v>67</v>
      </c>
      <c r="E16" t="str" cm="1">
        <f t="array" aca="1" ref="E16" ca="1">_xlfn.IFS(Tabla134[[#This Row],[Edad]]&lt;30,"16-29",Tabla134[[#This Row],[Edad]]&lt;45,"30-45",Tabla134[[#This Row],[Edad]]&lt;60,"45-60",Tabla134[[#This Row],[Edad]]&gt;=60,"60+")</f>
        <v>60+</v>
      </c>
      <c r="F16">
        <f ca="1">RANDBETWEEN(0,10)</f>
        <v>8</v>
      </c>
    </row>
    <row r="17" spans="1:6">
      <c r="A17" t="s">
        <v>63</v>
      </c>
      <c r="B17" t="s">
        <v>64</v>
      </c>
      <c r="C17" t="s">
        <v>12</v>
      </c>
      <c r="D17">
        <f ca="1">RANDBETWEEN(16,70)</f>
        <v>68</v>
      </c>
      <c r="E17" t="str" cm="1">
        <f t="array" aca="1" ref="E17" ca="1">_xlfn.IFS(Tabla134[[#This Row],[Edad]]&lt;30,"16-29",Tabla134[[#This Row],[Edad]]&lt;45,"30-45",Tabla134[[#This Row],[Edad]]&lt;60,"45-60",Tabla134[[#This Row],[Edad]]&gt;=60,"60+")</f>
        <v>60+</v>
      </c>
      <c r="F17">
        <f ca="1">RANDBETWEEN(0,10)</f>
        <v>8</v>
      </c>
    </row>
    <row r="18" spans="1:6">
      <c r="A18" t="s">
        <v>65</v>
      </c>
      <c r="B18" t="s">
        <v>66</v>
      </c>
      <c r="C18" t="s">
        <v>34</v>
      </c>
      <c r="D18">
        <f ca="1">RANDBETWEEN(16,70)</f>
        <v>59</v>
      </c>
      <c r="E18" t="str" cm="1">
        <f t="array" aca="1" ref="E18" ca="1">_xlfn.IFS(Tabla134[[#This Row],[Edad]]&lt;30,"16-29",Tabla134[[#This Row],[Edad]]&lt;45,"30-45",Tabla134[[#This Row],[Edad]]&lt;60,"45-60",Tabla134[[#This Row],[Edad]]&gt;=60,"60+")</f>
        <v>45-60</v>
      </c>
      <c r="F18">
        <f ca="1">RANDBETWEEN(0,10)</f>
        <v>2</v>
      </c>
    </row>
    <row r="19" spans="1:6">
      <c r="A19" t="s">
        <v>67</v>
      </c>
      <c r="B19" t="s">
        <v>68</v>
      </c>
      <c r="C19" t="s">
        <v>12</v>
      </c>
      <c r="D19">
        <f ca="1">RANDBETWEEN(16,70)</f>
        <v>36</v>
      </c>
      <c r="E19" t="str" cm="1">
        <f t="array" aca="1" ref="E19" ca="1">_xlfn.IFS(Tabla134[[#This Row],[Edad]]&lt;30,"16-29",Tabla134[[#This Row],[Edad]]&lt;45,"30-45",Tabla134[[#This Row],[Edad]]&lt;60,"45-60",Tabla134[[#This Row],[Edad]]&gt;=60,"60+")</f>
        <v>30-45</v>
      </c>
      <c r="F19">
        <f ca="1">RANDBETWEEN(0,10)</f>
        <v>3</v>
      </c>
    </row>
    <row r="20" spans="1:6">
      <c r="A20" t="s">
        <v>69</v>
      </c>
      <c r="B20" t="s">
        <v>70</v>
      </c>
      <c r="C20" t="s">
        <v>34</v>
      </c>
      <c r="D20">
        <f ca="1">RANDBETWEEN(16,70)</f>
        <v>68</v>
      </c>
      <c r="E20" t="str" cm="1">
        <f t="array" aca="1" ref="E20" ca="1">_xlfn.IFS(Tabla134[[#This Row],[Edad]]&lt;30,"16-29",Tabla134[[#This Row],[Edad]]&lt;45,"30-45",Tabla134[[#This Row],[Edad]]&lt;60,"45-60",Tabla134[[#This Row],[Edad]]&gt;=60,"60+")</f>
        <v>60+</v>
      </c>
      <c r="F20">
        <f ca="1">RANDBETWEEN(0,10)</f>
        <v>8</v>
      </c>
    </row>
    <row r="21" spans="1:6">
      <c r="A21" t="s">
        <v>71</v>
      </c>
      <c r="B21" t="s">
        <v>72</v>
      </c>
      <c r="C21" t="s">
        <v>34</v>
      </c>
      <c r="D21">
        <f ca="1">RANDBETWEEN(16,70)</f>
        <v>52</v>
      </c>
      <c r="E21" t="str" cm="1">
        <f t="array" aca="1" ref="E21" ca="1">_xlfn.IFS(Tabla134[[#This Row],[Edad]]&lt;30,"16-29",Tabla134[[#This Row],[Edad]]&lt;45,"30-45",Tabla134[[#This Row],[Edad]]&lt;60,"45-60",Tabla134[[#This Row],[Edad]]&gt;=60,"60+")</f>
        <v>45-60</v>
      </c>
      <c r="F21">
        <f ca="1">RANDBETWEEN(0,10)</f>
        <v>2</v>
      </c>
    </row>
  </sheetData>
  <mergeCells count="4">
    <mergeCell ref="H1:J2"/>
    <mergeCell ref="L1:M2"/>
    <mergeCell ref="O1:Y2"/>
    <mergeCell ref="AA1:AB2"/>
  </mergeCells>
  <pageMargins left="0.7" right="0.7" top="0.75" bottom="0.75" header="0.3" footer="0.3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2024-03-12T22:07:39Z</dcterms:created>
  <dcterms:modified xsi:type="dcterms:W3CDTF">2024-03-17T09:24:19Z</dcterms:modified>
  <cp:category/>
  <cp:contentStatus/>
</cp:coreProperties>
</file>