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24"/>
  <workbookPr defaultThemeVersion="153222"/>
  <bookViews>
    <workbookView xWindow="240" yWindow="105" windowWidth="14805" windowHeight="8010" firstSheet="2" activeTab="1"/>
  </bookViews>
  <sheets>
    <sheet name="summing" sheetId="1" r:id="rId1"/>
    <sheet name="maximum" sheetId="2" r:id="rId2"/>
    <sheet name="minimum" sheetId="3" r:id="rId3"/>
  </sheets>
  <calcPr calcId="171026"/>
</workbook>
</file>

<file path=xl/calcChain.xml><?xml version="1.0" encoding="utf-8"?>
<calcChain xmlns="http://schemas.openxmlformats.org/spreadsheetml/2006/main">
  <c r="V20" i="3" l="1"/>
  <c r="W20" i="3"/>
  <c r="X20" i="3"/>
  <c r="Q20" i="3"/>
  <c r="L20" i="3"/>
  <c r="G20" i="3"/>
  <c r="B22" i="3"/>
  <c r="J21" i="2"/>
  <c r="K21" i="2"/>
  <c r="L21" i="2"/>
  <c r="M21" i="2"/>
  <c r="N21" i="2"/>
  <c r="B22" i="2"/>
  <c r="N1" i="2"/>
  <c r="V19" i="3"/>
  <c r="W19" i="3"/>
  <c r="X19" i="3"/>
  <c r="L19" i="3"/>
  <c r="B21" i="3"/>
  <c r="J20" i="2"/>
  <c r="K20" i="2"/>
  <c r="L20" i="2"/>
  <c r="M2" i="2"/>
  <c r="N2" i="2"/>
  <c r="M3" i="2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B21" i="2"/>
  <c r="X1" i="3"/>
  <c r="X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E1" i="1"/>
  <c r="Q19" i="3"/>
  <c r="G19" i="3"/>
  <c r="B20" i="3"/>
  <c r="J19" i="2"/>
  <c r="K19" i="2"/>
  <c r="L19" i="2"/>
  <c r="B20" i="2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K2" i="2"/>
  <c r="J2" i="2"/>
  <c r="G18" i="3"/>
  <c r="L18" i="3"/>
  <c r="Q18" i="3"/>
  <c r="V18" i="3"/>
  <c r="W18" i="3"/>
  <c r="Q17" i="3"/>
  <c r="L16" i="3"/>
  <c r="L17" i="3"/>
  <c r="B19" i="3"/>
  <c r="L18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B19" i="2"/>
  <c r="V14" i="3"/>
  <c r="G14" i="3"/>
  <c r="L14" i="3"/>
  <c r="Q14" i="3"/>
  <c r="W14" i="3"/>
  <c r="V15" i="3"/>
  <c r="G15" i="3"/>
  <c r="L15" i="3"/>
  <c r="Q15" i="3"/>
  <c r="W15" i="3"/>
  <c r="V16" i="3"/>
  <c r="G16" i="3"/>
  <c r="Q16" i="3"/>
  <c r="W16" i="3"/>
  <c r="V17" i="3"/>
  <c r="G17" i="3"/>
  <c r="W17" i="3"/>
  <c r="B18" i="3"/>
  <c r="B18" i="2"/>
  <c r="B17" i="2"/>
  <c r="Q13" i="3"/>
  <c r="B17" i="3"/>
  <c r="B16" i="3"/>
  <c r="B16" i="2"/>
  <c r="V13" i="3"/>
  <c r="G13" i="3"/>
  <c r="L13" i="3"/>
  <c r="W13" i="3"/>
  <c r="B15" i="3"/>
  <c r="B15" i="2"/>
  <c r="B14" i="2"/>
  <c r="B14" i="3"/>
  <c r="V12" i="3"/>
  <c r="G11" i="3"/>
  <c r="L11" i="3"/>
  <c r="Q11" i="3"/>
  <c r="V11" i="3"/>
  <c r="W11" i="3"/>
  <c r="G12" i="3"/>
  <c r="L12" i="3"/>
  <c r="Q12" i="3"/>
  <c r="W12" i="3"/>
  <c r="B13" i="3"/>
  <c r="B13" i="2"/>
  <c r="G10" i="3"/>
  <c r="L10" i="3"/>
  <c r="Q10" i="3"/>
  <c r="V10" i="3"/>
  <c r="W10" i="3"/>
  <c r="V3" i="3"/>
  <c r="V4" i="3"/>
  <c r="V5" i="3"/>
  <c r="V6" i="3"/>
  <c r="V7" i="3"/>
  <c r="V8" i="3"/>
  <c r="V9" i="3"/>
  <c r="V2" i="3"/>
  <c r="Q9" i="3"/>
  <c r="Q8" i="3"/>
  <c r="Q7" i="3"/>
  <c r="Q6" i="3"/>
  <c r="Q5" i="3"/>
  <c r="Q4" i="3"/>
  <c r="Q3" i="3"/>
  <c r="Q2" i="3"/>
  <c r="L3" i="3"/>
  <c r="L4" i="3"/>
  <c r="L5" i="3"/>
  <c r="L6" i="3"/>
  <c r="L7" i="3"/>
  <c r="L8" i="3"/>
  <c r="L9" i="3"/>
  <c r="L2" i="3"/>
  <c r="G3" i="3"/>
  <c r="G4" i="3"/>
  <c r="G5" i="3"/>
  <c r="G6" i="3"/>
  <c r="G7" i="3"/>
  <c r="G8" i="3"/>
  <c r="G9" i="3"/>
  <c r="G2" i="3"/>
  <c r="B12" i="3"/>
  <c r="B12" i="2"/>
  <c r="B11" i="2"/>
  <c r="B8" i="1"/>
  <c r="B7" i="1"/>
  <c r="B6" i="1"/>
  <c r="B4" i="1"/>
  <c r="B3" i="1"/>
  <c r="B2" i="1"/>
  <c r="B1" i="1"/>
  <c r="B8" i="2"/>
  <c r="B9" i="2"/>
  <c r="B10" i="2"/>
  <c r="E16" i="1"/>
  <c r="E15" i="1"/>
  <c r="E14" i="1"/>
  <c r="E12" i="1"/>
  <c r="E11" i="1"/>
  <c r="E10" i="1"/>
  <c r="E8" i="1"/>
  <c r="E7" i="1"/>
  <c r="E6" i="1"/>
  <c r="E4" i="1"/>
  <c r="E3" i="1"/>
  <c r="E2" i="1"/>
  <c r="B11" i="3"/>
  <c r="W5" i="3"/>
  <c r="W6" i="3"/>
  <c r="W7" i="3"/>
  <c r="W8" i="3"/>
  <c r="W9" i="3"/>
  <c r="W4" i="3"/>
  <c r="W3" i="3"/>
  <c r="W2" i="3"/>
  <c r="B7" i="3"/>
  <c r="B6" i="3"/>
  <c r="B5" i="3"/>
  <c r="B4" i="3"/>
  <c r="B3" i="3"/>
  <c r="B8" i="3"/>
  <c r="B9" i="3"/>
  <c r="B10" i="3"/>
  <c r="E17" i="1"/>
  <c r="E13" i="1"/>
  <c r="E9" i="1"/>
  <c r="E5" i="1"/>
  <c r="B9" i="1"/>
  <c r="B5" i="1"/>
  <c r="B2" i="3"/>
  <c r="B2" i="2"/>
  <c r="B3" i="2"/>
  <c r="B4" i="2"/>
  <c r="B5" i="2"/>
  <c r="B7" i="2"/>
  <c r="B6" i="2"/>
</calcChain>
</file>

<file path=xl/sharedStrings.xml><?xml version="1.0" encoding="utf-8"?>
<sst xmlns="http://schemas.openxmlformats.org/spreadsheetml/2006/main" count="312" uniqueCount="99">
  <si>
    <t>资金</t>
  </si>
  <si>
    <t>1、热点板块</t>
  </si>
  <si>
    <t>代码</t>
  </si>
  <si>
    <t>板块名称的优先顺序为（热点〉线路图〉活跃）。</t>
  </si>
  <si>
    <t>名称</t>
  </si>
  <si>
    <t>价格</t>
  </si>
  <si>
    <t>2、活跃板块</t>
  </si>
  <si>
    <t>数量</t>
  </si>
  <si>
    <t>个股龙头的优先顺序为（第一顺位〉涨停总时长；非联动板块中的非龙头个股〉普通个股）。</t>
  </si>
  <si>
    <t>3、联动板块</t>
  </si>
  <si>
    <t>低价/补涨/超跌/强势/反包/复牌/公告：无用的热点活跃板块（领涨归并的另算）</t>
  </si>
  <si>
    <t>挂单</t>
  </si>
  <si>
    <t>重组/摘帽/高送/填权/预增/次新/创业：源自个股的无用，源自板块的要算。</t>
  </si>
  <si>
    <t>龙头股停牌</t>
  </si>
  <si>
    <t>龙头股提前公告停牌后继续选下一龙头，次日开盘临时停牌的不重新选。</t>
  </si>
  <si>
    <t>主流概念</t>
  </si>
  <si>
    <t>涨停利好不一致的为非主流概念，如“受信息。。。刺激”。媒体报道不算公告或利好。</t>
  </si>
  <si>
    <t>一字板放量/丁字板放量</t>
  </si>
  <si>
    <t>标明“9:30”的一字板不为一字板，“9:30及前3单”打开的丁字板不算作丁字板。</t>
  </si>
  <si>
    <t>连续一字板量比比照之前非一字板的量比，但复牌后连续一字板的除外。第三个第四个？</t>
  </si>
  <si>
    <t>日前有涨停/日前先涨停</t>
  </si>
  <si>
    <t>是指七日前有涨停（含当日，即6+1天）。昨日为日前先涨停，可选作龙头。</t>
  </si>
  <si>
    <t>领涨板块</t>
  </si>
  <si>
    <t>放量的一字板可以作为领涨板块的龙头。</t>
  </si>
  <si>
    <t>归并板块</t>
  </si>
  <si>
    <t>领涨板块选出的个股归并到热点板块，不归并到活跃板块。公告涨停的不归并。</t>
  </si>
  <si>
    <t>卖出策略</t>
  </si>
  <si>
    <t>买入后停牌一天的，复牌后收盘卖出；买入后停牌多天的，复牌后开盘卖出（复牌一字板除外）。</t>
  </si>
  <si>
    <t>日期</t>
  </si>
  <si>
    <t>星期</t>
  </si>
  <si>
    <t>热点板块</t>
  </si>
  <si>
    <t>龙头个股</t>
  </si>
  <si>
    <t>买入</t>
  </si>
  <si>
    <t>卖出</t>
  </si>
  <si>
    <t>卖余</t>
  </si>
  <si>
    <t>延期</t>
  </si>
  <si>
    <t>收益一</t>
  </si>
  <si>
    <t>收益二</t>
  </si>
  <si>
    <t>收益</t>
  </si>
  <si>
    <t>盈亏</t>
  </si>
  <si>
    <t>有色金属</t>
  </si>
  <si>
    <t>中钨高新</t>
  </si>
  <si>
    <t>养殖行业</t>
  </si>
  <si>
    <t>民和股份</t>
  </si>
  <si>
    <t>涨价概念</t>
  </si>
  <si>
    <t>创兴资源</t>
  </si>
  <si>
    <t>油气改革</t>
  </si>
  <si>
    <t>海默科技</t>
  </si>
  <si>
    <t>次新股</t>
  </si>
  <si>
    <t>邦宝益智</t>
  </si>
  <si>
    <t>智能机械</t>
  </si>
  <si>
    <t>科大智能</t>
  </si>
  <si>
    <t>黄金概念</t>
  </si>
  <si>
    <t>秋林集团</t>
  </si>
  <si>
    <t>软件行业</t>
  </si>
  <si>
    <t>恒生电子</t>
  </si>
  <si>
    <t>锂电池</t>
  </si>
  <si>
    <t>雄韬股份</t>
  </si>
  <si>
    <t>借壳上市</t>
  </si>
  <si>
    <t>博闻科技</t>
  </si>
  <si>
    <t>互联网</t>
  </si>
  <si>
    <t>顺网科技</t>
  </si>
  <si>
    <t>证券行业</t>
  </si>
  <si>
    <t>西部证券</t>
  </si>
  <si>
    <t>智能驾驶</t>
  </si>
  <si>
    <t>数源科技</t>
  </si>
  <si>
    <t>二三四五</t>
  </si>
  <si>
    <t>GQY视讯</t>
  </si>
  <si>
    <t>无人机</t>
  </si>
  <si>
    <t>中信海直</t>
  </si>
  <si>
    <t>江苏国泰</t>
  </si>
  <si>
    <t>万泽股份</t>
  </si>
  <si>
    <t>高送转</t>
  </si>
  <si>
    <t>巨轮智能</t>
  </si>
  <si>
    <t>温州宏丰</t>
  </si>
  <si>
    <t>力星股份</t>
  </si>
  <si>
    <t>-</t>
  </si>
  <si>
    <t>好利来</t>
  </si>
  <si>
    <t>锦州港</t>
  </si>
  <si>
    <t>新莱应材</t>
  </si>
  <si>
    <t>天业通联</t>
  </si>
  <si>
    <t>新元科技</t>
  </si>
  <si>
    <t>鲁亿通</t>
  </si>
  <si>
    <t>宁波高发</t>
  </si>
  <si>
    <t>永高股份</t>
  </si>
  <si>
    <t>汉邦高科</t>
  </si>
  <si>
    <t>维格纳斯</t>
  </si>
  <si>
    <t>中兴商业</t>
  </si>
  <si>
    <t>恒通科技</t>
  </si>
  <si>
    <t>北方股份</t>
  </si>
  <si>
    <t>云维股份</t>
  </si>
  <si>
    <t>三江购物</t>
  </si>
  <si>
    <t>明泰铝业</t>
  </si>
  <si>
    <t>方盛制药</t>
  </si>
  <si>
    <t>百隆东方</t>
  </si>
  <si>
    <t>溢多利</t>
  </si>
  <si>
    <t>鼎泰新材</t>
  </si>
  <si>
    <t>联美控股</t>
  </si>
  <si>
    <t>广汽集团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</si>
</sst>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00000"/>
    <numFmt numFmtId="177" formatCode="0;[Red]0"/>
    <numFmt numFmtId="178" formatCode="0.00;[Red]0.00"/>
    <numFmt numFmtId="179" formatCode="[$-804]aaaa;@"/>
    <numFmt numFmtId="180" formatCode="0_ "/>
    <numFmt numFmtId="181" formatCode="0_ ;[Red]\-0\ "/>
  </numFmts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2" borderId="0" xfId="0" applyNumberFormat="1" applyFill="1" applyBorder="1" applyAlignment="1">
      <alignment horizontal="center"/>
    </xf>
    <xf numFmtId="176" fontId="0" fillId="2" borderId="0" xfId="0" applyNumberFormat="1" applyFill="1" applyAlignment="1">
      <alignment horizontal="center"/>
    </xf>
    <xf numFmtId="177" fontId="0" fillId="3" borderId="1" xfId="0" applyNumberFormat="1" applyFill="1" applyBorder="1" applyAlignment="1">
      <alignment horizontal="center"/>
    </xf>
    <xf numFmtId="178" fontId="0" fillId="3" borderId="1" xfId="0" applyNumberFormat="1" applyFill="1" applyBorder="1" applyAlignment="1">
      <alignment horizontal="center"/>
    </xf>
    <xf numFmtId="178" fontId="0" fillId="2" borderId="0" xfId="0" applyNumberFormat="1" applyFill="1" applyBorder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178" fontId="0" fillId="2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176" fontId="0" fillId="2" borderId="0" xfId="0" quotePrefix="1" applyNumberFormat="1" applyFill="1" applyAlignment="1">
      <alignment horizontal="center"/>
    </xf>
    <xf numFmtId="180" fontId="0" fillId="0" borderId="0" xfId="0" applyNumberFormat="1" applyAlignment="1">
      <alignment horizontal="center"/>
    </xf>
    <xf numFmtId="176" fontId="0" fillId="0" borderId="0" xfId="0" applyNumberFormat="1" applyBorder="1" applyAlignment="1">
      <alignment horizontal="center"/>
    </xf>
    <xf numFmtId="178" fontId="0" fillId="0" borderId="0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79" fontId="0" fillId="0" borderId="2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/>
  </sheetViews>
  <sheetFormatPr defaultRowHeight="15"/>
  <cols>
    <col min="1" max="1" width="9.140625" style="1"/>
    <col min="2" max="2" width="9.28515625" style="1" bestFit="1" customWidth="1"/>
    <col min="3" max="3" width="9.140625" style="1"/>
    <col min="4" max="5" width="9.140625" style="3"/>
  </cols>
  <sheetData>
    <row r="1" spans="1:7">
      <c r="A1" s="5" t="s">
        <v>0</v>
      </c>
      <c r="B1" s="11">
        <f>INDEX(maximum!N:N,COUNTA(maximum!N:N))</f>
        <v>330273.50944891258</v>
      </c>
      <c r="D1" s="5" t="s">
        <v>0</v>
      </c>
      <c r="E1" s="11">
        <f>INDEX(minimum!X:X,COUNTA(minimum!X:X))</f>
        <v>214405.38883994851</v>
      </c>
      <c r="G1" t="s">
        <v>1</v>
      </c>
    </row>
    <row r="2" spans="1:7">
      <c r="A2" s="1" t="s">
        <v>2</v>
      </c>
      <c r="B2" s="14">
        <f>INDEX(maximum!E:E,COUNTA(maximum!E:E))</f>
        <v>2031</v>
      </c>
      <c r="D2" s="3" t="s">
        <v>2</v>
      </c>
      <c r="E2" s="6">
        <f>INDEX(minimum!C:C,COUNTA(minimum!C:C))</f>
        <v>2641</v>
      </c>
      <c r="G2" t="s">
        <v>3</v>
      </c>
    </row>
    <row r="3" spans="1:7">
      <c r="A3" s="1" t="s">
        <v>4</v>
      </c>
      <c r="B3" s="2" t="str">
        <f>INDEX(maximum!D:D,COUNTA(maximum!D:D))</f>
        <v>巨轮智能</v>
      </c>
      <c r="D3" s="3" t="s">
        <v>4</v>
      </c>
      <c r="E3" s="4" t="str">
        <f>INDEX(minimum!D:D,COUNTA(minimum!D:D))</f>
        <v>永高股份</v>
      </c>
    </row>
    <row r="4" spans="1:7">
      <c r="A4" s="1" t="s">
        <v>5</v>
      </c>
      <c r="B4" s="12">
        <f>INDEX(maximum!F:F,COUNTA(maximum!F:F))</f>
        <v>16.52</v>
      </c>
      <c r="D4" s="3" t="s">
        <v>5</v>
      </c>
      <c r="E4" s="10">
        <f>INDEX(minimum!E:E,COUNTA(minimum!E:E))</f>
        <v>8.24</v>
      </c>
      <c r="G4" t="s">
        <v>6</v>
      </c>
    </row>
    <row r="5" spans="1:7">
      <c r="A5" s="5" t="s">
        <v>7</v>
      </c>
      <c r="B5" s="8">
        <f>ROUNDDOWN(B$1/2/(B4*1.1),-2)</f>
        <v>9000</v>
      </c>
      <c r="D5" s="5" t="s">
        <v>7</v>
      </c>
      <c r="E5" s="8">
        <f>ROUNDDOWN(E$1/5/E4,-2)</f>
        <v>5200</v>
      </c>
      <c r="G5" t="s">
        <v>8</v>
      </c>
    </row>
    <row r="6" spans="1:7">
      <c r="A6" s="1" t="s">
        <v>2</v>
      </c>
      <c r="B6" s="7">
        <f>INDEX(maximum!E:E,COUNTA(maximum!E:E)-1)</f>
        <v>534</v>
      </c>
      <c r="D6" s="3" t="s">
        <v>2</v>
      </c>
      <c r="E6" s="6" t="str">
        <f>INDEX(minimum!H:H,COUNTA(minimum!H:H))</f>
        <v>-</v>
      </c>
    </row>
    <row r="7" spans="1:7">
      <c r="A7" s="1" t="s">
        <v>4</v>
      </c>
      <c r="B7" s="2" t="str">
        <f>INDEX(maximum!D:D,COUNTA(maximum!D:D)-1)</f>
        <v>万泽股份</v>
      </c>
      <c r="D7" s="3" t="s">
        <v>4</v>
      </c>
      <c r="E7" s="4" t="str">
        <f>INDEX(minimum!I:I,COUNTA(minimum!I:I))</f>
        <v>-</v>
      </c>
      <c r="G7" t="s">
        <v>9</v>
      </c>
    </row>
    <row r="8" spans="1:7">
      <c r="A8" s="1" t="s">
        <v>5</v>
      </c>
      <c r="B8" s="12">
        <f>INDEX(maximum!G:G,COUNTA(maximum!G:G))</f>
        <v>13.39</v>
      </c>
      <c r="D8" s="3" t="s">
        <v>5</v>
      </c>
      <c r="E8" s="10">
        <f>INDEX(minimum!J:J,COUNTA(minimum!J:J))</f>
        <v>20.43</v>
      </c>
      <c r="G8" t="s">
        <v>10</v>
      </c>
    </row>
    <row r="9" spans="1:7">
      <c r="A9" s="5" t="s">
        <v>11</v>
      </c>
      <c r="B9" s="9">
        <f>IF(B2=B6,B8*1.07,ROUNDDOWN(B8*1.09*2,1)/2-IF(MOD(ROUNDDOWN(B8*1.09*20,0),10)=0,0.03,IF(MOD(ROUNDDOWN(B8*1.09*20,0),20)=18,0.03,0.01)))</f>
        <v>14.540000000000001</v>
      </c>
      <c r="D9" s="5" t="s">
        <v>7</v>
      </c>
      <c r="E9" s="8">
        <f>ROUNDDOWN(E$1/5/E8,-2)</f>
        <v>2000</v>
      </c>
      <c r="G9" t="s">
        <v>12</v>
      </c>
    </row>
    <row r="10" spans="1:7">
      <c r="D10" s="3" t="s">
        <v>2</v>
      </c>
      <c r="E10" s="6" t="str">
        <f>INDEX(minimum!M:M,COUNTA(minimum!M:M))</f>
        <v>-</v>
      </c>
    </row>
    <row r="11" spans="1:7">
      <c r="D11" s="3" t="s">
        <v>4</v>
      </c>
      <c r="E11" s="4" t="str">
        <f>INDEX(minimum!N:N,COUNTA(minimum!N:N))</f>
        <v>-</v>
      </c>
      <c r="G11" t="s">
        <v>13</v>
      </c>
    </row>
    <row r="12" spans="1:7">
      <c r="D12" s="3" t="s">
        <v>5</v>
      </c>
      <c r="E12" s="10">
        <f>INDEX(minimum!O:O,COUNTA(minimum!O:O))</f>
        <v>16.3</v>
      </c>
      <c r="G12" t="s">
        <v>14</v>
      </c>
    </row>
    <row r="13" spans="1:7">
      <c r="D13" s="5" t="s">
        <v>7</v>
      </c>
      <c r="E13" s="8">
        <f>ROUNDDOWN(E$1/5/E12,-2)</f>
        <v>2600</v>
      </c>
    </row>
    <row r="14" spans="1:7">
      <c r="D14" s="3" t="s">
        <v>2</v>
      </c>
      <c r="E14" s="6" t="str">
        <f>INDEX(minimum!R:R,COUNTA(minimum!R:R))</f>
        <v>-</v>
      </c>
      <c r="G14" t="s">
        <v>15</v>
      </c>
    </row>
    <row r="15" spans="1:7">
      <c r="D15" s="3" t="s">
        <v>4</v>
      </c>
      <c r="E15" s="4" t="str">
        <f>INDEX(minimum!S:S,COUNTA(minimum!S:S))</f>
        <v>-</v>
      </c>
      <c r="G15" t="s">
        <v>16</v>
      </c>
    </row>
    <row r="16" spans="1:7">
      <c r="D16" s="3" t="s">
        <v>5</v>
      </c>
      <c r="E16" s="10">
        <f>INDEX(minimum!T:T,COUNTA(minimum!T:T))</f>
        <v>10.199999999999999</v>
      </c>
    </row>
    <row r="17" spans="4:7">
      <c r="D17" s="5" t="s">
        <v>7</v>
      </c>
      <c r="E17" s="8">
        <f>ROUNDDOWN(E$1/5/E16,-2)</f>
        <v>4200</v>
      </c>
      <c r="G17" t="s">
        <v>17</v>
      </c>
    </row>
    <row r="18" spans="4:7">
      <c r="G18" t="s">
        <v>18</v>
      </c>
    </row>
    <row r="20" spans="4:7">
      <c r="G20" t="s">
        <v>19</v>
      </c>
    </row>
    <row r="22" spans="4:7">
      <c r="G22" t="s">
        <v>20</v>
      </c>
    </row>
    <row r="23" spans="4:7">
      <c r="G23" t="s">
        <v>21</v>
      </c>
    </row>
    <row r="25" spans="4:7">
      <c r="G25" t="s">
        <v>22</v>
      </c>
    </row>
    <row r="26" spans="4:7">
      <c r="G26" t="s">
        <v>23</v>
      </c>
    </row>
    <row r="28" spans="4:7">
      <c r="G28" t="s">
        <v>24</v>
      </c>
    </row>
    <row r="29" spans="4:7">
      <c r="G29" t="s">
        <v>25</v>
      </c>
    </row>
    <row r="31" spans="4:7">
      <c r="G31" t="s">
        <v>26</v>
      </c>
    </row>
    <row r="32" spans="4:7">
      <c r="G3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N1" sqref="N1:N1048576"/>
    </sheetView>
  </sheetViews>
  <sheetFormatPr defaultRowHeight="15"/>
  <cols>
    <col min="1" max="1" width="11.7109375" style="19" bestFit="1" customWidth="1"/>
    <col min="2" max="2" width="9.140625" style="20"/>
    <col min="3" max="4" width="9.140625" style="3"/>
    <col min="5" max="5" width="9.140625" style="16"/>
    <col min="6" max="8" width="9.140625" style="17"/>
    <col min="9" max="9" width="9.140625" style="20"/>
    <col min="10" max="11" width="9.140625" style="22"/>
    <col min="12" max="12" width="9.140625" style="18"/>
    <col min="13" max="13" width="9.28515625" style="15" bestFit="1" customWidth="1"/>
    <col min="14" max="14" width="9.140625" style="24"/>
  </cols>
  <sheetData>
    <row r="1" spans="1:15">
      <c r="A1" s="19" t="s">
        <v>28</v>
      </c>
      <c r="B1" s="20" t="s">
        <v>29</v>
      </c>
      <c r="C1" s="3" t="s">
        <v>30</v>
      </c>
      <c r="D1" s="3" t="s">
        <v>31</v>
      </c>
      <c r="E1" s="16" t="s">
        <v>2</v>
      </c>
      <c r="F1" s="17" t="s">
        <v>32</v>
      </c>
      <c r="G1" s="17" t="s">
        <v>33</v>
      </c>
      <c r="H1" s="17" t="s">
        <v>34</v>
      </c>
      <c r="I1" s="20" t="s">
        <v>35</v>
      </c>
      <c r="J1" s="22" t="s">
        <v>36</v>
      </c>
      <c r="K1" s="22" t="s">
        <v>37</v>
      </c>
      <c r="L1" s="18" t="s">
        <v>38</v>
      </c>
      <c r="M1" s="15" t="s">
        <v>39</v>
      </c>
      <c r="N1" s="24">
        <f>7^6*3-7^5</f>
        <v>336140</v>
      </c>
      <c r="O1" s="13">
        <v>2E-3</v>
      </c>
    </row>
    <row r="2" spans="1:15">
      <c r="A2" s="19">
        <v>42433</v>
      </c>
      <c r="B2" s="21">
        <f>A2</f>
        <v>42433</v>
      </c>
      <c r="C2" s="3" t="s">
        <v>40</v>
      </c>
      <c r="D2" s="3" t="s">
        <v>41</v>
      </c>
      <c r="E2" s="16">
        <v>657</v>
      </c>
      <c r="F2" s="17">
        <v>15.87</v>
      </c>
      <c r="G2" s="17">
        <v>16.46</v>
      </c>
      <c r="J2" s="22">
        <f>IF(G2="","",G2/$F2-1-$O$1)</f>
        <v>3.5177063642092055E-2</v>
      </c>
      <c r="K2" s="22">
        <f>IF(H2="",J2,H2/$F2-1-$O$1)</f>
        <v>3.5177063642092055E-2</v>
      </c>
      <c r="L2" s="18">
        <f>IF(J2="","",AVERAGE(J2:K2))</f>
        <v>3.5177063642092055E-2</v>
      </c>
      <c r="M2" s="15">
        <f>IF(L2="","",N1/2*L2)</f>
        <v>5912.209086326412</v>
      </c>
      <c r="N2" s="24">
        <f>N1+M2</f>
        <v>342052.20908632642</v>
      </c>
    </row>
    <row r="3" spans="1:15">
      <c r="A3" s="19">
        <v>42436</v>
      </c>
      <c r="B3" s="21">
        <f>A3</f>
        <v>42436</v>
      </c>
      <c r="C3" s="3" t="s">
        <v>42</v>
      </c>
      <c r="D3" s="3" t="s">
        <v>43</v>
      </c>
      <c r="E3" s="16">
        <v>2234</v>
      </c>
      <c r="F3" s="17">
        <v>25</v>
      </c>
      <c r="G3" s="17">
        <v>23.6</v>
      </c>
      <c r="J3" s="22">
        <f t="shared" ref="J3:J18" si="0">IF(G3="","",G3/$F3-1-$O$1)</f>
        <v>-5.799999999999994E-2</v>
      </c>
      <c r="K3" s="22">
        <f t="shared" ref="K3:K18" si="1">IF(H3="",J3,H3/$F3-1-$O$1)</f>
        <v>-5.799999999999994E-2</v>
      </c>
      <c r="L3" s="18">
        <f>IF(J3="","",AVERAGE(J3:K3))</f>
        <v>-5.799999999999994E-2</v>
      </c>
      <c r="M3" s="15">
        <f>IF(L3="","",N1/2*L3)</f>
        <v>-9748.0599999999904</v>
      </c>
      <c r="N3" s="24">
        <f t="shared" ref="N3:N7" si="2">N2+M3</f>
        <v>332304.14908632642</v>
      </c>
    </row>
    <row r="4" spans="1:15">
      <c r="A4" s="19">
        <v>42437</v>
      </c>
      <c r="B4" s="21">
        <f>A4</f>
        <v>42437</v>
      </c>
      <c r="C4" s="3" t="s">
        <v>44</v>
      </c>
      <c r="D4" s="3" t="s">
        <v>45</v>
      </c>
      <c r="E4" s="16">
        <v>600193</v>
      </c>
      <c r="F4" s="17">
        <v>11.32</v>
      </c>
      <c r="G4" s="17">
        <v>10.74</v>
      </c>
      <c r="J4" s="22">
        <f t="shared" si="0"/>
        <v>-5.3236749116607807E-2</v>
      </c>
      <c r="K4" s="22">
        <f t="shared" si="1"/>
        <v>-5.3236749116607807E-2</v>
      </c>
      <c r="L4" s="18">
        <f>IF(J4="","",AVERAGE(J4:K4))</f>
        <v>-5.3236749116607807E-2</v>
      </c>
      <c r="M4" s="15">
        <f>IF(L4="","",IF(I2="",N3/2*L4,N3/4*L4))</f>
        <v>-8845.3963076582986</v>
      </c>
      <c r="N4" s="24">
        <f t="shared" si="2"/>
        <v>323458.75277866813</v>
      </c>
    </row>
    <row r="5" spans="1:15">
      <c r="A5" s="19">
        <v>42438</v>
      </c>
      <c r="B5" s="21">
        <f>A5</f>
        <v>42438</v>
      </c>
      <c r="C5" s="3" t="s">
        <v>46</v>
      </c>
      <c r="D5" s="3" t="s">
        <v>47</v>
      </c>
      <c r="E5" s="16">
        <v>300084</v>
      </c>
      <c r="F5" s="17">
        <v>9.92</v>
      </c>
      <c r="G5" s="17">
        <v>8.9</v>
      </c>
      <c r="J5" s="22">
        <f t="shared" si="0"/>
        <v>-0.10482258064516126</v>
      </c>
      <c r="K5" s="22">
        <f t="shared" si="1"/>
        <v>-0.10482258064516126</v>
      </c>
      <c r="L5" s="18">
        <f>IF(J5="","",AVERAGE(J5:K5))</f>
        <v>-0.10482258064516126</v>
      </c>
      <c r="M5" s="15">
        <f t="shared" ref="M5:M7" si="3">IF(L5="","",IF(I3="",N4/2*L5,N4/4*L5))</f>
        <v>-16952.89059926261</v>
      </c>
      <c r="N5" s="24">
        <f t="shared" si="2"/>
        <v>306505.86217940552</v>
      </c>
    </row>
    <row r="6" spans="1:15">
      <c r="A6" s="19">
        <v>42439</v>
      </c>
      <c r="B6" s="21">
        <f>A6</f>
        <v>42439</v>
      </c>
      <c r="C6" s="3" t="s">
        <v>48</v>
      </c>
      <c r="D6" s="3" t="s">
        <v>49</v>
      </c>
      <c r="E6" s="16">
        <v>603398</v>
      </c>
      <c r="F6" s="17">
        <v>62.18</v>
      </c>
      <c r="G6" s="17">
        <v>59.05</v>
      </c>
      <c r="J6" s="22">
        <f t="shared" si="0"/>
        <v>-5.2337729173367653E-2</v>
      </c>
      <c r="K6" s="22">
        <f t="shared" si="1"/>
        <v>-5.2337729173367653E-2</v>
      </c>
      <c r="L6" s="18">
        <f>IF(J6="","",AVERAGE(J6:K6))</f>
        <v>-5.2337729173367653E-2</v>
      </c>
      <c r="M6" s="15">
        <f t="shared" si="3"/>
        <v>-8020.9104023976388</v>
      </c>
      <c r="N6" s="24">
        <f t="shared" si="2"/>
        <v>298484.9517770079</v>
      </c>
    </row>
    <row r="7" spans="1:15">
      <c r="A7" s="19">
        <v>42440</v>
      </c>
      <c r="B7" s="21">
        <f t="shared" ref="B7:C22" si="4">A7</f>
        <v>42440</v>
      </c>
      <c r="C7" s="3" t="s">
        <v>50</v>
      </c>
      <c r="D7" s="3" t="s">
        <v>51</v>
      </c>
      <c r="E7" s="16">
        <v>300222</v>
      </c>
      <c r="F7" s="17">
        <v>17.68</v>
      </c>
      <c r="G7" s="17">
        <v>18.84</v>
      </c>
      <c r="J7" s="22">
        <f t="shared" si="0"/>
        <v>6.3610859728506775E-2</v>
      </c>
      <c r="K7" s="22">
        <f t="shared" si="1"/>
        <v>6.3610859728506775E-2</v>
      </c>
      <c r="L7" s="18">
        <f>IF(J7="","",AVERAGE(J7:K7))</f>
        <v>6.3610859728506775E-2</v>
      </c>
      <c r="M7" s="15">
        <f t="shared" si="3"/>
        <v>9493.4421992786793</v>
      </c>
      <c r="N7" s="24">
        <f t="shared" si="2"/>
        <v>307978.39397628658</v>
      </c>
    </row>
    <row r="8" spans="1:15">
      <c r="A8" s="19">
        <v>42443</v>
      </c>
      <c r="B8" s="21">
        <f t="shared" si="4"/>
        <v>42443</v>
      </c>
      <c r="C8" s="3" t="s">
        <v>52</v>
      </c>
      <c r="D8" s="3" t="s">
        <v>53</v>
      </c>
      <c r="E8" s="16">
        <v>600891</v>
      </c>
      <c r="F8" s="17">
        <v>8.6999999999999993</v>
      </c>
      <c r="G8" s="17">
        <v>8.84</v>
      </c>
      <c r="J8" s="22">
        <f t="shared" si="0"/>
        <v>1.4091954022988464E-2</v>
      </c>
      <c r="K8" s="22">
        <f t="shared" si="1"/>
        <v>1.4091954022988464E-2</v>
      </c>
      <c r="L8" s="18">
        <f>IF(J8="","",AVERAGE(J8:K8))</f>
        <v>1.4091954022988464E-2</v>
      </c>
      <c r="M8" s="15">
        <f t="shared" ref="M8:M9" si="5">IF(L8="","",IF(I6="",N7/2*L8,N7/4*L8))</f>
        <v>2170.008683993829</v>
      </c>
      <c r="N8" s="24">
        <f t="shared" ref="N8:N9" si="6">N7+M8</f>
        <v>310148.40266028041</v>
      </c>
    </row>
    <row r="9" spans="1:15">
      <c r="A9" s="19">
        <v>42444</v>
      </c>
      <c r="B9" s="21">
        <f t="shared" si="4"/>
        <v>42444</v>
      </c>
      <c r="C9" s="3" t="s">
        <v>54</v>
      </c>
      <c r="D9" s="3" t="s">
        <v>55</v>
      </c>
      <c r="E9" s="16">
        <v>600570</v>
      </c>
      <c r="F9" s="17">
        <v>42</v>
      </c>
      <c r="G9" s="17">
        <v>44.64</v>
      </c>
      <c r="H9" s="17">
        <v>42.82</v>
      </c>
      <c r="J9" s="22">
        <f t="shared" si="0"/>
        <v>6.0857142857142943E-2</v>
      </c>
      <c r="K9" s="22">
        <f t="shared" si="1"/>
        <v>1.7523809523809497E-2</v>
      </c>
      <c r="L9" s="18">
        <f>IF(J9="","",AVERAGE(J9:K9))</f>
        <v>3.919047619047622E-2</v>
      </c>
      <c r="M9" s="15">
        <f t="shared" si="5"/>
        <v>6077.4317949859751</v>
      </c>
      <c r="N9" s="24">
        <f t="shared" si="6"/>
        <v>316225.83445526636</v>
      </c>
    </row>
    <row r="10" spans="1:15">
      <c r="A10" s="19">
        <v>42445</v>
      </c>
      <c r="B10" s="21">
        <f t="shared" si="4"/>
        <v>42445</v>
      </c>
      <c r="C10" s="3" t="s">
        <v>56</v>
      </c>
      <c r="D10" s="3" t="s">
        <v>57</v>
      </c>
      <c r="E10" s="16">
        <v>2733</v>
      </c>
      <c r="F10" s="17">
        <v>21.8</v>
      </c>
      <c r="G10" s="17">
        <v>22.3</v>
      </c>
      <c r="J10" s="22">
        <f t="shared" si="0"/>
        <v>2.0935779816513733E-2</v>
      </c>
      <c r="K10" s="22">
        <f t="shared" si="1"/>
        <v>2.0935779816513733E-2</v>
      </c>
      <c r="L10" s="18">
        <f t="shared" ref="L10:L11" si="7">IF(J10="","",AVERAGE(J10:K10))</f>
        <v>2.0935779816513733E-2</v>
      </c>
      <c r="M10" s="15">
        <f t="shared" ref="M10:M11" si="8">IF(L10="","",IF(I8="",N9/2*L10,N9/4*L10))</f>
        <v>3310.2172212243895</v>
      </c>
      <c r="N10" s="24">
        <f t="shared" ref="N10:N11" si="9">N9+M10</f>
        <v>319536.05167649075</v>
      </c>
    </row>
    <row r="11" spans="1:15">
      <c r="A11" s="19">
        <v>42446</v>
      </c>
      <c r="B11" s="21">
        <f t="shared" si="4"/>
        <v>42446</v>
      </c>
      <c r="C11" s="3" t="s">
        <v>58</v>
      </c>
      <c r="D11" s="3" t="s">
        <v>59</v>
      </c>
      <c r="E11" s="16">
        <v>600883</v>
      </c>
      <c r="F11" s="17">
        <v>14.28</v>
      </c>
      <c r="G11" s="17">
        <v>16.190000000000001</v>
      </c>
      <c r="H11" s="17">
        <v>16.38</v>
      </c>
      <c r="I11" s="20">
        <v>1</v>
      </c>
      <c r="J11" s="22">
        <f t="shared" si="0"/>
        <v>0.13175350140056041</v>
      </c>
      <c r="K11" s="22">
        <f t="shared" si="1"/>
        <v>0.14505882352941168</v>
      </c>
      <c r="L11" s="18">
        <f t="shared" ref="L11" si="10">IF(J11="","",AVERAGE(J11:K11))</f>
        <v>0.13840616246498605</v>
      </c>
      <c r="M11" s="15">
        <f t="shared" ref="M11" si="11">IF(L11="","",IF(I9="",N10/2*L11,N10/4*L11))</f>
        <v>22112.879340878277</v>
      </c>
      <c r="N11" s="24">
        <f t="shared" ref="N11" si="12">N10+M11</f>
        <v>341648.93101736903</v>
      </c>
    </row>
    <row r="12" spans="1:15">
      <c r="A12" s="19">
        <v>42447</v>
      </c>
      <c r="B12" s="21">
        <f t="shared" si="4"/>
        <v>42447</v>
      </c>
      <c r="C12" s="3" t="s">
        <v>60</v>
      </c>
      <c r="D12" s="3" t="s">
        <v>61</v>
      </c>
      <c r="E12" s="16">
        <v>300113</v>
      </c>
      <c r="F12" s="17">
        <v>88</v>
      </c>
      <c r="G12" s="17">
        <v>89.36</v>
      </c>
      <c r="H12" s="17">
        <v>92.3</v>
      </c>
      <c r="J12" s="22">
        <f t="shared" si="0"/>
        <v>1.3454545454545387E-2</v>
      </c>
      <c r="K12" s="22">
        <f t="shared" si="1"/>
        <v>4.686363636363633E-2</v>
      </c>
      <c r="L12" s="18">
        <f t="shared" ref="L12" si="13">IF(J12="","",AVERAGE(J12:K12))</f>
        <v>3.0159090909090858E-2</v>
      </c>
      <c r="M12" s="15">
        <f t="shared" ref="M12" si="14">IF(L12="","",IF(I10="",N11/2*L12,N11/4*L12))</f>
        <v>5151.9105847732717</v>
      </c>
      <c r="N12" s="24">
        <f t="shared" ref="N12" si="15">N11+M12</f>
        <v>346800.84160214232</v>
      </c>
    </row>
    <row r="13" spans="1:15">
      <c r="A13" s="19">
        <v>42450</v>
      </c>
      <c r="B13" s="21">
        <f t="shared" si="4"/>
        <v>42450</v>
      </c>
      <c r="C13" s="3" t="s">
        <v>60</v>
      </c>
      <c r="D13" s="3" t="s">
        <v>55</v>
      </c>
      <c r="E13" s="16">
        <v>600570</v>
      </c>
      <c r="F13" s="17">
        <v>56.99</v>
      </c>
      <c r="G13" s="17">
        <v>58.2</v>
      </c>
      <c r="J13" s="22">
        <f t="shared" si="0"/>
        <v>1.9231795051763534E-2</v>
      </c>
      <c r="K13" s="22">
        <f t="shared" si="1"/>
        <v>1.9231795051763534E-2</v>
      </c>
      <c r="L13" s="18">
        <f t="shared" ref="L13" si="16">IF(J13="","",AVERAGE(J13:K13))</f>
        <v>1.9231795051763534E-2</v>
      </c>
      <c r="M13" s="15">
        <f t="shared" ref="M13" si="17">IF(L13="","",IF(I11="",N12/2*L13,N12/4*L13))</f>
        <v>1667.4006773678775</v>
      </c>
      <c r="N13" s="24">
        <f t="shared" ref="N13" si="18">N12+M13</f>
        <v>348468.24227951019</v>
      </c>
    </row>
    <row r="14" spans="1:15">
      <c r="A14" s="19">
        <v>42451</v>
      </c>
      <c r="B14" s="21">
        <f t="shared" si="4"/>
        <v>42451</v>
      </c>
      <c r="C14" s="3" t="s">
        <v>62</v>
      </c>
      <c r="D14" s="3" t="s">
        <v>63</v>
      </c>
      <c r="E14" s="16">
        <v>2673</v>
      </c>
      <c r="F14" s="17">
        <v>26.9</v>
      </c>
      <c r="G14" s="17">
        <v>28.94</v>
      </c>
      <c r="H14" s="17">
        <v>29.26</v>
      </c>
      <c r="I14" s="20">
        <v>1</v>
      </c>
      <c r="J14" s="22">
        <f t="shared" si="0"/>
        <v>7.3836431226765864E-2</v>
      </c>
      <c r="K14" s="22">
        <f t="shared" si="1"/>
        <v>8.5732342007434958E-2</v>
      </c>
      <c r="L14" s="18">
        <f t="shared" ref="L14" si="19">IF(J14="","",AVERAGE(J14:K14))</f>
        <v>7.9784386617100411E-2</v>
      </c>
      <c r="M14" s="15">
        <f t="shared" ref="M14" si="20">IF(L14="","",IF(I12="",N13/2*L14,N13/4*L14))</f>
        <v>13901.162482904929</v>
      </c>
      <c r="N14" s="24">
        <f t="shared" ref="N14" si="21">N13+M14</f>
        <v>362369.4047624151</v>
      </c>
    </row>
    <row r="15" spans="1:15">
      <c r="A15" s="19">
        <v>42452</v>
      </c>
      <c r="B15" s="21">
        <f t="shared" si="4"/>
        <v>42452</v>
      </c>
      <c r="C15" s="3" t="s">
        <v>64</v>
      </c>
      <c r="D15" s="3" t="s">
        <v>65</v>
      </c>
      <c r="E15" s="16">
        <v>909</v>
      </c>
      <c r="F15" s="17">
        <v>20.11</v>
      </c>
      <c r="G15" s="17">
        <v>21.16</v>
      </c>
      <c r="J15" s="22">
        <f t="shared" si="0"/>
        <v>5.0212829438090578E-2</v>
      </c>
      <c r="K15" s="22">
        <f t="shared" si="1"/>
        <v>5.0212829438090578E-2</v>
      </c>
      <c r="L15" s="18">
        <f t="shared" ref="L15:L16" si="22">IF(J15="","",AVERAGE(J15:K15))</f>
        <v>5.0212829438090578E-2</v>
      </c>
      <c r="M15" s="15">
        <f t="shared" ref="M15:M16" si="23">IF(L15="","",IF(I13="",N14/2*L15,N14/4*L15))</f>
        <v>9097.7965574587779</v>
      </c>
      <c r="N15" s="24">
        <f t="shared" ref="N15:N16" si="24">N14+M15</f>
        <v>371467.20131987386</v>
      </c>
    </row>
    <row r="16" spans="1:15">
      <c r="A16" s="19">
        <v>42453</v>
      </c>
      <c r="B16" s="21">
        <f t="shared" si="4"/>
        <v>42453</v>
      </c>
      <c r="C16" s="3" t="s">
        <v>60</v>
      </c>
      <c r="D16" s="3" t="s">
        <v>66</v>
      </c>
      <c r="E16" s="16">
        <v>2195</v>
      </c>
      <c r="F16" s="17">
        <v>29</v>
      </c>
      <c r="G16" s="17">
        <v>27.9</v>
      </c>
      <c r="J16" s="22">
        <f t="shared" si="0"/>
        <v>-3.9931034482758698E-2</v>
      </c>
      <c r="K16" s="22">
        <f t="shared" si="1"/>
        <v>-3.9931034482758698E-2</v>
      </c>
      <c r="L16" s="18">
        <f t="shared" si="22"/>
        <v>-3.9931034482758698E-2</v>
      </c>
      <c r="M16" s="15">
        <f t="shared" si="23"/>
        <v>-3708.2674062794376</v>
      </c>
      <c r="N16" s="24">
        <f t="shared" si="24"/>
        <v>367758.9339135944</v>
      </c>
    </row>
    <row r="17" spans="1:14">
      <c r="A17" s="19">
        <v>42454</v>
      </c>
      <c r="B17" s="21">
        <f t="shared" si="4"/>
        <v>42454</v>
      </c>
      <c r="C17" s="3" t="s">
        <v>64</v>
      </c>
      <c r="D17" s="3" t="s">
        <v>67</v>
      </c>
      <c r="E17" s="16">
        <v>300076</v>
      </c>
      <c r="F17" s="17">
        <v>24.69</v>
      </c>
      <c r="G17" s="17">
        <v>22.17</v>
      </c>
      <c r="J17" s="22">
        <f t="shared" si="0"/>
        <v>-0.10406561360874844</v>
      </c>
      <c r="K17" s="22">
        <f t="shared" si="1"/>
        <v>-0.10406561360874844</v>
      </c>
      <c r="L17" s="18">
        <f t="shared" ref="L17" si="25">IF(J17="","",AVERAGE(J17:K17))</f>
        <v>-0.10406561360874844</v>
      </c>
      <c r="M17" s="15">
        <f t="shared" ref="M17" si="26">IF(L17="","",IF(I15="",N16/2*L17,N16/4*L17))</f>
        <v>-19135.529558908685</v>
      </c>
      <c r="N17" s="24">
        <f t="shared" ref="N17" si="27">N16+M17</f>
        <v>348623.40435468574</v>
      </c>
    </row>
    <row r="18" spans="1:14">
      <c r="A18" s="19">
        <v>42457</v>
      </c>
      <c r="B18" s="21">
        <f t="shared" si="4"/>
        <v>42457</v>
      </c>
      <c r="C18" s="3" t="s">
        <v>68</v>
      </c>
      <c r="D18" s="3" t="s">
        <v>69</v>
      </c>
      <c r="E18" s="16">
        <v>99</v>
      </c>
      <c r="F18" s="17">
        <v>14.6</v>
      </c>
      <c r="G18" s="17">
        <v>13.21</v>
      </c>
      <c r="J18" s="22">
        <f t="shared" si="0"/>
        <v>-9.7205479452054711E-2</v>
      </c>
      <c r="K18" s="22">
        <f t="shared" si="1"/>
        <v>-9.7205479452054711E-2</v>
      </c>
      <c r="L18" s="18">
        <f t="shared" ref="L18" si="28">IF(J18="","",AVERAGE(J18:K18))</f>
        <v>-9.7205479452054711E-2</v>
      </c>
      <c r="M18" s="15">
        <f t="shared" ref="M18" si="29">IF(L18="","",IF(I16="",N17/2*L18,N17/4*L18))</f>
        <v>-16944.052584252382</v>
      </c>
      <c r="N18" s="24">
        <f t="shared" ref="N18" si="30">N17+M18</f>
        <v>331679.35177043336</v>
      </c>
    </row>
    <row r="19" spans="1:14">
      <c r="A19" s="19">
        <v>42458</v>
      </c>
      <c r="B19" s="21">
        <f t="shared" si="4"/>
        <v>42458</v>
      </c>
      <c r="C19" s="3" t="s">
        <v>56</v>
      </c>
      <c r="D19" s="3" t="s">
        <v>70</v>
      </c>
      <c r="E19" s="16">
        <v>2091</v>
      </c>
      <c r="F19" s="17">
        <v>21.34</v>
      </c>
      <c r="G19" s="17">
        <v>21.3</v>
      </c>
      <c r="J19" s="22">
        <f t="shared" ref="J19" si="31">IF(G19="","",G19/$F19-1-$O$1)</f>
        <v>-3.8744142455482394E-3</v>
      </c>
      <c r="K19" s="22">
        <f t="shared" ref="K19" si="32">IF(H19="",J19,H19/$F19-1-$O$1)</f>
        <v>-3.8744142455482394E-3</v>
      </c>
      <c r="L19" s="18">
        <f t="shared" ref="L19" si="33">IF(J19="","",AVERAGE(J19:K19))</f>
        <v>-3.8744142455482394E-3</v>
      </c>
      <c r="M19" s="15">
        <f t="shared" ref="M19" si="34">IF(L19="","",IF(I17="",N18/2*L19,N18/4*L19))</f>
        <v>-642.53160272678633</v>
      </c>
      <c r="N19" s="24">
        <f t="shared" ref="N19" si="35">N18+M19</f>
        <v>331036.82016770658</v>
      </c>
    </row>
    <row r="20" spans="1:14">
      <c r="A20" s="19">
        <v>42459</v>
      </c>
      <c r="B20" s="21">
        <f t="shared" si="4"/>
        <v>42459</v>
      </c>
      <c r="C20" s="3" t="s">
        <v>40</v>
      </c>
      <c r="D20" s="3" t="s">
        <v>41</v>
      </c>
      <c r="E20" s="16">
        <v>657</v>
      </c>
      <c r="F20" s="17">
        <v>16.28</v>
      </c>
      <c r="G20" s="17">
        <v>16.27</v>
      </c>
      <c r="J20" s="22">
        <f t="shared" ref="J20" si="36">IF(G20="","",G20/$F20-1-$O$1)</f>
        <v>-2.6142506142506888E-3</v>
      </c>
      <c r="K20" s="22">
        <f t="shared" ref="K20" si="37">IF(H20="",J20,H20/$F20-1-$O$1)</f>
        <v>-2.6142506142506888E-3</v>
      </c>
      <c r="L20" s="18">
        <f t="shared" ref="L20" si="38">IF(J20="","",AVERAGE(J20:K20))</f>
        <v>-2.6142506142506888E-3</v>
      </c>
      <c r="M20" s="15">
        <f t="shared" ref="M20" si="39">IF(L20="","",IF(I18="",N19/2*L20,N19/4*L20))</f>
        <v>-432.70660523151088</v>
      </c>
      <c r="N20" s="24">
        <f t="shared" ref="N20" si="40">N19+M20</f>
        <v>330604.11356247508</v>
      </c>
    </row>
    <row r="21" spans="1:14">
      <c r="A21" s="19">
        <v>42460</v>
      </c>
      <c r="B21" s="21">
        <f t="shared" si="4"/>
        <v>42460</v>
      </c>
      <c r="C21" s="3" t="s">
        <v>60</v>
      </c>
      <c r="D21" s="3" t="s">
        <v>71</v>
      </c>
      <c r="E21" s="16">
        <v>534</v>
      </c>
      <c r="F21" s="17">
        <v>13.39</v>
      </c>
      <c r="G21" s="17">
        <v>13.39</v>
      </c>
      <c r="J21" s="22">
        <f t="shared" ref="J21:J22" si="41">IF(G21="","",G21/$F21-1-$O$1)</f>
        <v>-2E-3</v>
      </c>
      <c r="K21" s="22">
        <f t="shared" ref="K21:K22" si="42">IF(H21="",J21,H21/$F21-1-$O$1)</f>
        <v>-2E-3</v>
      </c>
      <c r="L21" s="18">
        <f t="shared" ref="L21:L22" si="43">IF(J21="","",AVERAGE(J21:K21))</f>
        <v>-2E-3</v>
      </c>
      <c r="M21" s="15">
        <f t="shared" ref="M21:M22" si="44">IF(L21="","",IF(I19="",N20/2*L21,N20/4*L21))</f>
        <v>-330.60411356247511</v>
      </c>
      <c r="N21" s="24">
        <f t="shared" ref="N21:N22" si="45">N20+M21</f>
        <v>330273.50944891258</v>
      </c>
    </row>
    <row r="22" spans="1:14">
      <c r="A22" s="19">
        <v>42461</v>
      </c>
      <c r="B22" s="21">
        <f t="shared" si="4"/>
        <v>42461</v>
      </c>
      <c r="C22" s="3" t="s">
        <v>72</v>
      </c>
      <c r="D22" s="3" t="s">
        <v>73</v>
      </c>
      <c r="E22" s="16">
        <v>2031</v>
      </c>
      <c r="F22" s="17">
        <v>16.52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topLeftCell="A9" workbookViewId="0">
      <selection activeCell="A24" sqref="A24"/>
    </sheetView>
  </sheetViews>
  <sheetFormatPr defaultRowHeight="15"/>
  <cols>
    <col min="1" max="1" width="11.7109375" style="19" bestFit="1" customWidth="1"/>
    <col min="2" max="2" width="9.140625" style="20"/>
    <col min="3" max="3" width="9.140625" style="16"/>
    <col min="4" max="4" width="9.140625" style="3"/>
    <col min="5" max="6" width="9.140625" style="17"/>
    <col min="7" max="7" width="9.140625" style="18"/>
    <col min="8" max="8" width="9.140625" style="16"/>
    <col min="9" max="9" width="9.140625" style="3"/>
    <col min="10" max="11" width="9.140625" style="17"/>
    <col min="12" max="12" width="9.140625" style="18"/>
    <col min="13" max="13" width="9.140625" style="16"/>
    <col min="14" max="14" width="9.140625" style="3"/>
    <col min="15" max="16" width="9.140625" style="17"/>
    <col min="17" max="17" width="9.140625" style="18"/>
    <col min="18" max="18" width="9.140625" style="16"/>
    <col min="19" max="19" width="9.140625" style="3"/>
    <col min="20" max="21" width="9.140625" style="17"/>
    <col min="22" max="22" width="9.140625" style="18"/>
    <col min="23" max="23" width="9.140625" style="15"/>
    <col min="24" max="24" width="9.85546875" style="1" bestFit="1" customWidth="1"/>
  </cols>
  <sheetData>
    <row r="1" spans="1:25">
      <c r="A1" s="19" t="s">
        <v>28</v>
      </c>
      <c r="B1" s="20" t="s">
        <v>29</v>
      </c>
      <c r="C1" s="16" t="s">
        <v>2</v>
      </c>
      <c r="D1" s="3" t="s">
        <v>4</v>
      </c>
      <c r="E1" s="17" t="s">
        <v>32</v>
      </c>
      <c r="F1" s="17" t="s">
        <v>33</v>
      </c>
      <c r="G1" s="18" t="s">
        <v>38</v>
      </c>
      <c r="H1" s="16" t="s">
        <v>2</v>
      </c>
      <c r="I1" s="3" t="s">
        <v>4</v>
      </c>
      <c r="J1" s="17" t="s">
        <v>32</v>
      </c>
      <c r="K1" s="17" t="s">
        <v>33</v>
      </c>
      <c r="L1" s="18" t="s">
        <v>38</v>
      </c>
      <c r="M1" s="16" t="s">
        <v>2</v>
      </c>
      <c r="N1" s="3" t="s">
        <v>4</v>
      </c>
      <c r="O1" s="17" t="s">
        <v>32</v>
      </c>
      <c r="P1" s="17" t="s">
        <v>33</v>
      </c>
      <c r="Q1" s="18" t="s">
        <v>38</v>
      </c>
      <c r="R1" s="16" t="s">
        <v>2</v>
      </c>
      <c r="S1" s="3" t="s">
        <v>4</v>
      </c>
      <c r="T1" s="17" t="s">
        <v>32</v>
      </c>
      <c r="U1" s="17" t="s">
        <v>33</v>
      </c>
      <c r="V1" s="18" t="s">
        <v>38</v>
      </c>
      <c r="W1" s="15" t="s">
        <v>39</v>
      </c>
      <c r="X1" s="1">
        <f>7^6*2-7^5*3</f>
        <v>184877</v>
      </c>
      <c r="Y1" s="13">
        <v>2E-3</v>
      </c>
    </row>
    <row r="2" spans="1:25">
      <c r="A2" s="19">
        <v>42433</v>
      </c>
      <c r="B2" s="21">
        <f>A2</f>
        <v>42433</v>
      </c>
      <c r="C2" s="16">
        <v>300283</v>
      </c>
      <c r="D2" s="3" t="s">
        <v>74</v>
      </c>
      <c r="E2" s="17">
        <v>11.04</v>
      </c>
      <c r="F2" s="17">
        <v>10.57</v>
      </c>
      <c r="G2" s="18">
        <f>IF(F2="","",IF(F2="-",E3/E2-1,F2/E2-1-$Y$1))</f>
        <v>-4.4572463768115855E-2</v>
      </c>
      <c r="H2" s="16">
        <v>300421</v>
      </c>
      <c r="I2" s="3" t="s">
        <v>75</v>
      </c>
      <c r="J2" s="17">
        <v>25.2</v>
      </c>
      <c r="K2" s="17" t="s">
        <v>76</v>
      </c>
      <c r="L2" s="18">
        <f>IF(K2="","",IF(K2="-",J3/J2-1,K2/J2-1-$Y$1))</f>
        <v>-2.4999999999999911E-2</v>
      </c>
      <c r="M2" s="16">
        <v>2729</v>
      </c>
      <c r="N2" s="3" t="s">
        <v>77</v>
      </c>
      <c r="O2" s="17">
        <v>57.6</v>
      </c>
      <c r="P2" s="17" t="s">
        <v>76</v>
      </c>
      <c r="Q2" s="18">
        <f>IF(P2="","",IF(P2="-",O3/O2-1,P2/O2-1-$Y$1))</f>
        <v>-1.0416666666666741E-2</v>
      </c>
      <c r="R2" s="16">
        <v>600190</v>
      </c>
      <c r="S2" s="3" t="s">
        <v>78</v>
      </c>
      <c r="T2" s="17">
        <v>4.26</v>
      </c>
      <c r="U2" s="17">
        <v>4.2300000000000004</v>
      </c>
      <c r="V2" s="18">
        <f>IF(U2="","",IF(U2="-",T3/T2-1,U2/T2-1-$Y$1))</f>
        <v>-9.0422535211266402E-3</v>
      </c>
      <c r="W2" s="13">
        <f>AVERAGE(G2,L2,Q2,V2)</f>
        <v>-2.2257845988977287E-2</v>
      </c>
      <c r="X2" s="23">
        <f>X1*(1+W2)</f>
        <v>180762.03620709584</v>
      </c>
    </row>
    <row r="3" spans="1:25">
      <c r="A3" s="19">
        <v>42436</v>
      </c>
      <c r="B3" s="21">
        <f>A3</f>
        <v>42436</v>
      </c>
      <c r="C3" s="16">
        <v>300260</v>
      </c>
      <c r="D3" s="3" t="s">
        <v>79</v>
      </c>
      <c r="E3" s="17">
        <v>22.27</v>
      </c>
      <c r="F3" s="17" t="s">
        <v>76</v>
      </c>
      <c r="G3" s="18">
        <f t="shared" ref="G3:G20" si="0">IF(F3="","",IF(F3="-",E4/E3-1,F3/E3-1-$Y$1))</f>
        <v>2.3798832510103285E-2</v>
      </c>
      <c r="H3" s="16" t="s">
        <v>76</v>
      </c>
      <c r="I3" s="3" t="s">
        <v>76</v>
      </c>
      <c r="J3" s="17">
        <v>24.57</v>
      </c>
      <c r="K3" s="17" t="s">
        <v>76</v>
      </c>
      <c r="L3" s="18">
        <f t="shared" ref="L3:L20" si="1">IF(K3="","",IF(K3="-",J4/J3-1,K3/J3-1-$Y$1))</f>
        <v>2.9711029711029679E-2</v>
      </c>
      <c r="M3" s="16" t="s">
        <v>76</v>
      </c>
      <c r="N3" s="3" t="s">
        <v>76</v>
      </c>
      <c r="O3" s="17">
        <v>57</v>
      </c>
      <c r="P3" s="17" t="s">
        <v>76</v>
      </c>
      <c r="Q3" s="18">
        <f t="shared" ref="Q3:Q20" si="2">IF(P3="","",IF(P3="-",O4/O3-1,P3/O3-1-$Y$1))</f>
        <v>6.1403508771931126E-3</v>
      </c>
      <c r="R3" s="16">
        <v>2459</v>
      </c>
      <c r="S3" s="3" t="s">
        <v>80</v>
      </c>
      <c r="T3" s="17">
        <v>14.64</v>
      </c>
      <c r="U3" s="17">
        <v>14.79</v>
      </c>
      <c r="V3" s="18">
        <f t="shared" ref="V3:V12" si="3">IF(U3="","",IF(U3="-",T4/T3-1,U3/T3-1-$Y$1))</f>
        <v>8.2459016393441349E-3</v>
      </c>
      <c r="W3" s="13">
        <f>AVERAGE(G3,L3,Q3,V3)</f>
        <v>1.6974028684417553E-2</v>
      </c>
      <c r="X3" s="23">
        <f t="shared" ref="X3:X14" si="4">X2*(1+W3)</f>
        <v>183830.29619472881</v>
      </c>
    </row>
    <row r="4" spans="1:25">
      <c r="A4" s="19">
        <v>42437</v>
      </c>
      <c r="B4" s="21">
        <f>A4</f>
        <v>42437</v>
      </c>
      <c r="C4" s="16" t="s">
        <v>76</v>
      </c>
      <c r="D4" s="3" t="s">
        <v>76</v>
      </c>
      <c r="E4" s="17">
        <v>22.8</v>
      </c>
      <c r="F4" s="17" t="s">
        <v>76</v>
      </c>
      <c r="G4" s="18">
        <f t="shared" si="0"/>
        <v>-5.2631578947368585E-3</v>
      </c>
      <c r="H4" s="16" t="s">
        <v>76</v>
      </c>
      <c r="I4" s="3" t="s">
        <v>76</v>
      </c>
      <c r="J4" s="17">
        <v>25.3</v>
      </c>
      <c r="K4" s="17" t="s">
        <v>76</v>
      </c>
      <c r="L4" s="18">
        <f t="shared" si="1"/>
        <v>-1.1462450592885309E-2</v>
      </c>
      <c r="M4" s="16" t="s">
        <v>76</v>
      </c>
      <c r="N4" s="3" t="s">
        <v>76</v>
      </c>
      <c r="O4" s="17">
        <v>57.35</v>
      </c>
      <c r="P4" s="17">
        <v>63.48</v>
      </c>
      <c r="Q4" s="18">
        <f t="shared" si="2"/>
        <v>0.10488753269398421</v>
      </c>
      <c r="R4" s="16">
        <v>300472</v>
      </c>
      <c r="S4" s="3" t="s">
        <v>81</v>
      </c>
      <c r="T4" s="17">
        <v>40.46</v>
      </c>
      <c r="U4" s="17" t="s">
        <v>76</v>
      </c>
      <c r="V4" s="18">
        <f t="shared" si="3"/>
        <v>3.4602076124568004E-3</v>
      </c>
      <c r="W4" s="13">
        <f>AVERAGE(G4,L4,Q4,V4)</f>
        <v>2.290553295470471E-2</v>
      </c>
      <c r="X4" s="23">
        <f t="shared" si="4"/>
        <v>188041.0271022903</v>
      </c>
    </row>
    <row r="5" spans="1:25">
      <c r="A5" s="19">
        <v>42438</v>
      </c>
      <c r="B5" s="21">
        <f>A5</f>
        <v>42438</v>
      </c>
      <c r="C5" s="16" t="s">
        <v>76</v>
      </c>
      <c r="D5" s="3" t="s">
        <v>76</v>
      </c>
      <c r="E5" s="17">
        <v>22.68</v>
      </c>
      <c r="F5" s="17" t="s">
        <v>76</v>
      </c>
      <c r="G5" s="18">
        <f t="shared" si="0"/>
        <v>9.2592592592593004E-3</v>
      </c>
      <c r="H5" s="16" t="s">
        <v>76</v>
      </c>
      <c r="I5" s="3" t="s">
        <v>76</v>
      </c>
      <c r="J5" s="17">
        <v>25.01</v>
      </c>
      <c r="K5" s="17" t="s">
        <v>76</v>
      </c>
      <c r="L5" s="18">
        <f t="shared" si="1"/>
        <v>-5.1979208316674796E-3</v>
      </c>
      <c r="M5" s="16">
        <v>300423</v>
      </c>
      <c r="N5" s="3" t="s">
        <v>82</v>
      </c>
      <c r="O5" s="17">
        <v>31.5</v>
      </c>
      <c r="P5" s="17">
        <v>30.8</v>
      </c>
      <c r="Q5" s="18">
        <f t="shared" si="2"/>
        <v>-2.4222222222222256E-2</v>
      </c>
      <c r="R5" s="16" t="s">
        <v>76</v>
      </c>
      <c r="S5" s="3" t="s">
        <v>76</v>
      </c>
      <c r="T5" s="17">
        <v>40.6</v>
      </c>
      <c r="U5" s="17" t="s">
        <v>76</v>
      </c>
      <c r="V5" s="18">
        <f t="shared" si="3"/>
        <v>1.9704433497536922E-2</v>
      </c>
      <c r="W5" s="13">
        <f t="shared" ref="W5:W12" si="5">AVERAGE(G5,L5,Q5,V5)</f>
        <v>-1.141125742733784E-4</v>
      </c>
      <c r="X5" s="23">
        <f t="shared" si="4"/>
        <v>188019.56925661865</v>
      </c>
    </row>
    <row r="6" spans="1:25">
      <c r="A6" s="19">
        <v>42439</v>
      </c>
      <c r="B6" s="21">
        <f>A6</f>
        <v>42439</v>
      </c>
      <c r="C6" s="16" t="s">
        <v>76</v>
      </c>
      <c r="D6" s="3" t="s">
        <v>76</v>
      </c>
      <c r="E6" s="17">
        <v>22.89</v>
      </c>
      <c r="F6" s="17">
        <v>22.6</v>
      </c>
      <c r="G6" s="18">
        <f t="shared" si="0"/>
        <v>-1.4669287898645631E-2</v>
      </c>
      <c r="H6" s="16" t="s">
        <v>76</v>
      </c>
      <c r="I6" s="3" t="s">
        <v>76</v>
      </c>
      <c r="J6" s="17">
        <v>24.88</v>
      </c>
      <c r="K6" s="17" t="s">
        <v>76</v>
      </c>
      <c r="L6" s="18">
        <f t="shared" si="1"/>
        <v>-6.4308681672026191E-3</v>
      </c>
      <c r="M6" s="16">
        <v>603788</v>
      </c>
      <c r="N6" s="3" t="s">
        <v>83</v>
      </c>
      <c r="O6" s="17">
        <v>26.49</v>
      </c>
      <c r="P6" s="17" t="s">
        <v>76</v>
      </c>
      <c r="Q6" s="18">
        <f t="shared" si="2"/>
        <v>-5.624764061910148E-2</v>
      </c>
      <c r="R6" s="16" t="s">
        <v>76</v>
      </c>
      <c r="S6" s="3" t="s">
        <v>76</v>
      </c>
      <c r="T6" s="17">
        <v>41.4</v>
      </c>
      <c r="U6" s="17" t="s">
        <v>76</v>
      </c>
      <c r="V6" s="18">
        <f t="shared" si="3"/>
        <v>-1.4009661835748699E-2</v>
      </c>
      <c r="W6" s="13">
        <f t="shared" si="5"/>
        <v>-2.2839364630174608E-2</v>
      </c>
      <c r="X6" s="23">
        <f t="shared" si="4"/>
        <v>183725.32175675838</v>
      </c>
    </row>
    <row r="7" spans="1:25">
      <c r="A7" s="19">
        <v>42440</v>
      </c>
      <c r="B7" s="21">
        <f t="shared" ref="B7:B11" si="6">A7</f>
        <v>42440</v>
      </c>
      <c r="C7" s="16">
        <v>300423</v>
      </c>
      <c r="D7" s="3" t="s">
        <v>82</v>
      </c>
      <c r="E7" s="17">
        <v>29.96</v>
      </c>
      <c r="F7" s="17">
        <v>31.38</v>
      </c>
      <c r="G7" s="18">
        <f t="shared" si="0"/>
        <v>4.539652870493982E-2</v>
      </c>
      <c r="H7" s="16" t="s">
        <v>76</v>
      </c>
      <c r="I7" s="3" t="s">
        <v>76</v>
      </c>
      <c r="J7" s="17">
        <v>24.72</v>
      </c>
      <c r="K7" s="17" t="s">
        <v>76</v>
      </c>
      <c r="L7" s="18">
        <f t="shared" si="1"/>
        <v>3.6407766990291357E-2</v>
      </c>
      <c r="M7" s="16" t="s">
        <v>76</v>
      </c>
      <c r="N7" s="3" t="s">
        <v>76</v>
      </c>
      <c r="O7" s="17">
        <v>25</v>
      </c>
      <c r="P7" s="17" t="s">
        <v>76</v>
      </c>
      <c r="Q7" s="18">
        <f t="shared" si="2"/>
        <v>3.839999999999999E-2</v>
      </c>
      <c r="R7" s="16" t="s">
        <v>76</v>
      </c>
      <c r="S7" s="3" t="s">
        <v>76</v>
      </c>
      <c r="T7" s="17">
        <v>40.82</v>
      </c>
      <c r="U7" s="17">
        <v>42.11</v>
      </c>
      <c r="V7" s="18">
        <f t="shared" si="3"/>
        <v>2.9602155805977359E-2</v>
      </c>
      <c r="W7" s="13">
        <f t="shared" si="5"/>
        <v>3.7451612875302132E-2</v>
      </c>
      <c r="X7" s="23">
        <f t="shared" si="4"/>
        <v>190606.13138258283</v>
      </c>
    </row>
    <row r="8" spans="1:25">
      <c r="A8" s="19">
        <v>42443</v>
      </c>
      <c r="B8" s="21">
        <f t="shared" si="6"/>
        <v>42443</v>
      </c>
      <c r="C8" s="16">
        <v>2641</v>
      </c>
      <c r="D8" s="3" t="s">
        <v>84</v>
      </c>
      <c r="E8" s="17">
        <v>7.64</v>
      </c>
      <c r="F8" s="17" t="s">
        <v>76</v>
      </c>
      <c r="G8" s="18">
        <f t="shared" si="0"/>
        <v>3.9267015706806463E-2</v>
      </c>
      <c r="H8" s="16" t="s">
        <v>76</v>
      </c>
      <c r="I8" s="3" t="s">
        <v>76</v>
      </c>
      <c r="J8" s="17">
        <v>25.62</v>
      </c>
      <c r="K8" s="17" t="s">
        <v>76</v>
      </c>
      <c r="L8" s="18">
        <f t="shared" si="1"/>
        <v>3.3177205308352775E-2</v>
      </c>
      <c r="M8" s="16" t="s">
        <v>76</v>
      </c>
      <c r="N8" s="3" t="s">
        <v>76</v>
      </c>
      <c r="O8" s="17">
        <v>25.96</v>
      </c>
      <c r="P8" s="17" t="s">
        <v>76</v>
      </c>
      <c r="Q8" s="18">
        <f t="shared" si="2"/>
        <v>2.1186440677966045E-2</v>
      </c>
      <c r="R8" s="16">
        <v>300449</v>
      </c>
      <c r="S8" s="3" t="s">
        <v>85</v>
      </c>
      <c r="T8" s="17">
        <v>80.88</v>
      </c>
      <c r="U8" s="17">
        <v>83.99</v>
      </c>
      <c r="V8" s="18">
        <f t="shared" si="3"/>
        <v>3.6452027695351052E-2</v>
      </c>
      <c r="W8" s="13">
        <f t="shared" si="5"/>
        <v>3.2520672347119084E-2</v>
      </c>
      <c r="X8" s="23">
        <f t="shared" si="4"/>
        <v>196804.77092862775</v>
      </c>
    </row>
    <row r="9" spans="1:25">
      <c r="A9" s="19">
        <v>42444</v>
      </c>
      <c r="B9" s="21">
        <f t="shared" si="6"/>
        <v>42444</v>
      </c>
      <c r="C9" s="16" t="s">
        <v>76</v>
      </c>
      <c r="D9" s="3" t="s">
        <v>76</v>
      </c>
      <c r="E9" s="17">
        <v>7.94</v>
      </c>
      <c r="F9" s="17">
        <v>7.97</v>
      </c>
      <c r="G9" s="18">
        <f t="shared" si="0"/>
        <v>1.7783375314861533E-3</v>
      </c>
      <c r="H9" s="16" t="s">
        <v>76</v>
      </c>
      <c r="I9" s="3" t="s">
        <v>76</v>
      </c>
      <c r="J9" s="17">
        <v>26.47</v>
      </c>
      <c r="K9" s="17">
        <v>26.99</v>
      </c>
      <c r="L9" s="18">
        <f t="shared" si="1"/>
        <v>1.7644880997355505E-2</v>
      </c>
      <c r="M9" s="16" t="s">
        <v>76</v>
      </c>
      <c r="N9" s="3" t="s">
        <v>76</v>
      </c>
      <c r="O9" s="17">
        <v>26.51</v>
      </c>
      <c r="P9" s="17" t="s">
        <v>76</v>
      </c>
      <c r="Q9" s="18">
        <f t="shared" si="2"/>
        <v>3.3949453036590249E-3</v>
      </c>
      <c r="R9" s="16">
        <v>603518</v>
      </c>
      <c r="S9" s="3" t="s">
        <v>86</v>
      </c>
      <c r="T9" s="17">
        <v>25.33</v>
      </c>
      <c r="U9" s="17" t="s">
        <v>76</v>
      </c>
      <c r="V9" s="18">
        <f t="shared" si="3"/>
        <v>7.1061981839717347E-3</v>
      </c>
      <c r="W9" s="13">
        <f t="shared" si="5"/>
        <v>7.4810905041181042E-3</v>
      </c>
      <c r="X9" s="23">
        <f t="shared" si="4"/>
        <v>198277.08523158703</v>
      </c>
    </row>
    <row r="10" spans="1:25">
      <c r="A10" s="19">
        <v>42445</v>
      </c>
      <c r="B10" s="21">
        <f t="shared" si="6"/>
        <v>42445</v>
      </c>
      <c r="C10" s="16">
        <v>715</v>
      </c>
      <c r="D10" s="3" t="s">
        <v>87</v>
      </c>
      <c r="E10" s="17">
        <v>11.29</v>
      </c>
      <c r="F10" s="17">
        <v>11.92</v>
      </c>
      <c r="G10" s="18">
        <f t="shared" si="0"/>
        <v>5.3801594331266633E-2</v>
      </c>
      <c r="H10" s="16">
        <v>300374</v>
      </c>
      <c r="I10" s="3" t="s">
        <v>88</v>
      </c>
      <c r="J10" s="17">
        <v>18.95</v>
      </c>
      <c r="K10" s="17" t="s">
        <v>76</v>
      </c>
      <c r="L10" s="18">
        <f t="shared" si="1"/>
        <v>-2.1635883905013253E-2</v>
      </c>
      <c r="M10" s="16" t="s">
        <v>76</v>
      </c>
      <c r="N10" s="3" t="s">
        <v>76</v>
      </c>
      <c r="O10" s="17">
        <v>26.6</v>
      </c>
      <c r="P10" s="17" t="s">
        <v>76</v>
      </c>
      <c r="Q10" s="18">
        <f t="shared" si="2"/>
        <v>-2.3308270676691722E-2</v>
      </c>
      <c r="R10" s="16" t="s">
        <v>76</v>
      </c>
      <c r="S10" s="3" t="s">
        <v>76</v>
      </c>
      <c r="T10" s="17">
        <v>25.51</v>
      </c>
      <c r="U10" s="17">
        <v>24.72</v>
      </c>
      <c r="V10" s="18">
        <f t="shared" si="3"/>
        <v>-3.296824774598206E-2</v>
      </c>
      <c r="W10" s="13">
        <f t="shared" si="5"/>
        <v>-6.0277019991051006E-3</v>
      </c>
      <c r="X10" s="23">
        <f t="shared" si="4"/>
        <v>197081.93004855985</v>
      </c>
    </row>
    <row r="11" spans="1:25">
      <c r="A11" s="19">
        <v>42446</v>
      </c>
      <c r="B11" s="21">
        <f t="shared" si="6"/>
        <v>42446</v>
      </c>
      <c r="C11" s="16">
        <v>600190</v>
      </c>
      <c r="D11" s="3" t="s">
        <v>78</v>
      </c>
      <c r="E11" s="17">
        <v>4.2</v>
      </c>
      <c r="F11" s="17" t="s">
        <v>76</v>
      </c>
      <c r="G11" s="18">
        <f t="shared" si="0"/>
        <v>2.1428571428571352E-2</v>
      </c>
      <c r="H11" s="16" t="s">
        <v>76</v>
      </c>
      <c r="I11" s="3" t="s">
        <v>76</v>
      </c>
      <c r="J11" s="17">
        <v>18.54</v>
      </c>
      <c r="K11" s="17">
        <v>19.05</v>
      </c>
      <c r="L11" s="18">
        <f t="shared" si="1"/>
        <v>2.5508090614886791E-2</v>
      </c>
      <c r="M11" s="16" t="s">
        <v>76</v>
      </c>
      <c r="N11" s="3" t="s">
        <v>76</v>
      </c>
      <c r="O11" s="17">
        <v>25.98</v>
      </c>
      <c r="P11" s="17">
        <v>27.25</v>
      </c>
      <c r="Q11" s="18">
        <f t="shared" si="2"/>
        <v>4.6883756735950799E-2</v>
      </c>
      <c r="R11" s="16">
        <v>600262</v>
      </c>
      <c r="S11" s="3" t="s">
        <v>89</v>
      </c>
      <c r="T11" s="17">
        <v>32.94</v>
      </c>
      <c r="U11" s="17" t="s">
        <v>76</v>
      </c>
      <c r="V11" s="18">
        <f t="shared" si="3"/>
        <v>-5.7680631451122455E-3</v>
      </c>
      <c r="W11" s="13">
        <f t="shared" si="5"/>
        <v>2.2013088908574174E-2</v>
      </c>
      <c r="X11" s="23">
        <f t="shared" si="4"/>
        <v>201420.31209699219</v>
      </c>
    </row>
    <row r="12" spans="1:25">
      <c r="A12" s="19">
        <v>42447</v>
      </c>
      <c r="B12" s="21">
        <f t="shared" ref="B12:B18" si="7">A12</f>
        <v>42447</v>
      </c>
      <c r="C12" s="16" t="s">
        <v>76</v>
      </c>
      <c r="D12" s="3" t="s">
        <v>76</v>
      </c>
      <c r="E12" s="17">
        <v>4.29</v>
      </c>
      <c r="F12" s="17" t="s">
        <v>76</v>
      </c>
      <c r="G12" s="18">
        <f t="shared" si="0"/>
        <v>2.0979020979021046E-2</v>
      </c>
      <c r="H12" s="16">
        <v>600725</v>
      </c>
      <c r="I12" s="3" t="s">
        <v>90</v>
      </c>
      <c r="J12" s="17">
        <v>5.51</v>
      </c>
      <c r="K12" s="17" t="s">
        <v>76</v>
      </c>
      <c r="L12" s="18">
        <f t="shared" si="1"/>
        <v>3.6297640653357499E-2</v>
      </c>
      <c r="M12" s="16">
        <v>601116</v>
      </c>
      <c r="N12" s="3" t="s">
        <v>91</v>
      </c>
      <c r="O12" s="17">
        <v>9.98</v>
      </c>
      <c r="P12" s="17">
        <v>10.01</v>
      </c>
      <c r="Q12" s="18">
        <f t="shared" si="2"/>
        <v>1.0060120240480436E-3</v>
      </c>
      <c r="R12" s="16" t="s">
        <v>76</v>
      </c>
      <c r="S12" s="3" t="s">
        <v>76</v>
      </c>
      <c r="T12" s="17">
        <v>32.75</v>
      </c>
      <c r="U12" s="17" t="s">
        <v>76</v>
      </c>
      <c r="V12" s="18">
        <f t="shared" si="3"/>
        <v>5.7709923664122087E-2</v>
      </c>
      <c r="W12" s="13">
        <f t="shared" si="5"/>
        <v>2.8998149330137168E-2</v>
      </c>
      <c r="X12" s="23">
        <f t="shared" si="4"/>
        <v>207261.1283853036</v>
      </c>
    </row>
    <row r="13" spans="1:25">
      <c r="A13" s="19">
        <v>42450</v>
      </c>
      <c r="B13" s="21">
        <f t="shared" si="7"/>
        <v>42450</v>
      </c>
      <c r="C13" s="16" t="s">
        <v>76</v>
      </c>
      <c r="D13" s="3" t="s">
        <v>76</v>
      </c>
      <c r="E13" s="17">
        <v>4.38</v>
      </c>
      <c r="F13" s="17">
        <v>4.37</v>
      </c>
      <c r="G13" s="18">
        <f t="shared" si="0"/>
        <v>-4.2831050228310224E-3</v>
      </c>
      <c r="H13" s="16" t="s">
        <v>76</v>
      </c>
      <c r="I13" s="3" t="s">
        <v>76</v>
      </c>
      <c r="J13" s="17">
        <v>5.71</v>
      </c>
      <c r="K13" s="17">
        <v>5.75</v>
      </c>
      <c r="L13" s="18">
        <f t="shared" si="1"/>
        <v>5.0052539404552582E-3</v>
      </c>
      <c r="M13" s="16">
        <v>2459</v>
      </c>
      <c r="N13" s="3" t="s">
        <v>80</v>
      </c>
      <c r="O13" s="17">
        <v>16.46</v>
      </c>
      <c r="P13" s="17" t="s">
        <v>76</v>
      </c>
      <c r="Q13" s="18">
        <f t="shared" si="2"/>
        <v>-1.2758201701093652E-2</v>
      </c>
      <c r="R13" s="16" t="s">
        <v>76</v>
      </c>
      <c r="S13" s="3" t="s">
        <v>76</v>
      </c>
      <c r="T13" s="17">
        <v>34.64</v>
      </c>
      <c r="U13" s="17">
        <v>35.5</v>
      </c>
      <c r="V13" s="18">
        <f t="shared" ref="V13" si="8">IF(U13="","",IF(U13="-",T14/T13-1,U13/T13-1-$Y$1))</f>
        <v>2.2826789838337191E-2</v>
      </c>
      <c r="W13" s="13">
        <f t="shared" ref="W13" si="9">AVERAGE(G13,L13,Q13,V13)</f>
        <v>2.6976842637169438E-3</v>
      </c>
      <c r="X13" s="23">
        <f t="shared" si="4"/>
        <v>207820.25346982887</v>
      </c>
    </row>
    <row r="14" spans="1:25">
      <c r="A14" s="19">
        <v>42451</v>
      </c>
      <c r="B14" s="21">
        <f t="shared" si="7"/>
        <v>42451</v>
      </c>
      <c r="C14" s="16">
        <v>601677</v>
      </c>
      <c r="D14" s="3" t="s">
        <v>92</v>
      </c>
      <c r="E14" s="17">
        <v>13.19</v>
      </c>
      <c r="F14" s="17" t="s">
        <v>76</v>
      </c>
      <c r="G14" s="18">
        <f t="shared" si="0"/>
        <v>-1.8195602729340399E-2</v>
      </c>
      <c r="H14" s="16">
        <v>603998</v>
      </c>
      <c r="I14" s="3" t="s">
        <v>93</v>
      </c>
      <c r="J14" s="17">
        <v>36.840000000000003</v>
      </c>
      <c r="K14" s="17" t="s">
        <v>76</v>
      </c>
      <c r="L14" s="18">
        <f t="shared" si="1"/>
        <v>7.0575461454940314E-3</v>
      </c>
      <c r="M14" s="16" t="s">
        <v>76</v>
      </c>
      <c r="N14" s="3" t="s">
        <v>76</v>
      </c>
      <c r="O14" s="17">
        <v>16.25</v>
      </c>
      <c r="P14" s="17" t="s">
        <v>76</v>
      </c>
      <c r="Q14" s="18">
        <f t="shared" si="2"/>
        <v>-1.538461538461533E-2</v>
      </c>
      <c r="R14" s="16">
        <v>601339</v>
      </c>
      <c r="S14" s="3" t="s">
        <v>94</v>
      </c>
      <c r="T14" s="17">
        <v>5.86</v>
      </c>
      <c r="U14" s="17" t="s">
        <v>76</v>
      </c>
      <c r="V14" s="18">
        <f t="shared" ref="V14:V18" si="10">IF(U14="","",IF(U14="-",T15/T14-1,U14/T14-1-$Y$1))</f>
        <v>1.7064846416381396E-3</v>
      </c>
      <c r="W14" s="13">
        <f t="shared" ref="W14:W18" si="11">AVERAGE(G14,L14,Q14,V14)</f>
        <v>-6.2040468317058894E-3</v>
      </c>
      <c r="X14" s="23">
        <f t="shared" si="4"/>
        <v>206530.92688472505</v>
      </c>
    </row>
    <row r="15" spans="1:25">
      <c r="A15" s="19">
        <v>42452</v>
      </c>
      <c r="B15" s="21">
        <f t="shared" si="7"/>
        <v>42452</v>
      </c>
      <c r="C15" s="16" t="s">
        <v>76</v>
      </c>
      <c r="D15" s="3" t="s">
        <v>76</v>
      </c>
      <c r="E15" s="17">
        <v>12.95</v>
      </c>
      <c r="F15" s="17" t="s">
        <v>76</v>
      </c>
      <c r="G15" s="18">
        <f t="shared" si="0"/>
        <v>1.544401544401719E-3</v>
      </c>
      <c r="H15" s="16" t="s">
        <v>76</v>
      </c>
      <c r="I15" s="3" t="s">
        <v>76</v>
      </c>
      <c r="J15" s="17">
        <v>37.1</v>
      </c>
      <c r="K15" s="17">
        <v>36.9</v>
      </c>
      <c r="L15" s="18">
        <f t="shared" si="1"/>
        <v>-7.3908355795149188E-3</v>
      </c>
      <c r="M15" s="16" t="s">
        <v>76</v>
      </c>
      <c r="N15" s="3" t="s">
        <v>76</v>
      </c>
      <c r="O15" s="17">
        <v>16</v>
      </c>
      <c r="P15" s="17" t="s">
        <v>76</v>
      </c>
      <c r="Q15" s="18">
        <f t="shared" si="2"/>
        <v>0</v>
      </c>
      <c r="R15" s="16" t="s">
        <v>76</v>
      </c>
      <c r="S15" s="3" t="s">
        <v>76</v>
      </c>
      <c r="T15" s="17">
        <v>5.87</v>
      </c>
      <c r="U15" s="17" t="s">
        <v>76</v>
      </c>
      <c r="V15" s="18">
        <f t="shared" si="10"/>
        <v>-3.4071550255537764E-3</v>
      </c>
      <c r="W15" s="13">
        <f t="shared" si="11"/>
        <v>-2.3133972651667441E-3</v>
      </c>
      <c r="X15" s="23">
        <f>X14*(1+W15)</f>
        <v>206053.13880329757</v>
      </c>
    </row>
    <row r="16" spans="1:25">
      <c r="A16" s="19">
        <v>42453</v>
      </c>
      <c r="B16" s="21">
        <f t="shared" si="7"/>
        <v>42453</v>
      </c>
      <c r="C16" s="16" t="s">
        <v>76</v>
      </c>
      <c r="D16" s="3" t="s">
        <v>76</v>
      </c>
      <c r="E16" s="17">
        <v>12.97</v>
      </c>
      <c r="F16" s="17">
        <v>12.86</v>
      </c>
      <c r="G16" s="18">
        <f t="shared" si="0"/>
        <v>-1.0481110254433433E-2</v>
      </c>
      <c r="H16" s="16">
        <v>300381</v>
      </c>
      <c r="I16" s="3" t="s">
        <v>95</v>
      </c>
      <c r="J16" s="17">
        <v>44.6</v>
      </c>
      <c r="K16" s="17" t="s">
        <v>76</v>
      </c>
      <c r="L16" s="18">
        <f t="shared" si="1"/>
        <v>1.3228699551569356E-2</v>
      </c>
      <c r="M16" s="16" t="s">
        <v>76</v>
      </c>
      <c r="N16" s="3" t="s">
        <v>76</v>
      </c>
      <c r="O16" s="17">
        <v>16</v>
      </c>
      <c r="P16" s="17" t="s">
        <v>76</v>
      </c>
      <c r="Q16" s="18">
        <f t="shared" si="2"/>
        <v>7.5000000000000622E-3</v>
      </c>
      <c r="R16" s="16" t="s">
        <v>76</v>
      </c>
      <c r="S16" s="3" t="s">
        <v>76</v>
      </c>
      <c r="T16" s="17">
        <v>5.85</v>
      </c>
      <c r="U16" s="17">
        <v>5.74</v>
      </c>
      <c r="V16" s="18">
        <f t="shared" si="10"/>
        <v>-2.0803418803418738E-2</v>
      </c>
      <c r="W16" s="13">
        <f t="shared" si="11"/>
        <v>-2.6389573765706882E-3</v>
      </c>
      <c r="X16" s="23">
        <f>X15*(1+W16)</f>
        <v>205509.37335268705</v>
      </c>
    </row>
    <row r="17" spans="1:24">
      <c r="A17" s="19">
        <v>42454</v>
      </c>
      <c r="B17" s="21">
        <f t="shared" si="7"/>
        <v>42454</v>
      </c>
      <c r="C17" s="16">
        <v>300260</v>
      </c>
      <c r="D17" s="3" t="s">
        <v>79</v>
      </c>
      <c r="E17" s="17">
        <v>26.16</v>
      </c>
      <c r="F17" s="17" t="s">
        <v>76</v>
      </c>
      <c r="G17" s="18">
        <f t="shared" si="0"/>
        <v>2.5993883792048811E-2</v>
      </c>
      <c r="H17" s="16" t="s">
        <v>76</v>
      </c>
      <c r="I17" s="3" t="s">
        <v>76</v>
      </c>
      <c r="J17" s="17">
        <v>45.19</v>
      </c>
      <c r="K17" s="17" t="s">
        <v>76</v>
      </c>
      <c r="L17" s="18">
        <f t="shared" si="1"/>
        <v>-7.5237884487717732E-3</v>
      </c>
      <c r="M17" s="16" t="s">
        <v>76</v>
      </c>
      <c r="N17" s="3" t="s">
        <v>76</v>
      </c>
      <c r="O17" s="17">
        <v>16.12</v>
      </c>
      <c r="P17" s="17" t="s">
        <v>76</v>
      </c>
      <c r="Q17" s="18">
        <f t="shared" si="2"/>
        <v>1.1786600496277666E-2</v>
      </c>
      <c r="R17" s="16">
        <v>2352</v>
      </c>
      <c r="S17" s="3" t="s">
        <v>96</v>
      </c>
      <c r="T17" s="17">
        <v>25.37</v>
      </c>
      <c r="U17" s="17">
        <v>26</v>
      </c>
      <c r="V17" s="18">
        <f t="shared" si="10"/>
        <v>2.2832479306267306E-2</v>
      </c>
      <c r="W17" s="13">
        <f t="shared" si="11"/>
        <v>1.3272293786455502E-2</v>
      </c>
      <c r="X17" s="23">
        <f>X16*(1+W17)</f>
        <v>208236.95413169431</v>
      </c>
    </row>
    <row r="18" spans="1:24">
      <c r="A18" s="19">
        <v>42457</v>
      </c>
      <c r="B18" s="21">
        <f t="shared" si="7"/>
        <v>42457</v>
      </c>
      <c r="C18" s="16" t="s">
        <v>76</v>
      </c>
      <c r="D18" s="3" t="s">
        <v>76</v>
      </c>
      <c r="E18" s="17">
        <v>26.84</v>
      </c>
      <c r="F18" s="17" t="s">
        <v>76</v>
      </c>
      <c r="G18" s="18">
        <f t="shared" si="0"/>
        <v>-1.900149031296583E-2</v>
      </c>
      <c r="H18" s="16" t="s">
        <v>76</v>
      </c>
      <c r="I18" s="3" t="s">
        <v>76</v>
      </c>
      <c r="J18" s="17">
        <v>44.85</v>
      </c>
      <c r="K18" s="17">
        <v>45.03</v>
      </c>
      <c r="L18" s="18">
        <f t="shared" si="1"/>
        <v>2.0133779264213131E-3</v>
      </c>
      <c r="M18" s="16" t="s">
        <v>76</v>
      </c>
      <c r="N18" s="3" t="s">
        <v>76</v>
      </c>
      <c r="O18" s="17">
        <v>16.309999999999999</v>
      </c>
      <c r="P18" s="17" t="s">
        <v>76</v>
      </c>
      <c r="Q18" s="18">
        <f t="shared" si="2"/>
        <v>-4.9049662783566816E-3</v>
      </c>
      <c r="R18" s="16">
        <v>600167</v>
      </c>
      <c r="S18" s="3" t="s">
        <v>97</v>
      </c>
      <c r="T18" s="17">
        <v>15.25</v>
      </c>
      <c r="U18" s="17">
        <v>15.31</v>
      </c>
      <c r="V18" s="18">
        <f t="shared" si="10"/>
        <v>1.9344262295082366E-3</v>
      </c>
      <c r="W18" s="13">
        <f t="shared" si="11"/>
        <v>-4.9896631088482413E-3</v>
      </c>
      <c r="X18" s="23">
        <f>X17*(1+W18)</f>
        <v>207197.92188376447</v>
      </c>
    </row>
    <row r="19" spans="1:24">
      <c r="A19" s="19">
        <v>42458</v>
      </c>
      <c r="B19" s="21">
        <f>A19</f>
        <v>42458</v>
      </c>
      <c r="C19" s="16" t="s">
        <v>76</v>
      </c>
      <c r="D19" s="3" t="s">
        <v>76</v>
      </c>
      <c r="E19" s="17">
        <v>26.33</v>
      </c>
      <c r="F19" s="17" t="s">
        <v>76</v>
      </c>
      <c r="G19" s="18">
        <f t="shared" si="0"/>
        <v>1.3292821876186967E-2</v>
      </c>
      <c r="H19" s="16">
        <v>601339</v>
      </c>
      <c r="I19" s="3" t="s">
        <v>94</v>
      </c>
      <c r="J19" s="17">
        <v>5.8</v>
      </c>
      <c r="K19" s="17">
        <v>5.91</v>
      </c>
      <c r="L19" s="18">
        <f t="shared" si="1"/>
        <v>1.6965517241379402E-2</v>
      </c>
      <c r="M19" s="16" t="s">
        <v>76</v>
      </c>
      <c r="N19" s="3" t="s">
        <v>76</v>
      </c>
      <c r="O19" s="17">
        <v>16.23</v>
      </c>
      <c r="P19" s="17" t="s">
        <v>76</v>
      </c>
      <c r="Q19" s="18">
        <f t="shared" si="2"/>
        <v>-2.6494146642020877E-2</v>
      </c>
      <c r="R19" s="16">
        <v>601677</v>
      </c>
      <c r="S19" s="3" t="s">
        <v>92</v>
      </c>
      <c r="T19" s="17">
        <v>12.99</v>
      </c>
      <c r="U19" s="17" t="s">
        <v>76</v>
      </c>
      <c r="V19" s="18">
        <f t="shared" ref="V19" si="12">IF(U19="","",IF(U19="-",T20/T19-1,U19/T19-1-$Y$1))</f>
        <v>7.698229407235857E-4</v>
      </c>
      <c r="W19" s="13">
        <f t="shared" ref="W19" si="13">AVERAGE(G19,L19,Q19,V19)</f>
        <v>1.1335038540672693E-3</v>
      </c>
      <c r="X19" s="23">
        <f>X18*(1+W19)</f>
        <v>207432.78152677443</v>
      </c>
    </row>
    <row r="20" spans="1:24">
      <c r="A20" s="19">
        <v>42459</v>
      </c>
      <c r="B20" s="21">
        <f>A20</f>
        <v>42459</v>
      </c>
      <c r="C20" s="16" t="s">
        <v>76</v>
      </c>
      <c r="D20" s="3" t="s">
        <v>76</v>
      </c>
      <c r="E20" s="17">
        <v>26.68</v>
      </c>
      <c r="F20" s="17">
        <v>28.06</v>
      </c>
      <c r="G20" s="18">
        <f t="shared" si="0"/>
        <v>4.9724137931034473E-2</v>
      </c>
      <c r="H20" s="16">
        <v>601238</v>
      </c>
      <c r="I20" s="3" t="s">
        <v>98</v>
      </c>
      <c r="J20" s="17">
        <v>19.96</v>
      </c>
      <c r="K20" s="17" t="s">
        <v>76</v>
      </c>
      <c r="L20" s="18">
        <f t="shared" si="1"/>
        <v>2.3547094188376638E-2</v>
      </c>
      <c r="M20" s="16" t="s">
        <v>76</v>
      </c>
      <c r="N20" s="3" t="s">
        <v>76</v>
      </c>
      <c r="O20" s="17">
        <v>15.8</v>
      </c>
      <c r="P20" s="17" t="s">
        <v>76</v>
      </c>
      <c r="Q20" s="18">
        <f t="shared" si="2"/>
        <v>3.1645569620253111E-2</v>
      </c>
      <c r="R20" s="16" t="s">
        <v>76</v>
      </c>
      <c r="S20" s="3" t="s">
        <v>76</v>
      </c>
      <c r="T20" s="17">
        <v>13</v>
      </c>
      <c r="U20" s="17">
        <v>13.41</v>
      </c>
      <c r="V20" s="18">
        <f t="shared" ref="V20" si="14">IF(U20="","",IF(U20="-",T21/T20-1,U20/T20-1-$Y$1))</f>
        <v>2.9538461538461513E-2</v>
      </c>
      <c r="W20" s="13">
        <f t="shared" ref="W20" si="15">AVERAGE(G20,L20,Q20,V20)</f>
        <v>3.3613815819531434E-2</v>
      </c>
      <c r="X20" s="23">
        <f>X19*(1+W20)</f>
        <v>214405.38883994851</v>
      </c>
    </row>
    <row r="21" spans="1:24">
      <c r="A21" s="19">
        <v>42460</v>
      </c>
      <c r="B21" s="21">
        <f>A21</f>
        <v>42460</v>
      </c>
      <c r="C21" s="16">
        <v>603518</v>
      </c>
      <c r="D21" s="3" t="s">
        <v>86</v>
      </c>
      <c r="E21" s="17">
        <v>26.8</v>
      </c>
      <c r="H21" s="16" t="s">
        <v>76</v>
      </c>
      <c r="I21" s="3" t="s">
        <v>76</v>
      </c>
      <c r="J21" s="17">
        <v>20.43</v>
      </c>
      <c r="K21" s="17" t="s">
        <v>76</v>
      </c>
      <c r="M21" s="16" t="s">
        <v>76</v>
      </c>
      <c r="N21" s="3" t="s">
        <v>76</v>
      </c>
      <c r="O21" s="17">
        <v>16.3</v>
      </c>
      <c r="P21" s="17" t="s">
        <v>76</v>
      </c>
      <c r="R21" s="16">
        <v>601116</v>
      </c>
      <c r="S21" s="3" t="s">
        <v>91</v>
      </c>
      <c r="T21" s="17">
        <v>10.199999999999999</v>
      </c>
      <c r="U21" s="17" t="s">
        <v>76</v>
      </c>
    </row>
    <row r="22" spans="1:24">
      <c r="A22" s="19">
        <v>42461</v>
      </c>
      <c r="B22" s="21">
        <f>A22</f>
        <v>42461</v>
      </c>
      <c r="C22" s="16">
        <v>2641</v>
      </c>
      <c r="D22" s="3" t="s">
        <v>84</v>
      </c>
      <c r="E22" s="17">
        <v>8.24</v>
      </c>
      <c r="H22" s="16" t="s">
        <v>76</v>
      </c>
      <c r="I22" s="3" t="s">
        <v>76</v>
      </c>
      <c r="M22" s="16" t="s">
        <v>76</v>
      </c>
      <c r="N22" s="3" t="s">
        <v>76</v>
      </c>
      <c r="R22" s="16" t="s">
        <v>76</v>
      </c>
      <c r="S22" s="3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ouiyeah ouiyeah</cp:lastModifiedBy>
  <cp:revision/>
  <dcterms:created xsi:type="dcterms:W3CDTF">2006-09-16T00:00:00Z</dcterms:created>
  <dcterms:modified xsi:type="dcterms:W3CDTF">2016-06-03T13:43:00Z</dcterms:modified>
  <cp:category/>
  <cp:contentStatus/>
</cp:coreProperties>
</file>